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186B7A7C-39C3-B941-9086-5D1177F7CCC5}"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F4" i="1"/>
  <c r="BT4" i="1"/>
  <c r="BF5" i="1"/>
  <c r="BT5" i="1"/>
  <c r="BF6" i="1"/>
  <c r="BT6" i="1"/>
  <c r="BF7" i="1"/>
  <c r="BT7" i="1"/>
  <c r="BF8" i="1"/>
  <c r="BT8" i="1"/>
  <c r="BF9" i="1"/>
  <c r="BT9" i="1"/>
  <c r="BT10" i="1"/>
  <c r="BF11" i="1"/>
  <c r="BT11" i="1"/>
  <c r="BF12" i="1"/>
  <c r="BT12" i="1"/>
  <c r="BF13" i="1"/>
  <c r="BT13" i="1"/>
  <c r="BF14" i="1"/>
  <c r="BT14" i="1"/>
  <c r="BF15" i="1"/>
  <c r="BT15" i="1"/>
  <c r="BF16" i="1"/>
  <c r="BT16" i="1"/>
  <c r="BF17" i="1"/>
  <c r="BT17" i="1"/>
  <c r="BF18" i="1"/>
  <c r="BT18" i="1"/>
  <c r="BF19" i="1"/>
  <c r="BT19" i="1"/>
  <c r="BT20" i="1"/>
  <c r="BF21" i="1"/>
  <c r="BT21" i="1"/>
  <c r="BF22" i="1"/>
  <c r="BT22" i="1"/>
  <c r="BF23" i="1"/>
  <c r="BT23" i="1"/>
  <c r="BF24" i="1"/>
  <c r="BT24" i="1"/>
  <c r="BF25" i="1"/>
  <c r="BT25" i="1"/>
  <c r="BT26" i="1"/>
  <c r="BF27" i="1"/>
  <c r="BT27" i="1"/>
  <c r="BF28" i="1"/>
  <c r="BT28" i="1"/>
  <c r="BF29" i="1"/>
  <c r="BT29" i="1"/>
  <c r="BF30" i="1"/>
  <c r="BT30" i="1"/>
  <c r="BF31" i="1"/>
  <c r="BT31" i="1"/>
  <c r="BF32" i="1"/>
  <c r="BT32" i="1"/>
  <c r="BF33" i="1"/>
  <c r="BT33" i="1"/>
  <c r="BF34" i="1"/>
  <c r="BT34" i="1"/>
  <c r="BF35" i="1"/>
  <c r="BT35" i="1"/>
  <c r="BF36" i="1"/>
  <c r="BT36" i="1"/>
  <c r="BF37" i="1"/>
  <c r="BT37" i="1"/>
  <c r="BT38" i="1"/>
  <c r="BF39" i="1"/>
  <c r="BT39" i="1"/>
  <c r="BF40" i="1"/>
  <c r="BT40" i="1"/>
  <c r="BF41" i="1"/>
  <c r="BT41" i="1"/>
  <c r="BF42" i="1"/>
  <c r="BT42" i="1"/>
  <c r="BT43" i="1"/>
  <c r="BT44" i="1"/>
  <c r="BF45" i="1"/>
  <c r="BT45" i="1"/>
  <c r="BF46" i="1"/>
  <c r="BT46" i="1"/>
  <c r="BT47" i="1"/>
  <c r="BF48" i="1"/>
  <c r="BT48" i="1"/>
  <c r="BF49" i="1"/>
  <c r="BT49" i="1"/>
  <c r="BF50" i="1"/>
  <c r="BT50" i="1"/>
  <c r="BF51" i="1"/>
  <c r="BT51" i="1"/>
  <c r="BF52" i="1"/>
  <c r="BT52" i="1"/>
  <c r="BF53" i="1"/>
  <c r="BT53" i="1"/>
  <c r="BF54" i="1"/>
  <c r="BT54" i="1"/>
  <c r="BT55" i="1"/>
  <c r="BF56" i="1"/>
  <c r="BT56" i="1"/>
  <c r="BF57" i="1"/>
  <c r="BT57" i="1"/>
  <c r="BF58" i="1"/>
  <c r="BT58" i="1"/>
  <c r="BF59" i="1"/>
  <c r="BT59" i="1"/>
  <c r="BF60" i="1"/>
  <c r="BT60" i="1"/>
  <c r="BF61" i="1"/>
  <c r="BT61" i="1"/>
  <c r="BF62" i="1"/>
  <c r="BT62" i="1"/>
  <c r="BF63" i="1"/>
  <c r="BT63" i="1"/>
  <c r="BF64" i="1"/>
  <c r="BT64" i="1"/>
  <c r="BF65" i="1"/>
  <c r="BT65" i="1"/>
  <c r="BF66" i="1"/>
  <c r="BT66" i="1"/>
  <c r="BF67" i="1"/>
  <c r="BT67" i="1"/>
  <c r="BF68" i="1"/>
  <c r="BT68" i="1"/>
  <c r="BF69" i="1"/>
  <c r="BT69" i="1"/>
  <c r="BF70" i="1"/>
  <c r="BT70" i="1"/>
  <c r="BF71" i="1"/>
  <c r="BT71" i="1"/>
  <c r="BF72" i="1"/>
  <c r="BT72" i="1"/>
  <c r="BF73" i="1"/>
  <c r="BT73" i="1"/>
  <c r="BF74" i="1"/>
  <c r="BT74" i="1"/>
  <c r="BF75" i="1"/>
  <c r="BT75" i="1"/>
  <c r="BF76" i="1"/>
  <c r="BT76" i="1"/>
  <c r="BF77" i="1"/>
  <c r="BT77" i="1"/>
  <c r="BF78" i="1"/>
  <c r="BT78" i="1"/>
  <c r="BF79" i="1"/>
  <c r="BT79" i="1"/>
  <c r="BF80" i="1"/>
  <c r="BT80" i="1"/>
  <c r="BF81" i="1"/>
  <c r="BT81" i="1"/>
  <c r="BF82" i="1"/>
  <c r="BT82" i="1"/>
  <c r="BF83" i="1"/>
  <c r="BT83" i="1"/>
  <c r="BF84" i="1"/>
  <c r="BT84" i="1"/>
  <c r="BF85" i="1"/>
  <c r="BT85" i="1"/>
  <c r="BF86" i="1"/>
  <c r="BT86" i="1"/>
  <c r="BF87" i="1"/>
  <c r="BT87" i="1"/>
  <c r="BF88" i="1"/>
  <c r="BT88" i="1"/>
  <c r="BF89" i="1"/>
  <c r="BT89" i="1"/>
  <c r="BF90" i="1"/>
  <c r="BT90" i="1"/>
  <c r="BF91" i="1"/>
  <c r="BT91" i="1"/>
  <c r="BF92" i="1"/>
  <c r="BT92" i="1"/>
  <c r="BF93" i="1"/>
  <c r="BT93" i="1"/>
  <c r="BT94" i="1"/>
  <c r="BF95" i="1"/>
  <c r="BT95" i="1"/>
  <c r="BF96" i="1"/>
  <c r="BT96" i="1"/>
  <c r="BF97" i="1"/>
  <c r="BT97" i="1"/>
  <c r="BF98" i="1"/>
  <c r="BT98" i="1"/>
  <c r="BF99" i="1"/>
  <c r="BT99" i="1"/>
  <c r="BF100" i="1"/>
  <c r="BT100" i="1"/>
  <c r="BF101" i="1"/>
  <c r="BT101" i="1"/>
  <c r="BF102" i="1"/>
  <c r="BT102" i="1"/>
  <c r="BF103" i="1"/>
  <c r="BT103" i="1"/>
  <c r="BF104" i="1"/>
  <c r="BT104" i="1"/>
  <c r="BF105" i="1"/>
  <c r="BT105" i="1"/>
  <c r="BF106" i="1"/>
  <c r="BT106" i="1"/>
  <c r="BF107" i="1"/>
  <c r="BT107" i="1"/>
  <c r="BF108" i="1"/>
  <c r="BT108" i="1"/>
  <c r="BF109" i="1"/>
  <c r="BT109" i="1"/>
  <c r="BF110" i="1"/>
  <c r="BT110" i="1"/>
  <c r="BF111" i="1"/>
  <c r="BT111" i="1"/>
  <c r="BF112" i="1"/>
  <c r="BT112" i="1"/>
  <c r="BF113" i="1"/>
  <c r="BT113" i="1"/>
  <c r="BF114" i="1"/>
  <c r="BT114" i="1"/>
  <c r="BF115" i="1"/>
  <c r="BT115" i="1"/>
  <c r="BF116" i="1"/>
  <c r="BT116" i="1"/>
  <c r="BF117" i="1"/>
  <c r="BT117" i="1"/>
  <c r="BF118" i="1"/>
  <c r="BT118" i="1"/>
  <c r="BT119" i="1"/>
  <c r="BF120" i="1"/>
  <c r="BT120" i="1"/>
  <c r="BF121" i="1"/>
  <c r="BT121" i="1"/>
  <c r="BF122" i="1"/>
  <c r="BT122" i="1"/>
  <c r="BF123" i="1"/>
  <c r="BT123" i="1"/>
  <c r="BF124" i="1"/>
  <c r="BT124" i="1"/>
  <c r="BF125" i="1"/>
  <c r="BT125" i="1"/>
  <c r="BT126" i="1"/>
  <c r="BT127" i="1"/>
  <c r="BF128" i="1"/>
  <c r="BT128" i="1"/>
  <c r="BF129" i="1"/>
  <c r="BT129" i="1"/>
  <c r="BF130" i="1"/>
  <c r="BT130" i="1"/>
  <c r="BF131" i="1"/>
  <c r="BT131" i="1"/>
  <c r="BF132" i="1"/>
  <c r="BT132" i="1"/>
  <c r="BF133" i="1"/>
  <c r="BT133" i="1"/>
  <c r="BF134" i="1"/>
  <c r="BT134" i="1"/>
  <c r="BF135" i="1"/>
  <c r="BT135" i="1"/>
  <c r="BF136" i="1"/>
  <c r="BT136" i="1"/>
  <c r="BF137" i="1"/>
  <c r="BT137" i="1"/>
  <c r="BF138" i="1"/>
  <c r="BT138" i="1"/>
  <c r="BF139" i="1"/>
  <c r="BT139" i="1"/>
  <c r="BF140" i="1"/>
  <c r="BT140" i="1"/>
  <c r="BF141" i="1"/>
  <c r="BT141" i="1"/>
  <c r="BF142" i="1"/>
  <c r="BT142" i="1"/>
  <c r="BT143" i="1"/>
  <c r="BF144" i="1"/>
  <c r="BT144" i="1"/>
  <c r="BF145" i="1"/>
  <c r="BT145" i="1"/>
  <c r="BT146" i="1"/>
  <c r="BF147" i="1"/>
  <c r="BT147" i="1"/>
  <c r="BF148" i="1"/>
  <c r="BT148" i="1"/>
  <c r="BF149" i="1"/>
  <c r="BT149" i="1"/>
  <c r="BF150" i="1"/>
  <c r="BT150" i="1"/>
  <c r="BF151" i="1"/>
  <c r="BT151" i="1"/>
  <c r="BF152" i="1"/>
  <c r="BT152" i="1"/>
  <c r="BF153" i="1"/>
  <c r="BT153" i="1"/>
  <c r="BF154" i="1"/>
  <c r="BT154" i="1"/>
  <c r="BF155" i="1"/>
  <c r="BT155" i="1"/>
  <c r="BF156" i="1"/>
  <c r="BT156" i="1"/>
  <c r="BF157" i="1"/>
  <c r="BT157" i="1"/>
  <c r="BF158" i="1"/>
  <c r="BT158" i="1"/>
  <c r="BF159" i="1"/>
  <c r="BT159" i="1"/>
  <c r="BF160" i="1"/>
  <c r="BT160" i="1"/>
  <c r="BF161" i="1"/>
  <c r="BT161" i="1"/>
  <c r="BF162" i="1"/>
  <c r="BT162" i="1"/>
  <c r="BT163" i="1"/>
  <c r="BF164" i="1"/>
  <c r="BT164" i="1"/>
  <c r="BF165" i="1"/>
  <c r="BT165" i="1"/>
  <c r="BF166" i="1"/>
  <c r="BT166" i="1"/>
  <c r="BT167" i="1"/>
  <c r="BT168" i="1"/>
  <c r="BF169" i="1"/>
  <c r="BT169" i="1"/>
  <c r="BT170" i="1"/>
  <c r="BT171" i="1"/>
  <c r="BF172" i="1"/>
  <c r="BT172" i="1"/>
  <c r="BF173" i="1"/>
  <c r="BT173" i="1"/>
  <c r="BF174" i="1"/>
  <c r="BT174" i="1"/>
  <c r="BT175" i="1"/>
  <c r="BF176" i="1"/>
  <c r="BT176" i="1"/>
  <c r="BF177" i="1"/>
  <c r="BT177" i="1"/>
  <c r="BF178" i="1"/>
  <c r="BT178" i="1"/>
  <c r="BF179" i="1"/>
  <c r="BT179" i="1"/>
  <c r="BF180" i="1"/>
  <c r="BT180" i="1"/>
  <c r="BF181" i="1"/>
  <c r="BT181" i="1"/>
  <c r="BF182" i="1"/>
  <c r="BT182" i="1"/>
  <c r="BF183" i="1"/>
  <c r="BT183" i="1"/>
  <c r="BT184" i="1"/>
  <c r="BF185" i="1"/>
  <c r="BT185" i="1"/>
  <c r="BT186" i="1"/>
  <c r="BF187" i="1"/>
  <c r="BT187" i="1"/>
  <c r="BF188" i="1"/>
  <c r="BT188" i="1"/>
  <c r="BF189" i="1"/>
  <c r="BT189" i="1"/>
  <c r="BT190" i="1"/>
  <c r="BF191" i="1"/>
  <c r="BT191" i="1"/>
  <c r="BF192" i="1"/>
  <c r="BT192" i="1"/>
  <c r="BF193" i="1"/>
  <c r="BT193" i="1"/>
  <c r="BF194" i="1"/>
  <c r="BT194" i="1"/>
  <c r="BF195" i="1"/>
  <c r="BT195" i="1"/>
  <c r="BT196" i="1"/>
  <c r="BF197" i="1"/>
  <c r="BT197" i="1"/>
  <c r="BF198" i="1"/>
  <c r="BT198" i="1"/>
  <c r="BF199" i="1"/>
  <c r="BT199" i="1"/>
  <c r="BF200" i="1"/>
  <c r="BT200" i="1"/>
  <c r="BF201" i="1"/>
  <c r="BT201" i="1"/>
  <c r="BF202" i="1"/>
  <c r="BT202" i="1"/>
  <c r="BF203" i="1"/>
  <c r="BT203" i="1"/>
  <c r="BF204" i="1"/>
  <c r="BT204" i="1"/>
  <c r="BF205" i="1"/>
  <c r="BT205" i="1"/>
  <c r="BF206" i="1"/>
  <c r="BT206" i="1"/>
  <c r="BF207" i="1"/>
  <c r="BT207" i="1"/>
  <c r="BF208" i="1"/>
  <c r="BT208" i="1"/>
  <c r="BF209" i="1"/>
  <c r="BT209" i="1"/>
  <c r="BF210" i="1"/>
  <c r="BT210" i="1"/>
  <c r="BF211" i="1"/>
  <c r="BT211" i="1"/>
  <c r="BF212" i="1"/>
  <c r="BT212" i="1"/>
  <c r="BF213" i="1"/>
  <c r="BT213" i="1"/>
  <c r="BF214" i="1"/>
  <c r="BT214" i="1"/>
  <c r="BF215" i="1"/>
  <c r="BT215" i="1"/>
  <c r="BF216" i="1"/>
  <c r="BT216" i="1"/>
  <c r="BF217" i="1"/>
  <c r="BT217" i="1"/>
  <c r="BF218" i="1"/>
  <c r="BT218" i="1"/>
  <c r="BF219" i="1"/>
  <c r="BT219" i="1"/>
  <c r="BF220" i="1"/>
  <c r="BT220" i="1"/>
  <c r="BF221" i="1"/>
  <c r="BT221" i="1"/>
  <c r="BF222" i="1"/>
  <c r="BT222" i="1"/>
  <c r="BF223" i="1"/>
  <c r="BT223" i="1"/>
  <c r="BF224" i="1"/>
  <c r="BT224" i="1"/>
  <c r="BF225" i="1"/>
  <c r="BT225" i="1"/>
  <c r="BF226" i="1"/>
  <c r="BT226" i="1"/>
  <c r="BT227" i="1"/>
  <c r="BF228" i="1"/>
  <c r="BT228" i="1"/>
  <c r="BF229" i="1"/>
  <c r="BT229" i="1"/>
  <c r="BF230" i="1"/>
  <c r="BT230" i="1"/>
  <c r="BF231" i="1"/>
  <c r="BT231" i="1"/>
  <c r="BF232" i="1"/>
  <c r="BT232" i="1"/>
  <c r="BF233" i="1"/>
  <c r="BT233" i="1"/>
  <c r="BF234" i="1"/>
  <c r="BT234" i="1"/>
  <c r="BF235" i="1"/>
  <c r="BT235" i="1"/>
  <c r="BF236" i="1"/>
  <c r="BT236" i="1"/>
  <c r="BF237" i="1"/>
  <c r="BT237" i="1"/>
  <c r="BF238" i="1"/>
  <c r="BT238" i="1"/>
  <c r="BF239" i="1"/>
  <c r="BT239" i="1"/>
  <c r="BF240" i="1"/>
  <c r="BT240" i="1"/>
  <c r="BF241" i="1"/>
  <c r="BT241" i="1"/>
  <c r="BF242" i="1"/>
  <c r="BT242" i="1"/>
  <c r="BF243" i="1"/>
  <c r="BT243" i="1"/>
  <c r="BF244" i="1"/>
  <c r="BT244" i="1"/>
  <c r="BF245" i="1"/>
  <c r="BT245" i="1"/>
  <c r="BF246" i="1"/>
  <c r="BT246" i="1"/>
  <c r="BF247" i="1"/>
  <c r="BT247" i="1"/>
  <c r="BF248" i="1"/>
  <c r="BT248" i="1"/>
  <c r="BF249" i="1"/>
  <c r="BT249" i="1"/>
  <c r="BF250" i="1"/>
  <c r="BT250" i="1"/>
  <c r="BF251" i="1"/>
  <c r="BT251" i="1"/>
  <c r="BF252" i="1"/>
  <c r="BT252" i="1"/>
  <c r="BF253" i="1"/>
  <c r="BT253" i="1"/>
  <c r="BF254" i="1"/>
  <c r="BT254" i="1"/>
  <c r="BF255" i="1"/>
  <c r="BT255" i="1"/>
  <c r="BF256" i="1"/>
  <c r="BT256" i="1"/>
  <c r="BF257" i="1"/>
  <c r="BT257" i="1"/>
  <c r="BT258" i="1"/>
  <c r="BF259" i="1"/>
  <c r="BT259" i="1"/>
  <c r="BF260" i="1"/>
  <c r="BT260" i="1"/>
  <c r="BF261" i="1"/>
  <c r="BT261" i="1"/>
  <c r="BF262" i="1"/>
  <c r="BT262" i="1"/>
  <c r="BF263" i="1"/>
  <c r="BT263" i="1"/>
  <c r="BT264" i="1"/>
  <c r="BF265" i="1"/>
  <c r="BT265" i="1"/>
  <c r="BF266" i="1"/>
  <c r="BT266" i="1"/>
  <c r="BF267" i="1"/>
  <c r="BT267" i="1"/>
  <c r="BF268" i="1"/>
  <c r="BT268" i="1"/>
  <c r="BF269" i="1"/>
  <c r="BT269" i="1"/>
  <c r="BF270" i="1"/>
  <c r="BT270" i="1"/>
  <c r="BF271" i="1"/>
  <c r="BT271" i="1"/>
  <c r="BF272" i="1"/>
  <c r="BT272" i="1"/>
  <c r="BF273" i="1"/>
  <c r="BT273" i="1"/>
  <c r="BF274" i="1"/>
  <c r="BT274" i="1"/>
  <c r="BF275" i="1"/>
  <c r="BT275" i="1"/>
  <c r="BF276" i="1"/>
  <c r="BT276" i="1"/>
  <c r="BF277" i="1"/>
  <c r="BT277" i="1"/>
  <c r="BF278" i="1"/>
  <c r="BT278" i="1"/>
  <c r="BF279" i="1"/>
  <c r="BT279" i="1"/>
  <c r="BF280" i="1"/>
  <c r="BT280" i="1"/>
  <c r="BF281" i="1"/>
  <c r="BT281" i="1"/>
  <c r="BF282" i="1"/>
  <c r="BT282" i="1"/>
  <c r="BF283" i="1"/>
  <c r="BT283" i="1"/>
  <c r="BF284" i="1"/>
  <c r="BT284" i="1"/>
  <c r="BF285" i="1"/>
  <c r="BT285" i="1"/>
  <c r="BF286" i="1"/>
  <c r="BT286" i="1"/>
  <c r="BF287" i="1"/>
  <c r="BT287" i="1"/>
  <c r="BF288" i="1"/>
  <c r="BT288" i="1"/>
  <c r="BF289" i="1"/>
  <c r="BT289" i="1"/>
  <c r="BF290" i="1"/>
  <c r="BT290" i="1"/>
  <c r="BF291" i="1"/>
  <c r="BT291" i="1"/>
  <c r="BF292" i="1"/>
  <c r="BT292" i="1"/>
  <c r="BF293" i="1"/>
  <c r="BT293" i="1"/>
  <c r="BF294" i="1"/>
  <c r="BT294" i="1"/>
  <c r="BF295" i="1"/>
  <c r="BT295" i="1"/>
  <c r="BF296" i="1"/>
  <c r="BT296" i="1"/>
  <c r="BF297" i="1"/>
  <c r="BT297" i="1"/>
  <c r="BF298" i="1"/>
  <c r="BT298" i="1"/>
  <c r="BF299" i="1"/>
  <c r="BT299" i="1"/>
  <c r="BF300" i="1"/>
  <c r="BT300" i="1"/>
  <c r="BF301" i="1"/>
  <c r="BT301" i="1"/>
  <c r="BF302" i="1"/>
  <c r="BT302" i="1"/>
  <c r="BF303" i="1"/>
  <c r="BT303" i="1"/>
  <c r="BT304" i="1"/>
  <c r="BF305" i="1"/>
  <c r="BT305" i="1"/>
  <c r="BF306" i="1"/>
  <c r="BT306" i="1"/>
  <c r="BF307" i="1"/>
  <c r="BT307" i="1"/>
  <c r="BF308" i="1"/>
  <c r="BT308" i="1"/>
  <c r="BF309" i="1"/>
  <c r="BT309" i="1"/>
  <c r="BF310" i="1"/>
  <c r="BT310" i="1"/>
  <c r="BF311" i="1"/>
  <c r="BT311" i="1"/>
  <c r="BF312" i="1"/>
  <c r="BT312" i="1"/>
  <c r="BF313" i="1"/>
  <c r="BT313" i="1"/>
  <c r="BF314" i="1"/>
  <c r="BT314" i="1"/>
  <c r="BF315" i="1"/>
  <c r="BT315" i="1"/>
  <c r="BF316" i="1"/>
  <c r="BT316" i="1"/>
  <c r="BF317" i="1"/>
  <c r="BT317" i="1"/>
  <c r="BT318" i="1"/>
  <c r="BF319" i="1"/>
  <c r="BT319" i="1"/>
  <c r="BF320" i="1"/>
  <c r="BT320" i="1"/>
  <c r="BF321" i="1"/>
  <c r="BT321" i="1"/>
  <c r="BF322" i="1"/>
  <c r="BT322" i="1"/>
  <c r="BF323" i="1"/>
  <c r="BT323" i="1"/>
  <c r="BF324" i="1"/>
  <c r="BT324" i="1"/>
  <c r="BF325" i="1"/>
  <c r="BT325" i="1"/>
  <c r="BF326" i="1"/>
  <c r="BT326" i="1"/>
  <c r="BF327" i="1"/>
  <c r="BT327" i="1"/>
  <c r="BF328" i="1"/>
  <c r="BT328" i="1"/>
  <c r="BF329" i="1"/>
  <c r="BT329" i="1"/>
  <c r="BF330" i="1"/>
  <c r="BT330" i="1"/>
  <c r="BF331" i="1"/>
  <c r="BT331" i="1"/>
  <c r="BF332" i="1"/>
  <c r="BT332" i="1"/>
  <c r="BF333" i="1"/>
  <c r="BT333" i="1"/>
  <c r="BF334" i="1"/>
  <c r="BT334" i="1"/>
  <c r="BF335" i="1"/>
  <c r="BT335" i="1"/>
  <c r="BF336" i="1"/>
  <c r="BT336" i="1"/>
  <c r="BF337" i="1"/>
  <c r="BT337" i="1"/>
  <c r="BF338" i="1"/>
  <c r="BT338" i="1"/>
  <c r="BF339" i="1"/>
  <c r="BT339" i="1"/>
  <c r="BF340" i="1"/>
  <c r="BT340" i="1"/>
  <c r="BF341" i="1"/>
  <c r="BT341" i="1"/>
  <c r="BF342" i="1"/>
  <c r="BT342" i="1"/>
  <c r="BF343" i="1"/>
  <c r="BT343" i="1"/>
  <c r="BF344" i="1"/>
  <c r="BT344" i="1"/>
  <c r="BF345" i="1"/>
  <c r="BT345" i="1"/>
  <c r="BF346" i="1"/>
  <c r="BT346" i="1"/>
  <c r="BF347" i="1"/>
  <c r="BT347" i="1"/>
  <c r="BF348" i="1"/>
  <c r="BT348" i="1"/>
  <c r="BF349" i="1"/>
  <c r="BT349" i="1"/>
  <c r="BF350" i="1"/>
  <c r="BT350" i="1"/>
  <c r="BF351" i="1"/>
  <c r="BT351" i="1"/>
  <c r="BF352" i="1"/>
  <c r="BT352" i="1"/>
  <c r="BF353" i="1"/>
  <c r="BT353" i="1"/>
  <c r="BF354" i="1"/>
  <c r="BT354" i="1"/>
  <c r="BF355" i="1"/>
  <c r="BT355" i="1"/>
  <c r="BF356" i="1"/>
  <c r="BT356" i="1"/>
  <c r="BF357" i="1"/>
  <c r="BT357" i="1"/>
  <c r="BF358" i="1"/>
  <c r="BT358" i="1"/>
  <c r="BF359" i="1"/>
  <c r="BT359" i="1"/>
  <c r="BF360" i="1"/>
  <c r="BT360" i="1"/>
  <c r="BF361" i="1"/>
  <c r="BT361" i="1"/>
  <c r="BF362" i="1"/>
  <c r="BT362" i="1"/>
  <c r="BF363" i="1"/>
  <c r="BT363" i="1"/>
  <c r="BF364" i="1"/>
  <c r="BT364" i="1"/>
  <c r="BF365" i="1"/>
  <c r="BT365" i="1"/>
  <c r="BF366" i="1"/>
  <c r="BT366" i="1"/>
  <c r="BF367" i="1"/>
  <c r="BT367" i="1"/>
  <c r="BF368" i="1"/>
  <c r="BT368" i="1"/>
  <c r="BF369" i="1"/>
  <c r="BT369" i="1"/>
  <c r="BF370" i="1"/>
  <c r="BT370" i="1"/>
  <c r="BF371" i="1"/>
  <c r="BT371" i="1"/>
  <c r="BF372" i="1"/>
  <c r="BT372" i="1"/>
  <c r="BF373" i="1"/>
  <c r="BT373" i="1"/>
  <c r="BF374" i="1"/>
  <c r="BT374" i="1"/>
  <c r="BF375" i="1"/>
  <c r="BT375" i="1"/>
  <c r="BF376" i="1"/>
  <c r="BT376" i="1"/>
  <c r="BF377" i="1"/>
  <c r="BT377" i="1"/>
  <c r="BF378" i="1"/>
  <c r="BT378" i="1"/>
  <c r="BF379" i="1"/>
  <c r="BT379" i="1"/>
  <c r="BF380" i="1"/>
  <c r="BT380" i="1"/>
  <c r="BF381" i="1"/>
  <c r="BT381" i="1"/>
  <c r="BF382" i="1"/>
  <c r="BT382" i="1"/>
  <c r="BF383" i="1"/>
  <c r="BT383" i="1"/>
  <c r="BF384" i="1"/>
  <c r="BT384" i="1"/>
  <c r="BF385" i="1"/>
  <c r="BT385" i="1"/>
  <c r="BF386" i="1"/>
  <c r="BT386" i="1"/>
  <c r="BF387" i="1"/>
  <c r="BT387" i="1"/>
  <c r="BF388" i="1"/>
  <c r="BT388" i="1"/>
  <c r="BF389" i="1"/>
  <c r="BT389" i="1"/>
  <c r="BF390" i="1"/>
  <c r="BT390" i="1"/>
  <c r="BF391" i="1"/>
  <c r="BT391" i="1"/>
  <c r="BF392" i="1"/>
  <c r="BT392" i="1"/>
  <c r="BF393" i="1"/>
  <c r="BT393" i="1"/>
  <c r="BF394" i="1"/>
  <c r="BT394" i="1"/>
  <c r="BF395" i="1"/>
  <c r="BT395" i="1"/>
  <c r="BF396" i="1"/>
  <c r="BT396" i="1"/>
  <c r="BF397" i="1"/>
  <c r="BT397" i="1"/>
  <c r="BF398" i="1"/>
  <c r="BT398" i="1"/>
  <c r="BF399" i="1"/>
  <c r="BT399" i="1"/>
  <c r="BF400" i="1"/>
  <c r="BT400" i="1"/>
  <c r="BF401" i="1"/>
  <c r="BT401" i="1"/>
  <c r="BF402" i="1"/>
  <c r="BT402" i="1"/>
  <c r="BF403" i="1"/>
  <c r="BT403" i="1"/>
  <c r="BF404" i="1"/>
  <c r="BT404" i="1"/>
  <c r="BF405" i="1"/>
  <c r="BT405" i="1"/>
  <c r="BF406" i="1"/>
  <c r="BT406" i="1"/>
  <c r="BF407" i="1"/>
  <c r="BT407" i="1"/>
  <c r="BF408" i="1"/>
  <c r="BT408" i="1"/>
  <c r="BF409" i="1"/>
  <c r="BT409" i="1"/>
  <c r="BF410" i="1"/>
  <c r="BT410" i="1"/>
  <c r="BF411" i="1"/>
  <c r="BT411" i="1"/>
  <c r="BF412" i="1"/>
  <c r="BT412" i="1"/>
  <c r="BF413" i="1"/>
  <c r="BT413" i="1"/>
  <c r="BF414" i="1"/>
  <c r="BT414" i="1"/>
  <c r="BF415" i="1"/>
  <c r="BT415" i="1"/>
  <c r="BF416" i="1"/>
  <c r="BT416" i="1"/>
  <c r="BF417" i="1"/>
  <c r="BT417" i="1"/>
  <c r="BF418" i="1"/>
  <c r="BT418" i="1"/>
  <c r="BF419" i="1"/>
  <c r="BT419" i="1"/>
  <c r="BF420" i="1"/>
  <c r="BT420" i="1"/>
  <c r="BF421" i="1"/>
  <c r="BT421" i="1"/>
  <c r="BF422" i="1"/>
  <c r="BT422" i="1"/>
  <c r="BF423" i="1"/>
  <c r="BT423" i="1"/>
  <c r="BF424" i="1"/>
  <c r="BT424" i="1"/>
  <c r="BF425" i="1"/>
  <c r="BT425" i="1"/>
  <c r="BF426" i="1"/>
  <c r="BT426" i="1"/>
  <c r="BF427" i="1"/>
  <c r="BT427" i="1"/>
  <c r="BF428" i="1"/>
  <c r="BT428" i="1"/>
  <c r="BF429" i="1"/>
  <c r="BT429" i="1"/>
  <c r="BF430" i="1"/>
  <c r="BT430" i="1"/>
  <c r="BF431" i="1"/>
  <c r="BT431" i="1"/>
  <c r="BF432" i="1"/>
  <c r="BT432" i="1"/>
  <c r="BF433" i="1"/>
  <c r="BT433" i="1"/>
  <c r="BF434" i="1"/>
  <c r="BT434" i="1"/>
  <c r="BF435" i="1"/>
  <c r="BT435" i="1"/>
  <c r="BF436" i="1"/>
  <c r="BT436" i="1"/>
  <c r="BF437" i="1"/>
  <c r="BT437" i="1"/>
  <c r="BF438" i="1"/>
  <c r="BT438" i="1"/>
  <c r="BF439" i="1"/>
  <c r="BT439" i="1"/>
  <c r="BF440" i="1"/>
  <c r="BT440" i="1"/>
  <c r="BF441" i="1"/>
  <c r="BT441" i="1"/>
  <c r="BF442" i="1"/>
  <c r="BT442" i="1"/>
  <c r="BF443" i="1"/>
  <c r="BT443" i="1"/>
  <c r="BF444" i="1"/>
  <c r="BT444" i="1"/>
  <c r="BF445" i="1"/>
  <c r="BT445" i="1"/>
  <c r="BF446" i="1"/>
  <c r="BT446" i="1"/>
  <c r="BF447" i="1"/>
  <c r="BT447" i="1"/>
  <c r="BF448" i="1"/>
  <c r="BT448" i="1"/>
  <c r="BF449" i="1"/>
  <c r="BT449" i="1"/>
  <c r="BF450" i="1"/>
  <c r="BT450" i="1"/>
  <c r="BF451" i="1"/>
  <c r="BT451" i="1"/>
  <c r="BF452" i="1"/>
  <c r="BT452" i="1"/>
  <c r="BF453" i="1"/>
  <c r="BT453" i="1"/>
  <c r="BF454" i="1"/>
  <c r="BT454" i="1"/>
  <c r="BF455" i="1"/>
  <c r="BT455" i="1"/>
  <c r="BF456" i="1"/>
  <c r="BT456" i="1"/>
  <c r="BF457" i="1"/>
  <c r="BT457" i="1"/>
  <c r="BT458" i="1"/>
  <c r="BF459" i="1"/>
  <c r="BT459" i="1"/>
  <c r="BF460" i="1"/>
  <c r="BT460" i="1"/>
  <c r="BF461" i="1"/>
  <c r="BT461" i="1"/>
  <c r="BF462" i="1"/>
  <c r="BT462" i="1"/>
  <c r="BT463" i="1"/>
  <c r="BF464" i="1"/>
  <c r="BT464" i="1"/>
  <c r="BF465" i="1"/>
  <c r="BT465" i="1"/>
  <c r="BF466" i="1"/>
  <c r="BT466" i="1"/>
  <c r="BF467" i="1"/>
  <c r="BT467" i="1"/>
  <c r="BF468" i="1"/>
  <c r="BT468" i="1"/>
  <c r="BF469" i="1"/>
  <c r="BT469" i="1"/>
  <c r="BF470" i="1"/>
  <c r="BT470" i="1"/>
  <c r="BF471" i="1"/>
  <c r="BT471" i="1"/>
  <c r="BF472" i="1"/>
  <c r="BT472" i="1"/>
  <c r="BF473" i="1"/>
  <c r="BT473" i="1"/>
  <c r="BF474" i="1"/>
  <c r="BT474" i="1"/>
  <c r="BF475" i="1"/>
  <c r="BT475" i="1"/>
  <c r="BF476" i="1"/>
  <c r="BT476" i="1"/>
  <c r="BF477" i="1"/>
  <c r="BT477" i="1"/>
  <c r="BF478" i="1"/>
  <c r="BT478" i="1"/>
  <c r="BF479" i="1"/>
  <c r="BT479" i="1"/>
  <c r="BF480" i="1"/>
  <c r="BT480" i="1"/>
  <c r="BF481" i="1"/>
  <c r="BT481" i="1"/>
  <c r="BF482" i="1"/>
  <c r="BT482" i="1"/>
  <c r="BF483" i="1"/>
  <c r="BT483" i="1"/>
  <c r="BF484" i="1"/>
  <c r="BT484" i="1"/>
  <c r="BF485" i="1"/>
  <c r="BT485" i="1"/>
  <c r="BF486" i="1"/>
  <c r="BT486" i="1"/>
  <c r="BF487" i="1"/>
  <c r="BT487" i="1"/>
  <c r="BF488" i="1"/>
  <c r="BT488" i="1"/>
  <c r="BF489" i="1"/>
  <c r="BT489" i="1"/>
  <c r="BF490" i="1"/>
  <c r="BT490" i="1"/>
  <c r="BF491" i="1"/>
  <c r="BT491" i="1"/>
  <c r="BF492" i="1"/>
  <c r="BT492" i="1"/>
  <c r="BF493" i="1"/>
  <c r="BT493" i="1"/>
  <c r="BF494" i="1"/>
  <c r="BT494" i="1"/>
  <c r="BF495" i="1"/>
  <c r="BT495" i="1"/>
  <c r="BF496" i="1"/>
  <c r="BT496" i="1"/>
  <c r="BF497" i="1"/>
  <c r="BT497" i="1"/>
  <c r="BF498" i="1"/>
  <c r="BT498" i="1"/>
  <c r="BF499" i="1"/>
  <c r="BT499" i="1"/>
  <c r="BF500" i="1"/>
  <c r="BT500" i="1"/>
  <c r="BF501" i="1"/>
  <c r="BT501" i="1"/>
  <c r="BF502" i="1"/>
  <c r="BT502" i="1"/>
  <c r="BF503" i="1"/>
  <c r="BT503" i="1"/>
  <c r="BF504" i="1"/>
  <c r="BT504" i="1"/>
  <c r="BF505" i="1"/>
  <c r="BT505" i="1"/>
  <c r="BF506" i="1"/>
  <c r="BT506" i="1"/>
  <c r="BF507" i="1"/>
  <c r="BT507" i="1"/>
  <c r="BF508" i="1"/>
  <c r="BT508" i="1"/>
  <c r="BF509" i="1"/>
  <c r="BT509" i="1"/>
  <c r="BF510" i="1"/>
  <c r="BT510" i="1"/>
  <c r="BF511" i="1"/>
  <c r="BT511" i="1"/>
  <c r="BF512" i="1"/>
  <c r="BT512" i="1"/>
  <c r="BF513" i="1"/>
  <c r="BT513" i="1"/>
  <c r="BF514" i="1"/>
  <c r="BT514" i="1"/>
  <c r="BF515" i="1"/>
  <c r="BT515" i="1"/>
  <c r="BF516" i="1"/>
  <c r="BT516" i="1"/>
  <c r="BF517" i="1"/>
  <c r="BT517" i="1"/>
  <c r="BF518" i="1"/>
  <c r="BT518" i="1"/>
  <c r="BF519" i="1"/>
  <c r="BT519" i="1"/>
  <c r="BF520" i="1"/>
  <c r="BT520" i="1"/>
  <c r="BF521" i="1"/>
  <c r="BT521" i="1"/>
  <c r="BF522" i="1"/>
  <c r="BT522" i="1"/>
  <c r="BF523" i="1"/>
  <c r="BT523" i="1"/>
  <c r="BF524" i="1"/>
  <c r="BT524" i="1"/>
  <c r="BF525" i="1"/>
  <c r="BT525" i="1"/>
  <c r="BF526" i="1"/>
  <c r="BT526" i="1"/>
  <c r="BF527" i="1"/>
  <c r="BT527" i="1"/>
  <c r="BF528" i="1"/>
  <c r="BT528" i="1"/>
  <c r="BF529" i="1"/>
  <c r="BT529" i="1"/>
  <c r="BF530" i="1"/>
  <c r="BT530" i="1"/>
  <c r="BF531" i="1"/>
  <c r="BT531" i="1"/>
  <c r="BF532" i="1"/>
  <c r="BT532" i="1"/>
  <c r="BF533" i="1"/>
  <c r="BT533" i="1"/>
  <c r="BF534" i="1"/>
  <c r="BT534" i="1"/>
  <c r="BF535" i="1"/>
  <c r="BT535" i="1"/>
  <c r="BF536" i="1"/>
  <c r="BT536" i="1"/>
  <c r="BF537" i="1"/>
  <c r="BT537" i="1"/>
  <c r="BF538" i="1"/>
  <c r="BT538" i="1"/>
  <c r="BF539" i="1"/>
  <c r="BT539" i="1"/>
  <c r="BF540" i="1"/>
  <c r="BT540" i="1"/>
  <c r="BF541" i="1"/>
  <c r="BT541" i="1"/>
  <c r="BF542" i="1"/>
  <c r="BT542" i="1"/>
  <c r="BF543" i="1"/>
  <c r="BT543" i="1"/>
  <c r="BF544" i="1"/>
  <c r="BT544" i="1"/>
  <c r="BF545" i="1"/>
  <c r="BT545" i="1"/>
  <c r="BF546" i="1"/>
  <c r="BT546" i="1"/>
  <c r="BF547" i="1"/>
  <c r="BT547" i="1"/>
  <c r="BF548" i="1"/>
  <c r="BT548" i="1"/>
  <c r="BF549" i="1"/>
  <c r="BT549" i="1"/>
  <c r="BF550" i="1"/>
  <c r="BT550" i="1"/>
  <c r="BF551" i="1"/>
  <c r="BT551" i="1"/>
  <c r="BF552" i="1"/>
  <c r="BT552" i="1"/>
  <c r="BF553" i="1"/>
  <c r="BT553" i="1"/>
  <c r="BF554" i="1"/>
  <c r="BT554" i="1"/>
  <c r="BF555" i="1"/>
  <c r="BT555" i="1"/>
  <c r="BF556" i="1"/>
  <c r="BT556" i="1"/>
  <c r="BF557" i="1"/>
  <c r="BT557" i="1"/>
  <c r="BF558" i="1"/>
  <c r="BT558" i="1"/>
  <c r="BF559" i="1"/>
  <c r="BT559" i="1"/>
  <c r="BF560" i="1"/>
  <c r="BT560" i="1"/>
  <c r="BF561" i="1"/>
  <c r="BT561" i="1"/>
  <c r="BF562" i="1"/>
  <c r="BT562" i="1"/>
  <c r="BF563" i="1"/>
  <c r="BT563" i="1"/>
  <c r="BF564" i="1"/>
  <c r="BT564" i="1"/>
  <c r="BF565" i="1"/>
  <c r="BT565" i="1"/>
  <c r="BF566" i="1"/>
  <c r="BT566" i="1"/>
  <c r="BF567" i="1"/>
  <c r="BT567" i="1"/>
  <c r="BF568" i="1"/>
  <c r="BT568" i="1"/>
  <c r="BF569" i="1"/>
  <c r="BT569" i="1"/>
  <c r="BF570" i="1"/>
  <c r="BT570" i="1"/>
  <c r="BF571" i="1"/>
  <c r="BT571" i="1"/>
  <c r="BF572" i="1"/>
  <c r="BT572" i="1"/>
  <c r="BF573" i="1"/>
  <c r="BT573" i="1"/>
  <c r="BF574" i="1"/>
  <c r="BT574" i="1"/>
  <c r="BF575" i="1"/>
  <c r="BT575" i="1"/>
  <c r="BF576" i="1"/>
  <c r="BT576" i="1"/>
  <c r="BF577" i="1"/>
  <c r="BT577" i="1"/>
  <c r="BF578" i="1"/>
  <c r="BT578" i="1"/>
  <c r="BF579" i="1"/>
  <c r="BT579" i="1"/>
  <c r="BF580" i="1"/>
  <c r="BT580" i="1"/>
  <c r="BF581" i="1"/>
  <c r="BT581" i="1"/>
  <c r="BF582" i="1"/>
  <c r="BT582" i="1"/>
  <c r="BF583" i="1"/>
  <c r="BT583" i="1"/>
  <c r="BF584" i="1"/>
  <c r="BT584" i="1"/>
  <c r="BF585" i="1"/>
  <c r="BT585" i="1"/>
  <c r="BT586" i="1"/>
  <c r="BF587" i="1"/>
  <c r="BT587" i="1"/>
  <c r="BF588" i="1"/>
  <c r="BT588" i="1"/>
  <c r="BF589" i="1"/>
  <c r="BT589" i="1"/>
  <c r="BF590" i="1"/>
  <c r="BT590" i="1"/>
  <c r="BF591" i="1"/>
  <c r="BT591" i="1"/>
  <c r="BT592" i="1"/>
  <c r="BF593" i="1"/>
  <c r="BT593" i="1"/>
  <c r="BF594" i="1"/>
  <c r="BT594" i="1"/>
  <c r="BF595" i="1"/>
  <c r="BT595" i="1"/>
  <c r="BT596" i="1"/>
  <c r="BF597" i="1"/>
  <c r="BT597" i="1"/>
  <c r="BF598" i="1"/>
  <c r="BT598" i="1"/>
  <c r="BF599" i="1"/>
  <c r="BT599" i="1"/>
  <c r="BF600" i="1"/>
  <c r="BT600" i="1"/>
  <c r="BF601" i="1"/>
  <c r="BT601" i="1"/>
  <c r="BF602" i="1"/>
  <c r="BT602" i="1"/>
  <c r="BF603" i="1"/>
  <c r="BT603" i="1"/>
  <c r="BF604" i="1"/>
  <c r="BT604" i="1"/>
  <c r="BF605" i="1"/>
  <c r="BT605" i="1"/>
  <c r="BF606" i="1"/>
  <c r="BT606" i="1"/>
  <c r="BT607" i="1"/>
  <c r="BF608" i="1"/>
  <c r="BT608" i="1"/>
  <c r="BF609" i="1"/>
  <c r="BT609" i="1"/>
  <c r="BF610" i="1"/>
  <c r="BT610" i="1"/>
  <c r="BF611" i="1"/>
  <c r="BT611" i="1"/>
  <c r="BF612" i="1"/>
  <c r="BT612" i="1"/>
  <c r="BF613" i="1"/>
  <c r="BT613" i="1"/>
  <c r="BF614" i="1"/>
  <c r="BT614" i="1"/>
  <c r="BF615" i="1"/>
  <c r="BT615" i="1"/>
  <c r="BF616" i="1"/>
  <c r="BT616" i="1"/>
  <c r="BF617" i="1"/>
  <c r="BT617" i="1"/>
  <c r="BF618" i="1"/>
  <c r="BT618" i="1"/>
  <c r="BF619" i="1"/>
  <c r="BT619" i="1"/>
  <c r="BF620" i="1"/>
  <c r="BT620" i="1"/>
  <c r="BF621" i="1"/>
  <c r="BT621" i="1"/>
  <c r="BF622" i="1"/>
  <c r="BT622" i="1"/>
  <c r="BF623" i="1"/>
  <c r="BT623" i="1"/>
  <c r="BF624" i="1"/>
  <c r="BT624" i="1"/>
  <c r="BF625" i="1"/>
  <c r="BT625" i="1"/>
  <c r="BF626" i="1"/>
  <c r="BT626" i="1"/>
  <c r="BF627" i="1"/>
  <c r="BT627" i="1"/>
  <c r="BF628" i="1"/>
  <c r="BT628" i="1"/>
  <c r="BF629" i="1"/>
  <c r="BT629" i="1"/>
  <c r="BF630" i="1"/>
  <c r="BT630" i="1"/>
  <c r="BF631" i="1"/>
  <c r="BT631" i="1"/>
  <c r="BF632" i="1"/>
  <c r="BT632" i="1"/>
  <c r="BF633" i="1"/>
  <c r="BT633" i="1"/>
  <c r="BF634" i="1"/>
  <c r="BT634" i="1"/>
  <c r="BF635" i="1"/>
  <c r="BT635" i="1"/>
  <c r="BF636" i="1"/>
  <c r="BT636" i="1"/>
  <c r="BF637" i="1"/>
  <c r="BT637" i="1"/>
  <c r="BF638" i="1"/>
  <c r="BT638" i="1"/>
  <c r="BF639" i="1"/>
  <c r="BT639" i="1"/>
  <c r="BF640" i="1"/>
  <c r="BT640" i="1"/>
  <c r="BF641" i="1"/>
  <c r="BT641" i="1"/>
  <c r="BF642" i="1"/>
  <c r="BT642" i="1"/>
  <c r="BF643" i="1"/>
  <c r="BT643" i="1"/>
  <c r="BF644" i="1"/>
  <c r="BT644" i="1"/>
  <c r="BF645" i="1"/>
  <c r="BT645" i="1"/>
  <c r="BF646" i="1"/>
  <c r="BT646" i="1"/>
  <c r="BF647" i="1"/>
  <c r="BT647" i="1"/>
  <c r="BF648" i="1"/>
  <c r="BT648" i="1"/>
  <c r="BF649" i="1"/>
  <c r="BT649" i="1"/>
  <c r="BF650" i="1"/>
  <c r="BT650" i="1"/>
  <c r="BF651" i="1"/>
  <c r="BT651" i="1"/>
  <c r="BF652" i="1"/>
  <c r="BT652" i="1"/>
  <c r="BF653" i="1"/>
  <c r="BT653" i="1"/>
  <c r="BF654" i="1"/>
  <c r="BT654" i="1"/>
  <c r="BF655" i="1"/>
  <c r="BT655" i="1"/>
  <c r="BF656" i="1"/>
  <c r="BT656" i="1"/>
  <c r="BF657" i="1"/>
  <c r="BT657" i="1"/>
  <c r="BF658" i="1"/>
  <c r="BT658" i="1"/>
  <c r="BF659" i="1"/>
  <c r="BT659" i="1"/>
  <c r="BF660" i="1"/>
  <c r="BT660" i="1"/>
  <c r="BF661" i="1"/>
  <c r="BT661" i="1"/>
  <c r="BF662" i="1"/>
  <c r="BT662" i="1"/>
  <c r="BF663" i="1"/>
  <c r="BT663" i="1"/>
  <c r="BF664" i="1"/>
  <c r="BT664" i="1"/>
  <c r="BF665" i="1"/>
  <c r="BT665" i="1"/>
  <c r="BF666" i="1"/>
  <c r="BT666" i="1"/>
  <c r="BF667" i="1"/>
  <c r="BT667" i="1"/>
  <c r="BF668" i="1"/>
  <c r="BT668" i="1"/>
  <c r="BF669" i="1"/>
  <c r="BT669" i="1"/>
  <c r="BF670" i="1"/>
  <c r="BT670" i="1"/>
  <c r="BF671" i="1"/>
  <c r="BT671" i="1"/>
  <c r="BF672" i="1"/>
  <c r="BT672" i="1"/>
  <c r="BF673" i="1"/>
  <c r="BT673" i="1"/>
  <c r="BF674" i="1"/>
  <c r="BT674" i="1"/>
  <c r="BF675" i="1"/>
  <c r="BT675" i="1"/>
  <c r="BF676" i="1"/>
  <c r="BT676" i="1"/>
  <c r="BF677" i="1"/>
  <c r="BT677" i="1"/>
  <c r="BF678" i="1"/>
  <c r="BT678" i="1"/>
  <c r="BF679" i="1"/>
  <c r="BT679" i="1"/>
  <c r="BF680" i="1"/>
  <c r="BT680" i="1"/>
  <c r="BF681" i="1"/>
  <c r="BT681" i="1"/>
  <c r="BF682" i="1"/>
  <c r="BT682" i="1"/>
  <c r="BF683" i="1"/>
  <c r="BT683" i="1"/>
  <c r="BF684" i="1"/>
  <c r="BT684" i="1"/>
  <c r="BF685" i="1"/>
  <c r="BT685" i="1"/>
  <c r="BF686" i="1"/>
  <c r="BT686" i="1"/>
  <c r="BF687" i="1"/>
  <c r="BT687" i="1"/>
  <c r="BF688" i="1"/>
  <c r="BT688" i="1"/>
  <c r="BF689" i="1"/>
  <c r="BT689" i="1"/>
  <c r="BF690" i="1"/>
  <c r="BT690" i="1"/>
  <c r="BF691" i="1"/>
  <c r="BT691" i="1"/>
  <c r="BF692" i="1"/>
  <c r="BT692" i="1"/>
  <c r="BF693" i="1"/>
  <c r="BT693" i="1"/>
  <c r="BF694" i="1"/>
  <c r="BT694" i="1"/>
  <c r="BF695" i="1"/>
  <c r="BT695" i="1"/>
  <c r="BF696" i="1"/>
  <c r="BT696" i="1"/>
  <c r="BF697" i="1"/>
  <c r="BT697" i="1"/>
  <c r="BF698" i="1"/>
  <c r="BT698" i="1"/>
  <c r="BF699" i="1"/>
  <c r="BT699" i="1"/>
  <c r="BF700" i="1"/>
  <c r="BT700" i="1"/>
  <c r="BF701" i="1"/>
  <c r="BT701" i="1"/>
  <c r="BF702" i="1"/>
  <c r="BT702" i="1"/>
  <c r="BF703" i="1"/>
  <c r="BT703" i="1"/>
  <c r="BF704" i="1"/>
  <c r="BT704" i="1"/>
  <c r="BF705" i="1"/>
  <c r="BT705" i="1"/>
  <c r="BF706" i="1"/>
  <c r="BT706" i="1"/>
  <c r="BF707" i="1"/>
  <c r="BT707" i="1"/>
  <c r="BF708" i="1"/>
  <c r="BT708" i="1"/>
  <c r="BF709" i="1"/>
  <c r="BT709" i="1"/>
  <c r="BF710" i="1"/>
  <c r="BT710" i="1"/>
  <c r="BF711" i="1"/>
  <c r="BT711" i="1"/>
  <c r="BF712" i="1"/>
  <c r="BT712" i="1"/>
  <c r="BF713" i="1"/>
  <c r="BT713" i="1"/>
  <c r="BF714" i="1"/>
  <c r="BT714" i="1"/>
  <c r="BF715" i="1"/>
  <c r="BT715" i="1"/>
  <c r="BF716" i="1"/>
  <c r="BT716" i="1"/>
  <c r="BF717" i="1"/>
  <c r="BT717" i="1"/>
  <c r="BF718" i="1"/>
  <c r="BT718" i="1"/>
  <c r="BF719" i="1"/>
  <c r="BT719" i="1"/>
  <c r="BF720" i="1"/>
  <c r="BT720" i="1"/>
  <c r="BF721" i="1"/>
  <c r="BT721" i="1"/>
  <c r="BF722" i="1"/>
  <c r="BT722" i="1"/>
  <c r="BF723" i="1"/>
  <c r="BT723" i="1"/>
  <c r="BF724" i="1"/>
  <c r="BT724" i="1"/>
  <c r="BF725" i="1"/>
  <c r="BT725" i="1"/>
  <c r="BF726" i="1"/>
  <c r="BT726" i="1"/>
  <c r="BF727" i="1"/>
  <c r="BT727" i="1"/>
  <c r="BF728" i="1"/>
  <c r="BT728" i="1"/>
  <c r="BF729" i="1"/>
  <c r="BT729" i="1"/>
  <c r="BF730" i="1"/>
  <c r="BT730" i="1"/>
  <c r="BF731" i="1"/>
  <c r="BT731" i="1"/>
  <c r="BF732" i="1"/>
  <c r="BT732" i="1"/>
  <c r="BF733" i="1"/>
  <c r="BT733" i="1"/>
  <c r="BF734" i="1"/>
  <c r="BT734" i="1"/>
  <c r="BF735" i="1"/>
  <c r="BT735" i="1"/>
  <c r="BF736" i="1"/>
  <c r="BT736" i="1"/>
  <c r="BF737" i="1"/>
  <c r="BT737" i="1"/>
  <c r="BF738" i="1"/>
  <c r="BT738" i="1"/>
  <c r="BF739" i="1"/>
  <c r="BT739" i="1"/>
  <c r="BF740" i="1"/>
  <c r="BT740" i="1"/>
  <c r="BF741" i="1"/>
  <c r="BT741" i="1"/>
  <c r="BF742" i="1"/>
  <c r="BT742" i="1"/>
  <c r="BF743" i="1"/>
  <c r="BT743" i="1"/>
  <c r="BF744" i="1"/>
  <c r="BT744" i="1"/>
  <c r="BF745" i="1"/>
  <c r="BT745" i="1"/>
  <c r="BF746" i="1"/>
  <c r="BT746" i="1"/>
  <c r="BF747" i="1"/>
  <c r="BT747" i="1"/>
  <c r="BF748" i="1"/>
  <c r="BT748" i="1"/>
  <c r="BF749" i="1"/>
  <c r="BT749" i="1"/>
  <c r="BF750" i="1"/>
  <c r="BT750" i="1"/>
  <c r="BF751" i="1"/>
  <c r="BT751" i="1"/>
  <c r="BF752" i="1"/>
  <c r="BT752" i="1"/>
  <c r="BF753" i="1"/>
  <c r="BT753" i="1"/>
  <c r="BT754" i="1"/>
  <c r="BF755" i="1"/>
  <c r="BT755" i="1"/>
  <c r="BF756" i="1"/>
  <c r="BT756" i="1"/>
  <c r="BF757" i="1"/>
  <c r="BT757" i="1"/>
  <c r="BF758" i="1"/>
  <c r="BT758" i="1"/>
  <c r="BF759" i="1"/>
  <c r="BT759" i="1"/>
  <c r="BF760" i="1"/>
  <c r="BT760" i="1"/>
  <c r="BF761" i="1"/>
  <c r="BT761" i="1"/>
  <c r="BF762" i="1"/>
  <c r="BT762" i="1"/>
  <c r="BF763" i="1"/>
  <c r="BT763" i="1"/>
  <c r="BF764" i="1"/>
  <c r="BT764" i="1"/>
  <c r="BF765" i="1"/>
  <c r="BT765" i="1"/>
  <c r="BF766" i="1"/>
  <c r="BT766" i="1"/>
  <c r="BF767" i="1"/>
  <c r="BT767" i="1"/>
  <c r="BF768" i="1"/>
  <c r="BT768" i="1"/>
  <c r="BF769" i="1"/>
  <c r="BT769" i="1"/>
  <c r="BT770" i="1"/>
  <c r="BF771" i="1"/>
  <c r="BT771" i="1"/>
  <c r="BF772" i="1"/>
  <c r="BT772" i="1"/>
  <c r="BF773" i="1"/>
  <c r="BT773" i="1"/>
  <c r="BF774" i="1"/>
  <c r="BT774" i="1"/>
  <c r="BF775" i="1"/>
  <c r="BT775" i="1"/>
  <c r="BF776" i="1"/>
  <c r="BT776" i="1"/>
  <c r="BT777" i="1"/>
  <c r="BF778" i="1"/>
  <c r="BT778" i="1"/>
  <c r="BF779" i="1"/>
  <c r="BT779" i="1"/>
  <c r="BF780" i="1"/>
  <c r="BT780" i="1"/>
  <c r="BF781" i="1"/>
  <c r="BT781" i="1"/>
  <c r="BF782" i="1"/>
  <c r="BT782" i="1"/>
  <c r="BF783" i="1"/>
  <c r="BT783" i="1"/>
  <c r="BF784" i="1"/>
  <c r="BT784" i="1"/>
  <c r="BF785" i="1"/>
  <c r="BT785" i="1"/>
  <c r="BF786" i="1"/>
  <c r="BT786" i="1"/>
  <c r="BF787" i="1"/>
  <c r="BT787" i="1"/>
  <c r="BF788" i="1"/>
  <c r="BT788" i="1"/>
  <c r="BF789" i="1"/>
  <c r="BT789" i="1"/>
  <c r="BF790" i="1"/>
  <c r="BT790" i="1"/>
  <c r="BF791" i="1"/>
  <c r="BT791" i="1"/>
  <c r="BF792" i="1"/>
  <c r="BT792" i="1"/>
  <c r="BF793" i="1"/>
  <c r="BT793" i="1"/>
  <c r="BF794" i="1"/>
  <c r="BT794" i="1"/>
  <c r="BF795" i="1"/>
  <c r="BT795" i="1"/>
  <c r="BF796" i="1"/>
  <c r="BT796" i="1"/>
  <c r="BF797" i="1"/>
  <c r="BT797" i="1"/>
  <c r="BF798" i="1"/>
  <c r="BT798" i="1"/>
  <c r="BF799" i="1"/>
  <c r="BT799" i="1"/>
  <c r="BF800" i="1"/>
  <c r="BT800" i="1"/>
  <c r="BF801" i="1"/>
  <c r="BT801" i="1"/>
  <c r="BF802" i="1"/>
  <c r="BT802" i="1"/>
  <c r="BF803" i="1"/>
  <c r="BT803" i="1"/>
  <c r="BF804" i="1"/>
  <c r="BT804" i="1"/>
  <c r="BF805" i="1"/>
  <c r="BT805" i="1"/>
  <c r="BF806" i="1"/>
  <c r="BT806" i="1"/>
  <c r="BF807" i="1"/>
  <c r="BT807" i="1"/>
  <c r="BF808" i="1"/>
  <c r="BT808" i="1"/>
  <c r="BF809" i="1"/>
  <c r="BT809" i="1"/>
  <c r="BF810" i="1"/>
  <c r="BT810" i="1"/>
  <c r="BF811" i="1"/>
  <c r="BT811" i="1"/>
  <c r="BF812" i="1"/>
  <c r="BT812" i="1"/>
  <c r="BF813" i="1"/>
  <c r="BT813" i="1"/>
  <c r="BF814" i="1"/>
  <c r="BT814" i="1"/>
  <c r="BF815" i="1"/>
  <c r="BT815" i="1"/>
  <c r="BF816" i="1"/>
  <c r="BT816" i="1"/>
  <c r="BF817" i="1"/>
  <c r="BT817" i="1"/>
  <c r="BF818" i="1"/>
  <c r="BT818" i="1"/>
  <c r="BF819" i="1"/>
  <c r="BT819" i="1"/>
  <c r="BF820" i="1"/>
  <c r="BT820" i="1"/>
  <c r="BF821" i="1"/>
  <c r="BT821" i="1"/>
  <c r="BF822" i="1"/>
  <c r="BT822" i="1"/>
  <c r="BF823" i="1"/>
  <c r="BT823" i="1"/>
  <c r="BF824" i="1"/>
  <c r="BT824" i="1"/>
  <c r="BF825" i="1"/>
  <c r="BT825" i="1"/>
  <c r="BF826" i="1"/>
  <c r="BT826" i="1"/>
  <c r="BF827" i="1"/>
  <c r="BT827" i="1"/>
  <c r="BF828" i="1"/>
  <c r="BT828" i="1"/>
  <c r="BF829" i="1"/>
  <c r="BT829" i="1"/>
  <c r="BF830" i="1"/>
  <c r="BT830" i="1"/>
  <c r="BF831" i="1"/>
  <c r="BT831" i="1"/>
  <c r="BF832" i="1"/>
  <c r="BT832" i="1"/>
  <c r="BF833" i="1"/>
  <c r="BT833" i="1"/>
  <c r="BF834" i="1"/>
  <c r="BT834" i="1"/>
  <c r="BF835" i="1"/>
  <c r="BT835" i="1"/>
  <c r="BF836" i="1"/>
  <c r="BT836" i="1"/>
  <c r="BF837" i="1"/>
  <c r="BT837" i="1"/>
  <c r="BF838" i="1"/>
  <c r="BT838" i="1"/>
  <c r="BF839" i="1"/>
  <c r="BT839" i="1"/>
  <c r="BF840" i="1"/>
  <c r="BT840" i="1"/>
  <c r="BF841" i="1"/>
  <c r="BT841" i="1"/>
  <c r="BF842" i="1"/>
  <c r="BT842" i="1"/>
  <c r="BF843" i="1"/>
  <c r="BT843" i="1"/>
  <c r="BF844" i="1"/>
  <c r="BT844" i="1"/>
  <c r="BF845" i="1"/>
  <c r="BT845" i="1"/>
  <c r="BF846" i="1"/>
  <c r="BT846" i="1"/>
  <c r="BF847" i="1"/>
  <c r="BT847" i="1"/>
  <c r="BF848" i="1"/>
  <c r="BT848" i="1"/>
  <c r="BF849" i="1"/>
  <c r="BT849" i="1"/>
  <c r="BF850" i="1"/>
  <c r="BT850" i="1"/>
  <c r="BF851" i="1"/>
  <c r="BT851" i="1"/>
  <c r="BF852" i="1"/>
  <c r="BT852" i="1"/>
  <c r="BF853" i="1"/>
  <c r="BT853" i="1"/>
  <c r="BF854" i="1"/>
  <c r="BT854" i="1"/>
  <c r="BF855" i="1"/>
  <c r="BT855" i="1"/>
  <c r="BF856" i="1"/>
  <c r="BT856" i="1"/>
  <c r="BF857" i="1"/>
  <c r="BT857" i="1"/>
  <c r="BF858" i="1"/>
  <c r="BT858" i="1"/>
  <c r="BF859" i="1"/>
  <c r="BT859" i="1"/>
  <c r="BF860" i="1"/>
  <c r="BT860" i="1"/>
  <c r="BF861" i="1"/>
  <c r="BT861" i="1"/>
  <c r="BF862" i="1"/>
  <c r="BT862" i="1"/>
  <c r="BF863" i="1"/>
  <c r="BT863" i="1"/>
  <c r="BF864" i="1"/>
  <c r="BT864" i="1"/>
  <c r="BF865" i="1"/>
  <c r="BT865" i="1"/>
  <c r="BF866" i="1"/>
  <c r="BT866" i="1"/>
  <c r="BF867" i="1"/>
  <c r="BT867" i="1"/>
  <c r="BF868" i="1"/>
  <c r="BT868" i="1"/>
  <c r="BF869" i="1"/>
  <c r="BT869" i="1"/>
  <c r="BF870" i="1"/>
  <c r="BT870" i="1"/>
  <c r="BF871" i="1"/>
  <c r="BT871" i="1"/>
  <c r="BF872" i="1"/>
  <c r="BT872" i="1"/>
  <c r="BF873" i="1"/>
  <c r="BT873" i="1"/>
  <c r="BF874" i="1"/>
  <c r="BT874" i="1"/>
  <c r="BF875" i="1"/>
  <c r="BT875" i="1"/>
  <c r="BF876" i="1"/>
  <c r="BT876" i="1"/>
  <c r="BF877" i="1"/>
  <c r="BT877" i="1"/>
  <c r="BF878" i="1"/>
  <c r="BT878" i="1"/>
  <c r="BF879" i="1"/>
  <c r="BT879" i="1"/>
  <c r="BF880" i="1"/>
  <c r="BT880" i="1"/>
  <c r="BF881" i="1"/>
  <c r="BT881" i="1"/>
  <c r="BF882" i="1"/>
  <c r="BT882" i="1"/>
  <c r="BF883" i="1"/>
  <c r="BT883" i="1"/>
  <c r="BF884" i="1"/>
  <c r="BT884" i="1"/>
  <c r="BF885" i="1"/>
  <c r="BT885" i="1"/>
  <c r="BF886" i="1"/>
  <c r="BT886" i="1"/>
  <c r="BF887" i="1"/>
  <c r="BT887" i="1"/>
  <c r="BF888" i="1"/>
  <c r="BT888" i="1"/>
  <c r="BF889" i="1"/>
  <c r="BT889" i="1"/>
  <c r="BF890" i="1"/>
  <c r="BT890" i="1"/>
  <c r="BF891" i="1"/>
  <c r="BT891" i="1"/>
  <c r="BF892" i="1"/>
  <c r="BT892" i="1"/>
  <c r="BF893" i="1"/>
  <c r="BT893" i="1"/>
  <c r="BF894" i="1"/>
  <c r="BT894" i="1"/>
  <c r="BF895" i="1"/>
  <c r="BT895" i="1"/>
  <c r="BF896" i="1"/>
  <c r="BT896" i="1"/>
  <c r="BF897" i="1"/>
  <c r="BT897" i="1"/>
  <c r="BF898" i="1"/>
  <c r="BT898" i="1"/>
  <c r="BF899" i="1"/>
  <c r="BT899" i="1"/>
  <c r="BF900" i="1"/>
  <c r="BT900" i="1"/>
  <c r="BF901" i="1"/>
  <c r="BT901" i="1"/>
  <c r="BF902" i="1"/>
  <c r="BT902" i="1"/>
  <c r="BF903" i="1"/>
  <c r="BT903" i="1"/>
  <c r="BF904" i="1"/>
  <c r="BT904" i="1"/>
  <c r="BF905" i="1"/>
  <c r="BT905" i="1"/>
  <c r="BF906" i="1"/>
  <c r="BT906" i="1"/>
  <c r="BF907" i="1"/>
  <c r="BT907" i="1"/>
  <c r="BF908" i="1"/>
  <c r="BT908" i="1"/>
  <c r="BF909" i="1"/>
  <c r="BT909" i="1"/>
  <c r="BF910" i="1"/>
  <c r="BT910" i="1"/>
  <c r="BF911" i="1"/>
  <c r="BT911" i="1"/>
  <c r="BF912" i="1"/>
  <c r="BT912" i="1"/>
  <c r="BF913" i="1"/>
  <c r="BT913" i="1"/>
  <c r="BF914" i="1"/>
  <c r="BT914" i="1"/>
  <c r="BF915" i="1"/>
  <c r="BT915" i="1"/>
  <c r="BF916" i="1"/>
  <c r="BT916" i="1"/>
  <c r="BF917" i="1"/>
  <c r="BT917" i="1"/>
  <c r="BF918" i="1"/>
  <c r="BT918" i="1"/>
  <c r="BF919" i="1"/>
  <c r="BT919" i="1"/>
  <c r="BF920" i="1"/>
  <c r="BT920" i="1"/>
  <c r="BF921" i="1"/>
  <c r="BT921" i="1"/>
  <c r="BF922" i="1"/>
  <c r="BT922" i="1"/>
  <c r="BF923" i="1"/>
  <c r="BT923" i="1"/>
  <c r="BF924" i="1"/>
  <c r="BT924" i="1"/>
  <c r="BF925" i="1"/>
  <c r="BT925" i="1"/>
  <c r="BF926" i="1"/>
  <c r="BT926" i="1"/>
  <c r="BF927" i="1"/>
  <c r="BT927" i="1"/>
  <c r="BF928" i="1"/>
  <c r="BT928" i="1"/>
  <c r="BF929" i="1"/>
  <c r="BT929" i="1"/>
  <c r="BF930" i="1"/>
  <c r="BT930" i="1"/>
  <c r="BF931" i="1"/>
  <c r="BT931" i="1"/>
  <c r="BF932" i="1"/>
  <c r="BT932" i="1"/>
  <c r="BT933" i="1"/>
  <c r="BF934" i="1"/>
  <c r="BT934" i="1"/>
  <c r="BF935" i="1"/>
  <c r="BT935" i="1"/>
  <c r="BF936" i="1"/>
  <c r="BT936" i="1"/>
  <c r="BF937" i="1"/>
  <c r="BT937" i="1"/>
  <c r="BF938" i="1"/>
  <c r="BT938" i="1"/>
  <c r="BF939" i="1"/>
  <c r="BT939" i="1"/>
  <c r="BF940" i="1"/>
  <c r="BT940" i="1"/>
  <c r="BF941" i="1"/>
  <c r="BT941" i="1"/>
  <c r="BF942" i="1"/>
  <c r="BT942" i="1"/>
  <c r="BF943" i="1"/>
  <c r="BT943" i="1"/>
  <c r="BF944" i="1"/>
  <c r="BT944" i="1"/>
  <c r="BF945" i="1"/>
  <c r="BT945" i="1"/>
  <c r="BF946" i="1"/>
  <c r="BT946" i="1"/>
  <c r="BF947" i="1"/>
  <c r="BT947" i="1"/>
  <c r="BF948" i="1"/>
  <c r="BT948" i="1"/>
  <c r="BF949" i="1"/>
  <c r="BT949" i="1"/>
  <c r="BF950" i="1"/>
  <c r="BT950" i="1"/>
  <c r="BF951" i="1"/>
  <c r="BT951" i="1"/>
  <c r="BF952" i="1"/>
  <c r="BT952" i="1"/>
  <c r="BF953" i="1"/>
  <c r="BT953" i="1"/>
  <c r="BF954" i="1"/>
  <c r="BT954" i="1"/>
  <c r="BF955" i="1"/>
  <c r="BT955" i="1"/>
  <c r="BF956" i="1"/>
  <c r="BT956" i="1"/>
  <c r="BF957" i="1"/>
  <c r="BT957" i="1"/>
  <c r="BF958" i="1"/>
  <c r="BT958" i="1"/>
  <c r="BF959" i="1"/>
  <c r="BT959" i="1"/>
  <c r="BF960" i="1"/>
  <c r="BT960" i="1"/>
  <c r="BF961" i="1"/>
  <c r="BT961" i="1"/>
  <c r="BF962" i="1"/>
  <c r="BT962" i="1"/>
  <c r="BF963" i="1"/>
  <c r="BT963" i="1"/>
  <c r="BF964" i="1"/>
  <c r="BT964" i="1"/>
  <c r="BF965" i="1"/>
  <c r="BT965" i="1"/>
  <c r="BF966" i="1"/>
  <c r="BT966" i="1"/>
  <c r="BF967" i="1"/>
  <c r="BT967" i="1"/>
  <c r="BF968" i="1"/>
  <c r="BT968" i="1"/>
  <c r="BF969" i="1"/>
  <c r="BT969" i="1"/>
  <c r="BF970" i="1"/>
  <c r="BT970" i="1"/>
  <c r="BF971" i="1"/>
  <c r="BT971" i="1"/>
  <c r="BF972" i="1"/>
  <c r="BT972" i="1"/>
  <c r="BF973" i="1"/>
  <c r="BT973" i="1"/>
  <c r="BF974" i="1"/>
  <c r="BT974" i="1"/>
  <c r="BF975" i="1"/>
  <c r="BT975" i="1"/>
  <c r="BF976" i="1"/>
  <c r="BT976" i="1"/>
  <c r="BF977" i="1"/>
  <c r="BT977" i="1"/>
  <c r="BF978" i="1"/>
  <c r="BT978" i="1"/>
  <c r="BF979" i="1"/>
  <c r="BT979" i="1"/>
  <c r="BF980" i="1"/>
  <c r="BT980" i="1"/>
  <c r="BF981" i="1"/>
  <c r="BT981" i="1"/>
  <c r="BF982" i="1"/>
  <c r="BT982" i="1"/>
  <c r="BF983" i="1"/>
  <c r="BT983" i="1"/>
  <c r="BF984" i="1"/>
  <c r="BT984" i="1"/>
  <c r="BF985" i="1"/>
  <c r="BT985" i="1"/>
  <c r="BF986" i="1"/>
  <c r="BT986" i="1"/>
  <c r="BF987" i="1"/>
  <c r="BT987" i="1"/>
  <c r="BF988" i="1"/>
  <c r="BT988" i="1"/>
  <c r="BF989" i="1"/>
  <c r="BT989" i="1"/>
  <c r="BF990" i="1"/>
  <c r="BT990" i="1"/>
  <c r="BF991" i="1"/>
  <c r="BT991" i="1"/>
  <c r="BF992" i="1"/>
  <c r="BT992" i="1"/>
  <c r="BF993" i="1"/>
  <c r="BT993" i="1"/>
  <c r="BF994" i="1"/>
  <c r="BT994" i="1"/>
  <c r="BF995" i="1"/>
  <c r="BT995" i="1"/>
  <c r="BF996" i="1"/>
  <c r="BT996" i="1"/>
  <c r="BF997" i="1"/>
  <c r="BT997" i="1"/>
  <c r="BF998" i="1"/>
  <c r="BT998" i="1"/>
  <c r="BT999" i="1"/>
  <c r="BF1000" i="1"/>
  <c r="BT1000" i="1"/>
  <c r="BF1001" i="1"/>
  <c r="BT1001" i="1"/>
</calcChain>
</file>

<file path=xl/sharedStrings.xml><?xml version="1.0" encoding="utf-8"?>
<sst xmlns="http://schemas.openxmlformats.org/spreadsheetml/2006/main" count="59354" uniqueCount="18870">
  <si>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</si>
  <si>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</si>
  <si>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</si>
  <si>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</si>
  <si>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</si>
  <si>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</si>
  <si>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</si>
  <si>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</si>
  <si>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</si>
  <si>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</si>
  <si>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</si>
  <si>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</si>
  <si>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</si>
  <si>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</si>
  <si>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</si>
  <si>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</si>
  <si>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</si>
  <si>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</si>
  <si>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</si>
  <si>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</si>
  <si>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</si>
  <si>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</si>
  <si>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</si>
  <si>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</si>
  <si>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</si>
  <si>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</si>
  <si>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</si>
  <si>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</si>
  <si>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</si>
  <si>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</si>
  <si>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</si>
  <si>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</si>
  <si>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</si>
  <si>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</si>
  <si>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</si>
  <si>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</si>
  <si>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</si>
  <si>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</si>
  <si>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</si>
  <si>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</si>
  <si>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</si>
  <si>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</si>
  <si>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</si>
  <si>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</si>
  <si>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</si>
  <si>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</si>
  <si>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</si>
  <si>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</si>
  <si>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</si>
  <si>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</si>
  <si>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</si>
  <si>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</si>
  <si>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</si>
  <si>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</si>
  <si>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</si>
  <si>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</si>
  <si>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</si>
  <si>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</si>
  <si>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</si>
  <si>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</si>
  <si>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</si>
  <si>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</si>
  <si>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</si>
  <si>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</si>
  <si>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</si>
  <si>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</si>
  <si>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</si>
  <si>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</si>
  <si>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</si>
  <si>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</si>
  <si>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</si>
  <si>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</si>
  <si>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</si>
  <si>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Välisuo, I; Vihma, T; King, JC</t>
  </si>
  <si>
    <t/>
  </si>
  <si>
    <t>Valisuo, I.; Vihma, T.; King, J. C.</t>
  </si>
  <si>
    <t>Surface energy budget on Larsen and Wilkins ice shelves in the Antarctic Peninsula: results based on reanalyses in 1989-2010</t>
  </si>
  <si>
    <t>CRYOSPHERE</t>
  </si>
  <si>
    <t>English</t>
  </si>
  <si>
    <t>Article</t>
  </si>
  <si>
    <t>HEMISPHERE ANNULAR MODE; CLIMATE; COLLAPSE; RETREAT; TEMPERATURES; VARIABILITY; STABILITY; TRENDS; SEA</t>
  </si>
  <si>
    <t>Ice shelves in the Antarctic Peninsula have significantly disintegrated during recent decades. To better understand the atmospheric contribution in the process, we have analysed the inter-annual variations in radiative and turbulent surface fluxes and weather conditions over Larsen C Ice Shelf (LCIS) and Wilkins Ice Shelf (WIS) in the Antarctic Peninsula in 1989-2010. Three atmospheric reanalyses were applied: ERA-Interim by ECMWF, Climate Forecast System Reanalysis (CFSR) by NCEP, and JRA-25/JCDAS by the Japan Meteorological Agency. In addition, in situ observations from an automatic weather station (AWS) on LCIS were applied, mainly for validation of the reanalyses. The AWS observations on LCIS did not show any significant temperature trend, and the reanalyses showed warming trends only over WIS: ERA-Interim in winter (0.23 degrees C yr(-1)) and JRA-25/JCDAS in autumn (0.13 degrees C yr(-1)). In LCIS from December through August and in WIS from March through August, the variations of surface net flux were partly explained by the combined effects of atmospheric pressure, wind and cloud fraction. The explained variance was much higher in LCIS (up to 80 %) than in WIS (26-27 %). Summer melting on LCIS varied between 11 and 58 cm water equivalent (w.e.), which is comparable to previous results. The mean amount of melt days per summer on LCIS was 69. The high values of melting in summer 2001-2002 presented in previous studies on the basis of simple calculations were not supported by our study. Instead, our calculations based on ERA-Interim yielded strongest melting in summer 1992-1993 on both ice shelves. On WIS the summer melting ranged between 10 and 23 cm w.e., and the peak values coincided with the largest disintegrations of the ice shelf. The amount of melt on WIS may, however, be underestimated by ERA-Interim, as previously published satellite observations suggest that it suffers from a significant bias over WIS.</t>
  </si>
  <si>
    <t>[Valisuo, I.; Vihma, T.] Finnish Meteorol Inst, FIN-00101 Helsinki, Finland; [Valisuo, I.] Univ Helsinki, Dept Phys, Helsinki, Finland; [King, J. C.] British Antarctic Survey, Cambridge CB3 0ET, England</t>
  </si>
  <si>
    <t>Finnish Meteorological Institute; University of Helsinki; UK Research &amp; Innovation (UKRI); Natural Environment Research Council (NERC); NERC British Antarctic Survey</t>
  </si>
  <si>
    <t>Välisuo, I (corresponding author), Finnish Meteorol Inst, FIN-00101 Helsinki, Finland.</t>
  </si>
  <si>
    <t>ilona.valisuo@fmi.fi</t>
  </si>
  <si>
    <t>Vihma, Timo/ABC-9771-2020; Välisuo, Ilona/AAO-9438-2020</t>
  </si>
  <si>
    <t>Välisuo, Ilona/0000-0002-8665-4990; King, John/0000-0003-3315-7568</t>
  </si>
  <si>
    <t>Academy of Finland through the AMICO project [128533, 263918]; NERC [NE/G014124/1]; Nordic Top-level Research Initiative; NERC [NE/G014124/1] Funding Source: UKRI; Natural Environment Research Council [NE/G014124/1] Funding Source: researchfish</t>
  </si>
  <si>
    <t>Academy of Finland through the AMICO project; NERC(UK Research &amp; Innovation (UKRI)Natural Environment Research Council (NERC)); Nordic Top-level Research Initiative; NERC(UK Research &amp; Innovation (UKRI)Natural Environment Research Council (NERC)); Natural Environment Research Council(UK Research &amp; Innovation (UKRI)Natural Environment Research Council (NERC))</t>
  </si>
  <si>
    <t>This study was supported by the Academy of Finland through the AMICO project (contracts 128533 and 263918). ECMWF, JMA and NCEP are acknowledged for providing us with the reanalysis products. The automatic weather station measurements were funded by the UK Natural Environment Research Council as part of the British Antarctic Survey's core programme Polar Science for Planet Earth. We would like to thank N. E. Barrand (University of Birmingham, UK) for providing us satellite-based melt calculations over Larsen and Wilkins ice shelves. J. C. King acknowledges support from NERC under grant no. NE/G014124/1 Orographic Flows and the Climate of the Antarctic Peninsula. This publication is contribution number 19 of the Nordic Centre of Excellence SVALI, Stability and Variations of Arctic Land Ice, funded by the Nordic Top-level Research Initiative (TRI).</t>
  </si>
  <si>
    <t>COPERNICUS GESELLSCHAFT MBH</t>
  </si>
  <si>
    <t>GOTTINGEN</t>
  </si>
  <si>
    <t>BAHNHOFSALLEE 1E, GOTTINGEN, 37081, GERMANY</t>
  </si>
  <si>
    <t>1994-0416</t>
  </si>
  <si>
    <t>1994-0424</t>
  </si>
  <si>
    <t>Cryosphere</t>
  </si>
  <si>
    <t>10.5194/tc-8-1519-2014</t>
  </si>
  <si>
    <t>Geography, Physical; Geosciences, Multidisciplinary</t>
  </si>
  <si>
    <t>Science Citation Index Expanded (SCI-EXPANDED)</t>
  </si>
  <si>
    <t>Physical Geography; Geology</t>
  </si>
  <si>
    <t>AO8RU</t>
  </si>
  <si>
    <t>Green Accepted, gold</t>
  </si>
  <si>
    <t>2024-04-21</t>
  </si>
  <si>
    <t>WOS:000341622700029</t>
  </si>
  <si>
    <t>Helm, V; Humbert, A; Miller, H</t>
  </si>
  <si>
    <t>Helm, V.; Humbert, A.; Miller, H.</t>
  </si>
  <si>
    <t>Elevation and elevation change of Greenland and Antarctica derived from CryoSat-2</t>
  </si>
  <si>
    <t>MASS-BALANCE; CONTINENTAL ICE; SATELLITE RADAR; JAKOBSHAVN ISBRAE; ALTIMETRY DATA; LASER DATA; SHEET; SURFACE; MODEL; ACCURACY</t>
  </si>
  <si>
    <t>This study focuses on the present-day surface elevation of the Greenland and Antarctic ice sheets. Based on 3 years of CryoSat-2 data acquisition we derived new elevation models (DEMs) as well as elevation change maps and volume change estimates for both ice sheets. Here we present the new DEMs and their corresponding error maps. The accuracy of the derived DEMs for Greenland and Antarctica is similar to those of previous DEMs obtained by satellite-based laser and radar altimeters. Comparisons with ICESat data show that 80% of the CryoSat-2 DEMs have an uncertainty of less than 3m +/- 15m. The surface elevation change rates between January 2011 and January 2014 are presented for both ice sheets. We compared our results to elevation change rates obtained from ICESat data covering the time period from 2003 to 2009. The comparison reveals that in West Antarctica the volume loss has increased by a factor of 3. It also shows an anomalous thickening in Dronning Maud Land, East Antarctica which represents a known large-scale accumulation event. This anomaly partly compensates for the observed increased volume loss of the Antarctic Peninsula and West Antarctica. For Greenland we find a volume loss increased by a factor of 2.5 compared to the ICESat period with large negative elevation changes concentrated at the west and southeast coasts. The combined volume change of Greenland and Antarctica for the observation period is estimated to be -503 +/- 107 km(3) yr(-1). Greenland contributes nearly 75% to the total volume change with -375 +/- 24 km(3) yr(-1).</t>
  </si>
  <si>
    <t>[Helm, V.; Humbert, A.; Miller, H.] Helmholtz Ctr Polar &amp; Marine Res, Glaciol Sect, Alfred Wegener Inst, Bremerhaven, Germany</t>
  </si>
  <si>
    <t>Helmholtz Association; Alfred Wegener Institute, Helmholtz Centre for Polar &amp; Marine Research</t>
  </si>
  <si>
    <t>Helm, V (corresponding author), Helmholtz Ctr Polar &amp; Marine Res, Glaciol Sect, Alfred Wegener Inst, Bremerhaven, Germany.</t>
  </si>
  <si>
    <t>veit.helm@awi.de</t>
  </si>
  <si>
    <t>Helm, Veit/0000-0001-7788-9328; Humbert, Angelika/0000-0002-0244-8760; Miller, Heinrich/0000-0003-1015-2828</t>
  </si>
  <si>
    <t>The German Ministry of Economics and Technology [50EE1008]</t>
  </si>
  <si>
    <t>The German Ministry of Economics and Technology</t>
  </si>
  <si>
    <t>The German Ministry of Economics and Technology (grant 50EE1008 to V. Helm) has supported this work. We thank Heiko Ewert (TU Dresden) for providing the inter-campaign offsets of ICESat. Furthermore, we thank Robert Cullen and Marco Fonari from ESA for their support in issues regarding the quality of CryoSat-2 data. L. Padman and L. Erofeeva kindly provided the tide model CATS and supported us in the evaluation of issues at the grounding line. We thank Thomas Flament and the two anonymous reviewers and the editor for their comments.</t>
  </si>
  <si>
    <t>10.5194/tc-8-1539-2014</t>
  </si>
  <si>
    <t>gold, Green Submitted</t>
  </si>
  <si>
    <t>Y</t>
  </si>
  <si>
    <t>N</t>
  </si>
  <si>
    <t>WOS:000341622700030</t>
  </si>
  <si>
    <t>Palerme, C; Kay, JE; Genthon, C; L'Ecuyer, T; Wood, NB; Claud, C</t>
  </si>
  <si>
    <t>Palerme, C.; Kay, J. E.; Genthon, C.; L'Ecuyer, T.; Wood, N. B.; Claud, C.</t>
  </si>
  <si>
    <t>How much snow falls on the Antarctic ice sheet?</t>
  </si>
  <si>
    <t>SURFACE MASS-BALANCE; ACCUMULATION; PRECIPITATION; PLATEAU; RADAR</t>
  </si>
  <si>
    <t>Climate models predict Antarctic precipitation to increase during the 21st century, but their present day Antarctic precipitation differs. A model-independent climatology of the Antarctic precipitation characteristics, such as snowfall rates and frequency, is needed to assess the models, but it is not yet available. Satellite observations of precipitation by active sensors has been possible in the polar regions since the launch of CloudSat in 2006. Here, we use two CloudSat products to generate the first multi-year, model-independent climatology of Antarctic precipitation. The first product is used to determine the frequency and the phase of precipitation, while the second product is used to assess the snowfall rate. The mean snowfall rate from August 2006 to April 2011 is 171mm year(-1) over the Antarctic ice sheet, north of 82 degrees S. While uncertainties on individual precipitation retrievals from CloudSat data are potentially large, the mean uncertainty should be much smaller, but cannot be easily estimated. There are no in situ measurements of Antarctic precipitation to directly assess the new climatology. However, distributions of both precipitation occurrences and rates generally agree with the European Centre for Medium-Range Weather Forecasts (ECMWF) ERA-Interim data set, the production of which is constrained by various in situ and satellite observations, but does not use any data from CloudSat. The new data set thus offers unprecedented capability to quantitatively assess Antarctic precipitation statistics and rates in climate models.</t>
  </si>
  <si>
    <t>[Palerme, C.; Genthon, C.] CNRS, LGGE, UMR5183, F-38041 Grenoble, France; [Palerme, C.; Genthon, C.] Univ Grenoble Alpes, LGGE, UMR5183, F-38041 Grenoble, France; [Kay, J. E.] NCAR CGD Natl Ctr Atmospher Res Climate &amp; Global, Boulder, CO USA; [L'Ecuyer, T.] Univ Wisconsin, Dept Atmospher &amp; Ocean Sci, Madison, WI USA; [Wood, N. B.] Univ Wisconsin, Cooperat Inst Meteorol Satellite Studies, Madison, WI USA; [Claud, C.] Ecole Polytech, CNRS, Lab Meteorol Dynam IPSL, F-91128 Palaiseau, France</t>
  </si>
  <si>
    <t>Centre National de la Recherche Scientifique (CNRS); Communaute Universite Grenoble Alpes; Universite Grenoble Alpes (UGA); Communaute Universite Grenoble Alpes; Universite Grenoble Alpes (UGA); University of Wisconsin System; University of Wisconsin Madison; University of Wisconsin System; University of Wisconsin Madison; Sorbonne Universite; Institut Polytechnique de Paris; Centre National de la Recherche Scientifique (CNRS)</t>
  </si>
  <si>
    <t>Palerme, C (corresponding author), CNRS, LGGE, UMR5183, F-38041 Grenoble, France.</t>
  </si>
  <si>
    <t>cyril.palerme@lgge.obs.ujf-grenoble.fr</t>
  </si>
  <si>
    <t>L'Ecuyer, Tristan S/E-5607-2012; KAY, JENNIFER/C-6042-2012</t>
  </si>
  <si>
    <t>L'Ecuyer, Tristan S/0000-0002-7584-4836; Palerme, Cyril/0000-0003-1475-7496; KAY, JENNIFER/0000-0002-3625-5377; Claud, Chantal/0000-0001-7613-9525; Wood, Norman/0000-0001-8228-3910; Genthon, Christophe/0000-0002-3678-4447</t>
  </si>
  <si>
    <t>LEFE/CLAPA programme (Institut National des Sciences de l'Univers); ICE2SEA programme of the European Union [226375]; la Region Rhoe-Alpes; Observatoire des Sciences de l'Univers de Grenoble (OSUG); National Aeronautics and Space Administration</t>
  </si>
  <si>
    <t>LEFE/CLAPA programme (Institut National des Sciences de l'Univers); ICE2SEA programme of the European Union(European Union (EU)); la Region Rhoe-Alpes; Observatoire des Sciences de l'Univers de Grenoble (OSUG); National Aeronautics and Space Administration(National Aeronautics &amp; Space Administration (NASA))</t>
  </si>
  <si>
    <t>This study was supported by the LEFE/CLAPA programme (Institut National des Sciences de l'Univers). This work was partially supported by funding from the ICE2SEA programme of the European Union 7 framework programme, grant number 226375. Ice2Sea contribution number 176. Funding for this project was provided by a grant from la Region Rhoe-Alpes. We are grateful to the Observatoire des Sciences de l'Univers de Grenoble (OSUG), who provided funding for visits around France and the USA. Parts of this research by N. B. Wood and T. L'Ecuyer were performed at the University of Wisconsin-Madison for the Jet Propulsion Laboratory, California Institute of Technology, sponsored by the National Aeronautics and Space Administration. CloudSat data were obtained from the CloudSat Data Processing Center (http://www.cloudsat.cira.colostate.edu). Finally, we thank the two anonymous reviewers for their comments which significantly improved the manuscript.</t>
  </si>
  <si>
    <t>10.5194/tc-8-1577-2014</t>
  </si>
  <si>
    <t>Green Submitted, gold</t>
  </si>
  <si>
    <t>WOS:000341622700032</t>
  </si>
  <si>
    <t>Ligtenberg, SRM; Munneke, PK; van den Broeke, MR</t>
  </si>
  <si>
    <t>Ligtenberg, S. R. M.; Munneke, P. Kuipers; van den Broeke, M. R.</t>
  </si>
  <si>
    <t>Present and future variations in Antarctic firn air content</t>
  </si>
  <si>
    <t>SURFACE MASS-BALANCE; VOSTOK ICE CORE; SEA-LEVEL RISE; INTERANNUAL VARIATIONS; WEST ANTARCTICA; SHEET; MODEL; DENSIFICATION; ACCUMULATION; MELTWATER</t>
  </si>
  <si>
    <t>A firn densification model ( FDM) is used to assess spatial and temporal ( 1979-2200) variations in the depth, density and temperature of the firn layer covering the Antarctic ice sheet ( AIS). A time-dependent version of the FDM is compared to more commonly used steady-state FDM results. Although the average AIS firn air content ( FAC) of both models is similar ( 22.5 m), large spatial differences are found: in the ice-sheet interior, the steady-state model underestimates the FAC by up to 2 m, while the FAC is overestimated by 5-15 m along the ice-sheet margins, due to significant surface melt. Applying the steady-state FAC values to convert surface elevation to ice thickness ( i.e., assuming flotation at the grounding line) potentially results in an underestimation of ice discharge at the grounding line, and hence an underestimation of current AIS mass loss by 23.5% ( or 16.7 Gt yr(-1)) with regard to the reconciled estimate over the period 1992-2011. The timing of the measurement is also important, as temporal FAC variations of 1-2 m are simulated within the 33 yr period ( 1979-2012). Until 2200, the Antarctic FAC is projected to change due to a combination of increasing accumulation, temperature, and surface melt. The latter two result in a decrease of FAC, due to ( i) more refrozen meltwater, ( ii) a higher densification rate, and ( iii) a faster firn-to-ice transition at the bottom of the firn layer. These effects are, however, more than compensated for by increasing snowfall, leading to a 4-14% increase in FAC. Only in melt-affected regions, future FAC is simulated to decrease, with the largest changes (-50 to -80 %) on the ice shelves in the Antarctic Peninsula and Dronning Maud Land. Integrated over the AIS, the increase in precipitation results in a similar volume increase due to ice and air ( both similar to 150 km(3) yr(-1) until 2100). Combined, this volume increase is equivalent to a surface elevation change of +2.1 cm yr(-1), which shows that variations in firn depth remain important to consider in future mass balance studies using satellite altimetry.</t>
  </si>
  <si>
    <t>[Ligtenberg, S. R. M.; Munneke, P. Kuipers; van den Broeke, M. R.] Inst Marine &amp; Atmospher Res Utrecht IMAU, NL-3508 TA Utrecht, Netherlands</t>
  </si>
  <si>
    <t>Utrecht University</t>
  </si>
  <si>
    <t>Ligtenberg, SRM (corresponding author), Inst Marine &amp; Atmospher Res Utrecht IMAU, POB 80000, NL-3508 TA Utrecht, Netherlands.</t>
  </si>
  <si>
    <t>s.r.m.ligtenberg@uu.nl</t>
  </si>
  <si>
    <t>Ligtenberg, Stefan/AAF-8290-2020; Van den Broeke, Michiel R./F-7867-2011</t>
  </si>
  <si>
    <t>Van den Broeke, Michiel R./0000-0003-4662-7565; Kuipers Munneke, Peter/0000-0001-5555-3831</t>
  </si>
  <si>
    <t>Netherlands Polar Program of NWO/ALW; ice2sea project - European Commission [226375, 172]</t>
  </si>
  <si>
    <t>Netherlands Polar Program of NWO/ALW; ice2sea project - European Commission</t>
  </si>
  <si>
    <t>We thank Rob Arthern, Ghislain Picard and one anonymous reviewer for their time and constructive comments. This work was supported by the Netherlands Polar Program of NWO/ALW and the ice2sea project, funded by the European Commission's 7th Framework Programme, grant number 226375, ice2sea manuscript No. 172.</t>
  </si>
  <si>
    <t>10.5194/tc-8-1711-2014</t>
  </si>
  <si>
    <t>AT1ZG</t>
  </si>
  <si>
    <t>WOS:000344728900007</t>
  </si>
  <si>
    <t>Rosier, SHR; Gudmundsson, GH; Green, JAM</t>
  </si>
  <si>
    <t>Rosier, S. H. R.; Gudmundsson, G. H.; Green, J. A. M.</t>
  </si>
  <si>
    <t>Insights into ice stream dynamics through modelling their response to tidal forcing</t>
  </si>
  <si>
    <t>STICK-SLIP MOTION; SHELF; ANTARCTICA; FLOW; VELOCITY; GLACIER; SHEET; SPEED</t>
  </si>
  <si>
    <t>The tidal forcing of ice streams at their ocean boundary can serve as a natural experiment to gain an insight into their dynamics and constrain the basal sliding law. A nonlinear 3-D viscoelastic full Stokes model of coupled ice stream ice shelf flow is used to investigate the response of ice streams to ocean tides. In agreement with previous results based on flow-line modelling and with a fixed grounding line position, we find that a nonlinear basal sliding law can qualitatively reproduce long-period modulation of tidal forcing found in field observations. In addition, we show that the inclusion of lateral drag, or allowing the grounding line to migrate over the tidal cycle, does not affect these conclusions. Further analysis of modelled ice stream flow shows a varying stress-coupling length scale of boundary effects upstream of the grounding line. We derive a viscoelastic stress-coupling length scale from ice stream equations that depends on the forcing period and closely agrees with model output.</t>
  </si>
  <si>
    <t>[Rosier, S. H. R.; Green, J. A. M.] Bangor Univ, Sch Ocean Sci, Menai Bridge LL59 5AB, Gwynedd, Wales; [Rosier, S. H. R.; Gudmundsson, G. H.] British Antarctic Survey, Cambridge CB3 0ET, England</t>
  </si>
  <si>
    <t>Bangor University; UK Research &amp; Innovation (UKRI); Natural Environment Research Council (NERC); NERC British Antarctic Survey</t>
  </si>
  <si>
    <t>Rosier, SHR (corresponding author), Bangor Univ, Sch Ocean Sci, Menai Bridge LL59 5AB, Gwynedd, Wales.</t>
  </si>
  <si>
    <t>s.rosier@bangor.ac.uk</t>
  </si>
  <si>
    <t>Gudmundsson, Gudmundur Hilmar/AAU-5987-2020; Gudmundsson, Gudmundur Hilmar/F-6499-2012</t>
  </si>
  <si>
    <t>Gudmundsson, Gudmundur Hilmar/0000-0003-4236-5369; Gudmundsson, Gudmundur Hilmar/0000-0003-4236-5369; Rosier, Sebastian/0000-0003-3047-9908; Green, Mattias/0000-0001-5090-1040</t>
  </si>
  <si>
    <t>UK Natural Environment Research Council [NE/J/500203/1]; Climate Change Consortium for Wales; NERC [NE/F014821/1]; NERC [NE/F014821/1, bas0100027] Funding Source: UKRI; Natural Environment Research Council [bas0100027, NE/F014821/1] Funding Source: researchfish</t>
  </si>
  <si>
    <t>UK Natural Environment Research Council(UK Research &amp; Innovation (UKRI)Natural Environment Research Council (NERC)); Climate Change Consortium for Wales; NERC(UK Research &amp; Innovation (UKRI)Natural Environment Research Council (NERC)); NERC(UK Research &amp; Innovation (UKRI)Natural Environment Research Council (NERC)); Natural Environment Research Council(UK Research &amp; Innovation (UKRI)Natural Environment Research Council (NERC))</t>
  </si>
  <si>
    <t>We would like to thank Andrew Bell (MSC Software) for invaluable help with the MSC. Marc model. This study is part of the British Antarctic Survey Polar Science for Planet Earth Programme. Funding was provided by the UK Natural Environment Research Council through grant NE/J/500203/1 (SHRR PhD studentship). J. A. M. Green acknowledges funding from the Climate Change Consortium for Wales and from the NERC, grant NE/F014821/1 (Advanced Fellowship).</t>
  </si>
  <si>
    <t>10.5194/tc-8-1763-2014</t>
  </si>
  <si>
    <t>Green Accepted, gold, Green Submitted</t>
  </si>
  <si>
    <t>WOS:000344728900011</t>
  </si>
  <si>
    <t>Wright, AP; Le Brocq, AM; Cornford, SL; Bingham, RG; Corr, HFJ; Ferraccioli, F; Jordan, TA; Payne, AJ; Rippin, DM; Ross, N; Siegert, MJ</t>
  </si>
  <si>
    <t>Wright, A. P.; Le Brocq, A. M.; Cornford, S. L.; Bingham, R. G.; Corr, H. F. J.; Ferraccioli, F.; Jordan, T. A.; Payne, A. J.; Rippin, D. M.; Ross, N.; Siegert, M. J.</t>
  </si>
  <si>
    <t>Sensitivity of the Weddell Sea sector ice streams to sub-shelf melting and surface accumulation</t>
  </si>
  <si>
    <t>GROUNDING-LINE MIGRATION; REVERSE BED SLOPE; MASS-BALANCE; SHEET MODELS; ANTARCTICA; FLOW; STABILITY; CENTURIES</t>
  </si>
  <si>
    <t>A recent ocean modelling study indicates that possible changes in circulation may bring warm deep-ocean water into direct contact with the grounding lines of the Filchner-Ronne ice streams, suggesting the potential for future ice losses from this sector equivalent to similar to 0.3m of sea-level rise. Significant advancements have been made in our knowledge of both the basal topography and ice velocity in the Weddell Sea sector, and the ability to accurately model marine ice sheet dynamics, thus enabling an assessment to be made of the relative sensitivities of the diverse collection of ice streams feeding the Filchner-Ronne Ice Shelf. Here we use the BISICLES ice sheet model, which employs adaptive-mesh refinement to resolve grounding line dynamics, to carry out such an assessment. The impact of realistic perturbations to the surface and sub-shelf mass balance forcing fields from our 2000-year reference model run indicate that both the Institute and Moller ice streams are highly sensitive to changes in basal melting either near to their respective grounding lines, or in the region of the ice rises within the Filchner-Ronne Ice Shelf. These same perturbations have little impact, however, on the Rutford, Carlson or Foundation ice streams, while the Evans Ice Stream is found to enter a phase of unstable retreat only after melt at its grounding line has increased by 50% of likely present-day values.</t>
  </si>
  <si>
    <t>[Wright, A. P.; Le Brocq, A. M.] Univ Exeter, Coll Life &amp; Environm Sci, Exeter EX4 4RJ, Devon, England; [Cornford, S. L.; Payne, A. J.] Univ Bristol, Sch Geog Sci, Bristol Glaciol Ctr, Bristol BS8 1SS, Avon, England; [Bingham, R. G.] Univ Edinburgh, Sch Geosci, Edinburgh EH8 9XP, Midlothian, Scotland; [Corr, H. F. J.; Ferraccioli, F.; Jordan, T. A.] British Antarctic Survey, Cambridge CB3 0ET, England; [Rippin, D. M.] Univ York, Dept Environm, York YO10 5DD, N Yorkshire, England; [Ross, N.] Newcastle Univ, Sch Geog Polit &amp; Sociol, Newcastle Upon Tyne NE1 7RU, Tyne &amp; Wear, England; [Siegert, M. J.] Univ London Imperial Coll Sci Technol &amp; Med, Grantham Inst, London SW7 2AZ, England; [Siegert, M. J.] Univ London Imperial Coll Sci Technol &amp; Med, Dept Earth Sci &amp; Engn, London SW7 2AZ, England</t>
  </si>
  <si>
    <t>University of Exeter; University of Bristol; University of Edinburgh; UK Research &amp; Innovation (UKRI); Natural Environment Research Council (NERC); NERC British Antarctic Survey; University of York - UK; Newcastle University - UK; Imperial College London; Imperial College London</t>
  </si>
  <si>
    <t>Cornford, SL (corresponding author), Univ Bristol, Sch Geog Sci, Bristol Glaciol Ctr, Bristol BS8 1SS, Avon, England.</t>
  </si>
  <si>
    <t>s.l.cornford@bristol.ac.uk</t>
  </si>
  <si>
    <t>Rippin, David Manish/AAW-5063-2021; Corr, Hugh/C-5398-2011; Siegert, Martin J/A-3826-2008; Siegert, Martin/M-9939-2019; payne, antony/A-8916-2008; Bingham, Robert G/G-3576-2017</t>
  </si>
  <si>
    <t>Rippin, David Manish/0000-0001-7757-9880; Siegert, Martin J/0000-0002-0090-4806; Siegert, Martin/0000-0002-0090-4806; payne, antony/0000-0001-8825-8425; Cornford, Stephen/0000-0002-2461-1645; Ferraccioli, Fausto/0000-0002-9347-4736; Cornford, Stephen/0000-0003-1844-274X; Bingham, Robert G/0000-0002-0630-2021</t>
  </si>
  <si>
    <t>UK NERC AFI [NE/G013071/1]; US Department of Energy; UK Natural Environment Research Council; NERC [NE/G013098/2, NE/G013098/1, NE/I010874/1, NE/G013071/1, NE/G014248/1] Funding Source: UKRI; Natural Environment Research Council [NE/G014248/1, NE/I010874/1, NE/G013098/2, NE/G013071/1, NE/G013098/1] Funding Source: researchfish</t>
  </si>
  <si>
    <t>UK NERC AFI(UK Research &amp; Innovation (UKRI)Natural Environment Research Council (NERC)); US Department of Energy(United States Department of Energy (DOE)); UK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</si>
  <si>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Funding for this work was provided by UK NERC AFI grant NE/G013071/1. BISICLES development is led by D. F. Martin at Lawrence Berkeley National Laboratory, California, USA, and S. L. Cornford at the University of Bristol, UK, with financial support provided by the US Department of Energy and the UK Natural Environment Research Council.</t>
  </si>
  <si>
    <t>10.5194/tc-8-2119-2014</t>
  </si>
  <si>
    <t>AY3ES</t>
  </si>
  <si>
    <t>Green Accepted, Green Submitted, Green Published, gold</t>
  </si>
  <si>
    <t>WOS:000347468000008</t>
  </si>
  <si>
    <t>Grünewald, T; Bühler, Y; Lehning, M</t>
  </si>
  <si>
    <t>Gruenewald, T.; Buehler, Y.; Lehning, M.</t>
  </si>
  <si>
    <t>Elevation dependency of mountain snow depth</t>
  </si>
  <si>
    <t>OROGRAPHIC PRECIPITATION; LIDAR MEASUREMENT; WATER EQUIVALENT; ALPINE; VARIABILITY; ALPS; CLIMATOLOGY; FOREST; COVER; GAUGE</t>
  </si>
  <si>
    <t>Elevation strongly affects quantity and distribution patterns of precipitation and snow. Positive elevation gradients were identified by many studies, usually based on data from sparse precipitation stations or snow depth measurements. We present a systematic evaluation of the elevation snow depth relationship. We analyse areal snow depth data obtained by remote sensing for seven mountain sites near to the time of the maximum seasonal snow accumulation. Snow depths were averaged to 100 m elevation bands and then related to their respective elevation level. The assessment was performed at three scales: (i) the complete data sets (10 km scale), (ii) sub-catchments (km scale) and (iii) slope transects (100 m scale). We show that most elevation-snow depth curves at all scales are characterised through a single shape. Mean snow depths increase with elevation up to a certain level where they have a distinct peak followed by a decrease at the highest elevations. We explain this typical shape with a generally positive elevation gradient of snow fall that is modified by the interaction of snow cover and topography. These processes are preferential deposition of precipitation and redistribution of snow by wind, sloughing and avalanching. Furthermore, we show that the elevation level of the peak of mean snow depth correlates with the dominant elevation level of rocks (if present).</t>
  </si>
  <si>
    <t>[Gruenewald, T.; Buehler, Y.; Lehning, M.] WSL Inst Snow &amp; Avalanche Res SLF, CH-7260 Davos, Switzerland; [Gruenewald, T.; Lehning, M.] Ecole Polytech Fed Lausanne, Sch Architecture Civil &amp; Environm Engn, Cryos, CH-1015 Lausanne, Switzerland</t>
  </si>
  <si>
    <t>Swiss Federal Institutes of Technology Domain; Swiss Federal Institute for Forest, Snow &amp; Landscape Research; Swiss Federal Institutes of Technology Domain; Ecole Polytechnique Federale de Lausanne</t>
  </si>
  <si>
    <t>Grünewald, T (corresponding author), WSL Inst Snow &amp; Avalanche Res SLF, CH-7260 Davos, Switzerland.</t>
  </si>
  <si>
    <t>gruenewald@slf.ch</t>
  </si>
  <si>
    <t>Grünewald, Thomas/AAA-2063-2019; Bühler, Yves/B-9859-2011; Grunewald, Thomas/E-3235-2017</t>
  </si>
  <si>
    <t>Bühler, Yves/0000-0002-0815-2717; Grunewald, Thomas/0000-0002-6235-0773</t>
  </si>
  <si>
    <t>Swiss National Foundation; Amt fur Wald; Naturgefahren Graubunden</t>
  </si>
  <si>
    <t>Swiss National Foundation(Swiss National Science Foundation (SNSF)); Amt fur Wald; Naturgefahren Graubunden</t>
  </si>
  <si>
    <t>First we want to thank J. Parajka and an anonymous reviewer for their constructive comments. They helped to improve the paper considerably. The Swiss National Foundation is acknowledged for partly funding this work. We furthermore thank all our colleagues who helped in various ways, especially R. Mott, C. Marty, C. Ginzler and A. Schilling. Finally, we are grateful to all people and institutions who provided data, particularly, Leica Geosystems for the ADP data, the Amt fur Wald und Naturgefahren Graubunden for financial support for the LAG and WAN data, I. Moreno Banos, P. Oller, J. Marturia (Institut Geologic de Catalunia) for the NUR data, H. Stotter (Institute for Geography, University of Innsbruck) for the HEF data and R. Dadic (Antarctic Research Centre, University of Wellington) and P. Burlando (Institute for Environmental Engineering, ETH Zurich) for the data sets from ARO.</t>
  </si>
  <si>
    <t>10.5194/tc-8-2381-2014</t>
  </si>
  <si>
    <t>Green Accepted, Green Submitted, gold</t>
  </si>
  <si>
    <t>WOS:000347468000024</t>
  </si>
  <si>
    <t>López-López, O; Cerdán, ME; Siso, MIG</t>
  </si>
  <si>
    <t>Lopez-Lopez, Olalla; Cerdan, Maria E.; Gonzalez Siso, Maria I.</t>
  </si>
  <si>
    <t>New Extremophilic Lipases and Esterases from Metagenomics</t>
  </si>
  <si>
    <t>CURRENT PROTEIN &amp; PEPTIDE SCIENCE</t>
  </si>
  <si>
    <t>Review</t>
  </si>
  <si>
    <t>Extremophiles; industrial biocatalysts; lipases and esterases; lipolytic enzymes classification; metagenomics; non-culturable microorganisms</t>
  </si>
  <si>
    <t>SEA SEDIMENT METAGENOME; FOREST SOIL METAGENOME; ANTARCTIC DESERT SOIL; COLD-ACTIVE LIPASE; SOUTH CHINA SEA; BACTERIAL LIPASES; BIOTECHNOLOGICAL APPLICATIONS; EXPRESSION CLONING; ALKALINE ESTERASE; LIPOLYTIC ENZYMES</t>
  </si>
  <si>
    <t>Lipolytic enzymes catalyze the hydrolysis of ester bonds in the presence of water. In media with low water content or in organic solvents, they can catalyze synthetic reactions such as esterification and transesterification. Lipases and esterases, in particular those from extremophilic origin, are robust enzymes, functional under the harsh conditions of industrial processes owing to their inherent thermostability and resistance towards organic solvents, which combined with their high chemo-, regio- and enantioselectivity make them very attractive biocatalysts for a variety of industrial applications. Likewise, enzymes from extremophile sources can provide additional features such as activity at extreme temperatures, extreme pH values or high salinity levels, which could be interesting for certain purposes. New lipases and esterases have traditionally been discovered by the isolation of microbial strains producing lipolytic activity. The Genome Projects Era allowed genome mining, exploiting homology with known lipases and esterases, to be used in the search for new enzymes. The Metagenomic Era meant a step forward in this field with the study of the metagenome, the pool of genomes in an environmental microbial community. Current molecular biology techniques make it possible to construct total environmental DNA libraries, including the genomes of unculturable organisms, opening a new window to a vast field of unknown enzymes with new and unique properties. Here, we review the latest advances and findings from research into new extremophilic lipases and esterases, using metagenomic approaches, and their potential industrial and biotechnological applications.</t>
  </si>
  <si>
    <t>[Lopez-Lopez, Olalla; Cerdan, Maria E.; Gonzalez Siso, Maria I.] Univ A Coruna, Fac Sci, Dept Cellular &amp; Mol Biol, Biochem &amp; Mol Biol Area, La Coruna 15071, Spain</t>
  </si>
  <si>
    <t>Universidade da Coruna</t>
  </si>
  <si>
    <t>Siso, MIG (corresponding author), Univ A Coruna, Fac Sci, Dept Cellular &amp; Mol Biol, Biochem &amp; Mol Biol Area, Campus A Zapateira S-N, La Coruna 15071, Spain.</t>
  </si>
  <si>
    <t>migs@udc.es</t>
  </si>
  <si>
    <t>López, Olalla/B-4484-2017; CERDÁN, MARÍA ESPERANZA/D-5644-2013; Gonzalez-Siso, Maria-Isabel/M-4882-2015</t>
  </si>
  <si>
    <t>López, Olalla/0000-0001-5811-6098; Gonzalez-Siso, Maria-Isabel/0000-0001-9538-4841</t>
  </si>
  <si>
    <t>Maria Barbeito research contract from Xunta de Galicia; Xunta de Galicia [10MDS373027PR]; European Union Seventh Framework Programme (FP7) [324439]; Xunta de Galicia (Consolidacion D.O.G.) - FEDER [CN: 2012/118]</t>
  </si>
  <si>
    <t>Maria Barbeito research contract from Xunta de Galicia; Xunta de Galicia(Xunta de Galicia); European Union Seventh Framework Programme (FP7)(European Union (EU)); Xunta de Galicia (Consolidacion D.O.G.) - FEDER</t>
  </si>
  <si>
    <t>The work of Olalla Lopez was supported by a Maria Barbeito research contract from Xunta de Galicia. This research was supported by project grant 10MDS373027PR (Xunta de Galicia) and from the European Union Seventh Framework Programme (FP7/2007-2013) under grant agreement no 324439. General support to the laboratory was funded by Xunta de Galicia (Consolidacion D.O.G. 10-10-2012. CN: 2012/118) co-financed by FEDER. The English style of the manuscript was improved by Biomedes.</t>
  </si>
  <si>
    <t>BENTHAM SCIENCE PUBL LTD</t>
  </si>
  <si>
    <t>SHARJAH</t>
  </si>
  <si>
    <t>EXECUTIVE STE Y-2, PO BOX 7917, SAIF ZONE, 1200 BR SHARJAH, U ARAB EMIRATES</t>
  </si>
  <si>
    <t>1389-2037</t>
  </si>
  <si>
    <t>1875-5550</t>
  </si>
  <si>
    <t>CURR PROTEIN PEPT SC</t>
  </si>
  <si>
    <t>Curr. Protein Pept. Sci.</t>
  </si>
  <si>
    <t>10.2174/1389203715666140228153801</t>
  </si>
  <si>
    <t>Biochemistry &amp; Molecular Biology</t>
  </si>
  <si>
    <t>AO3MV</t>
  </si>
  <si>
    <t>Green Published, Green Submitted</t>
  </si>
  <si>
    <t>WOS:000341235800006</t>
  </si>
  <si>
    <t>B</t>
  </si>
  <si>
    <t>Díez, B; Ininbergs, K</t>
  </si>
  <si>
    <t>Sharma, NK; Rai, AK; Stal, LJ</t>
  </si>
  <si>
    <t>Diez, Beatriz; Ininbergs, Karolina</t>
  </si>
  <si>
    <t>Ecological importance of cyanobacteria</t>
  </si>
  <si>
    <t>CYANOBACTERIA: AN ECONOMIC PERSPECTIVE</t>
  </si>
  <si>
    <t>Article; Book Chapter</t>
  </si>
  <si>
    <t>NITROGEN-FIXING CYANOBACTERIA; N-2 FIXATION; MARINE CYANOBACTERIUM; PROCHLOROCOCCUS-MARINUS; ANTARCTIC LAKES; ICE SHELF; ULTRASTRUCTURAL CHARACTERIZATION; NONHETEROCYSTOUS CYANOBACTERIUM; ENVIRONMENTAL-FACTORS; DINITROGEN FIXATION</t>
  </si>
  <si>
    <t>[Diez, Beatriz] Pontificia Univ Catolica Chile, Fac Biol Sci, Dept Mol Genet &amp; Microbiol, Alameda 340,Casilla 114-D, Santiago 6513677, Chile; [Ininbergs, Karolina] Stockholm Univ, Dept Ecol Environm &amp; Plant Sci, S-10691 Stockholm, Sweden</t>
  </si>
  <si>
    <t>Pontificia Universidad Catolica de Chile; Stockholm University</t>
  </si>
  <si>
    <t>Díez, B (corresponding author), Pontificia Univ Catolica Chile, Fac Biol Sci, Dept Mol Genet &amp; Microbiol, Alameda 340,Casilla 114-D, Santiago 6513677, Chile.</t>
  </si>
  <si>
    <t>Ininbergs, Karolina/A-8125-2013; Díez, Beatriz/AAG-2244-2021</t>
  </si>
  <si>
    <t>Díez, Beatriz/0000-0002-9371-8083</t>
  </si>
  <si>
    <t>BLACKWELL SCIENCE PUBL</t>
  </si>
  <si>
    <t>OXFORD</t>
  </si>
  <si>
    <t>OSNEY MEAD, OXFORD OX2 0EL, ENGLAND</t>
  </si>
  <si>
    <t>978-1-118-40223-8; 978-1-119-94127-9</t>
  </si>
  <si>
    <t>10.1002/9781118402238</t>
  </si>
  <si>
    <t>Biotechnology &amp; Applied Microbiology; Economics; Environmental Studies</t>
  </si>
  <si>
    <t>Book Citation Index – Social Sciences &amp; Humanities (BKCI-SSH); Book Citation Index – Science (BKCI-S)</t>
  </si>
  <si>
    <t>Biotechnology &amp; Applied Microbiology; Business &amp; Economics; Environmental Sciences &amp; Ecology</t>
  </si>
  <si>
    <t>BL4SN</t>
  </si>
  <si>
    <t>WOS:000450750800005</t>
  </si>
  <si>
    <t>Kilroy, C; Bothwell, ML</t>
  </si>
  <si>
    <t>Kilroy, Cathy; Bothwell, Max L.</t>
  </si>
  <si>
    <t>Attachment and short-term stalk development of Didymosphenia geminata: effects of light, temperature and nutrients</t>
  </si>
  <si>
    <t>DIATOM RESEARCH</t>
  </si>
  <si>
    <t>Didymosphenia geminata; cell attachment; stalk production; photoinhibition; ultraviolet radiation; phosphorus</t>
  </si>
  <si>
    <t>ULTRAVIOLET-B RADIATION; ACHNANTHES-LONGIPES BACILLARIOPHYCEAE; FRESH-WATER DIATOM; ANTARCTIC PHYTOPLANKTON; MICROALGAL COLONIZATION; NEW-ZEALAND; GROWTH; PHOTOSYNTHESIS; RESPONSES; ADHESION</t>
  </si>
  <si>
    <t>We measured cell attachments and stalk lengths of the stalked diatom Didymosphenia geminata in situ, using in vivo staining, under different nutrient (phosphorus and nitrogen) and light treatments. Our aims were: (1) to investigate the effects of light and temperature (season) on attachment and stalk growth, including the effect of ultraviolet radiation (UVR), which has been suggested as a possible factor favouring D. geminata proliferation; and (2) to test the hypothesis that enrichment with dissolved phosphorus (DRP) inhibits the initial attachment of D. geminata cells. Although low concentrations (below approximate to 2mgm(-3)) of DRP appear to be responsible for D. geminata proliferation, its general absence where DRP&gt;2mgm(-3) is not understood. The experiments were conducted in outdoor channels over 14 months, spanning a range of water temperatures and light intensities. Increasing visible light intensity usually had a positive effect on attachment densities and stalk length, but both were depressed by very high intensities. Exposure to UVR generally led to lower attachment rates and shorter stalks. Increasing water temperature with season had a positive influence on the proportion of cell attachments producing stalks. Elevated nutrients (up to 6.6mgm(-3) P, and up to 115mgm(-3)N above ambient) did not affect D. geminata cell attachment unless the treatment channels contained previously colonised substrata. Nutrient enrichment negatively affected stalk length. Earlier findings of a positive role of light and a negative effect of nutrients on stalk length in D. geminata were corroborated, except that photoinhibition was demonstrated at very high visible light intensities. There was no evidence of a positive effect of UVR on D. geminata proliferation at the initial stages of attachment and growth. The results indicated that the absence of D. geminata from rivers with high DRP concentrations is not the result of nutrient interference with initial cell attachment.</t>
  </si>
  <si>
    <t>[Kilroy, Cathy] Natl Inst Water &amp; Atmospher Res Ltd, Christchurch, New Zealand; [Bothwell, Max L.] Environm Canada, Pacific Biol Stn, Nanaimo, BC, Canada</t>
  </si>
  <si>
    <t>National Institute of Water &amp; Atmospheric Research (NIWA) - New Zealand; Environment &amp; Climate Change Canada</t>
  </si>
  <si>
    <t>Kilroy, C (corresponding author), Natl Inst Water &amp; Atmospher Res Ltd, Christchurch, New Zealand.</t>
  </si>
  <si>
    <t>cathy.kilroy@niwa.co.nz</t>
  </si>
  <si>
    <t>Bothwell, Max/AAD-3133-2020</t>
  </si>
  <si>
    <t>NIWA [2009/10-2013/14 SCI]; Environment Canada; NZ Fish Game Ltd.; New Zealand Department of Conservation; Meridian Energy Ltd.</t>
  </si>
  <si>
    <t>NIWA; Environment Canada(CGIAR); NZ Fish Game Ltd.; New Zealand Department of Conservation; Meridian Energy Ltd.</t>
  </si>
  <si>
    <t>We thank Neil Blair (NIWA) and Graeme Hughes (NZ Fish &amp; Game Ltd.) for their roles in setting up and maintaining the experimental site and equipment. We are grateful to local landholders Peter Irving, Kate White and Gary Wilson, and other local stakeholders, for permission to access the experimental site, and for maintaining the access route. The research was funded by NIWA under Freshwater Programme 2 (2009/10-2013/14 SCI), Environment Canada (support for M. L. B), NZ Fish &amp; Game Ltd., the New Zealand Department of Conservation, and Meridian Energy Ltd. Helen Brider is thanked for assistance in the field, the NIWA Hamilton analytical laboratory for nutrient analyses, and Graham Fenwick, Helen Rouse and two anonymous referees for suggestions for improving the manuscript.</t>
  </si>
  <si>
    <t>TAYLOR &amp; FRANCIS LTD</t>
  </si>
  <si>
    <t>ABINGDON</t>
  </si>
  <si>
    <t>4 PARK SQUARE, MILTON PARK, ABINGDON OX14 4RN, OXON, ENGLAND</t>
  </si>
  <si>
    <t>0269-249X</t>
  </si>
  <si>
    <t>2159-8347</t>
  </si>
  <si>
    <t>DIATOM RES</t>
  </si>
  <si>
    <t>Diatom Res.</t>
  </si>
  <si>
    <t>SI</t>
  </si>
  <si>
    <t>10.1080/0269249X.2014.889043</t>
  </si>
  <si>
    <t>Marine &amp; Freshwater Biology</t>
  </si>
  <si>
    <t>AL8OT</t>
  </si>
  <si>
    <t>WOS:000339399400003</t>
  </si>
  <si>
    <t>Williams, SDP; Moore, P; King, MA; Whitehouse, PL</t>
  </si>
  <si>
    <t>Williams, Simon D. P.; Moore, Philip; King, Matt A.; Whitehouse, Pippa L.</t>
  </si>
  <si>
    <t>Revisiting GRACE Antarctic ice mass trends and accelerations considering autocorrelation</t>
  </si>
  <si>
    <t>EARTH AND PLANETARY SCIENCE LETTERS</t>
  </si>
  <si>
    <t>GRACE; Antarctica; acceleration; stochastic modeling; confidence intervals</t>
  </si>
  <si>
    <t>GLACIAL-ISOSTATIC-ADJUSTMENT; INTERANNUAL VARIATIONS; CORRELATED ERRORS; BALANCE; MODEL</t>
  </si>
  <si>
    <t>Previous GRACE-derived ice mass trends and accelerations have almost entirely been based on an assumption that the residuals to a regression model (including also semi-annual, annual and tidal aliasing terms) are not serially correlated. We consider ice mass change time series for Antarctica and show that significant autocorrelation is, in fact, present. We examine power-law and autoregressive models and compare them to those that assume white (uncorrelated) noise. The data do not let us separate autoregressive and power-law models but both indicate that white noise uncertainties need to be scaled up by a factor of up to 4 for accelerations and 6 for linear rates, depending on length of observations and location. For the whole of Antarctica, East Antarctica and West Antarctica the scale factors are 1.5, 1.5 and 2.2 respectively for the trends and, for the accelerations, 1.5, 1.5 and 2.1. Substantially lower scale-factors are required for offshore time series, suggesting much of the time-correlation is related to continental mass changes. Despite the higher uncertainties, we find significant (2-sigma) accelerations over much of West Antarctica (overall increasing mass loss) and Dronning Maud Land (increasing mass gain) as well as a marginally significant acceleration for the ice sheet as a whole (increasing mass loss). (C) 2013 The Authors. Published by Elsevier B.V. All rights reserved.</t>
  </si>
  <si>
    <t>[Williams, Simon D. P.] Natl Oceanog Ctr, Liverpool L3 5DA, Merseyside, England; [Moore, Philip; King, Matt A.] Newcastle Univ, Sch Civil Engn &amp; Geosci, Newcastle Upon Tyne NE1 7RU, Tyne &amp; Wear, England; [King, Matt A.] Univ Tasmania, Sch Geog &amp; Environm Studies, Hobart, Tas 7001, Australia; [Whitehouse, Pippa L.] Univ Durham, Sci Labs, Dept Geog, Durham DH1 3LE, England</t>
  </si>
  <si>
    <t>NERC National Oceanography Centre; Newcastle University - UK; University of Tasmania; Durham University</t>
  </si>
  <si>
    <t>Williams, SDP (corresponding author), Natl Oceanog Ctr, Joseph Proudman Bldg,6 Brownlow St, Liverpool L3 5DA, Merseyside, England.</t>
  </si>
  <si>
    <t>sdwil@noc.ac.uk; philip.moore@newcastle.ac.uk; MattKing@utas.edu.au; pippa.whitehouse@durham.ac.uk</t>
  </si>
  <si>
    <t>King, Matt/B-4622-2008; Williams, Simon/C-7214-2011</t>
  </si>
  <si>
    <t>King, Matt/0000-0001-5611-9498; Williams, Simon/0000-0003-4123-4973; Whitehouse, Pippa/0000-0002-9092-3444</t>
  </si>
  <si>
    <t>NERC [NE/E004245/1]; Australian Research Council [FT110100207]; NERC [NE/E004245/1, NE/K009958/1] Funding Source: UKRI; Natural Environment Research Council [noc010012, NE/E004245/1, NE/K009958/1] Funding Source: researchfish</t>
  </si>
  <si>
    <t>NERC(UK Research &amp; Innovation (UKRI)Natural Environment Research Council (NERC)); Australian Research Council(Australian Research Council); NERC(UK Research &amp; Innovation (UKRI)Natural Environment Research Council (NERC)); Natural Environment Research Council(UK Research &amp; Innovation (UKRI)Natural Environment Research Council (NERC))</t>
  </si>
  <si>
    <t>This work was funded by NERC Grant NE/E004245/1. M.A.K. is a recipient of an Australian Research Council Future Fellowship (project number FT110100207). We thank Bert Wouters and an anonymous reviewer for their insightful comments.</t>
  </si>
  <si>
    <t>ELSEVIER</t>
  </si>
  <si>
    <t>AMSTERDAM</t>
  </si>
  <si>
    <t>RADARWEG 29, 1043 NX AMSTERDAM, NETHERLANDS</t>
  </si>
  <si>
    <t>0012-821X</t>
  </si>
  <si>
    <t>1385-013X</t>
  </si>
  <si>
    <t>EARTH PLANET SC LETT</t>
  </si>
  <si>
    <t>Earth Planet. Sci. Lett.</t>
  </si>
  <si>
    <t>JAN 1</t>
  </si>
  <si>
    <t>10.1016/j.epsl.2013.10.016</t>
  </si>
  <si>
    <t>Geochemistry &amp; Geophysics</t>
  </si>
  <si>
    <t>AA3WD</t>
  </si>
  <si>
    <t>Green Accepted, Green Published, hybrid</t>
  </si>
  <si>
    <t>WOS:000331025000002</t>
  </si>
  <si>
    <t>Levermann, A; Winkelmann, R; Nowicki, S; Fastook, JL; Frieler, K; Greve, R; Hellmer, HH; Martin, MA; Meinshausen, M; Mengel, M; Payne, AJ; Pollard, D; Sato, T; Timmermann, R; Wang, WL; Bindschadler, RA</t>
  </si>
  <si>
    <t>Levermann, A.; Winkelmann, R.; Nowicki, S.; Fastook, J. L.; Frieler, K.; Greve, R.; Hellmer, H. H.; Martin, M. A.; Meinshausen, M.; Mengel, M.; Payne, A. J.; Pollard, D.; Sato, T.; Timmermann, R.; Wang, W. L.; Bindschadler, R. A.</t>
  </si>
  <si>
    <t>Projecting Antarctic ice discharge using response functions from SeaRISE ice-sheet models</t>
  </si>
  <si>
    <t>EARTH SYSTEM DYNAMICS</t>
  </si>
  <si>
    <t>FINITE-ELEMENT MODEL; SEA-LEVEL; GROUNDING-LINE; SPATIAL SENSITIVITIES; ENVIRONMENTAL-CHANGE; NUMERICAL-MODEL; CLIMATE-CHANGE; MASS RESPONSE; OCEAN MODEL; PISM-PIK</t>
  </si>
  <si>
    <t>The largest uncertainty in projections of future sea-level change results from the potentially changing dynamical ice discharge from Antarctica. Basal ice-shelf melting induced by a warming ocean has been identified as a major cause for additional ice flow across the grounding line. Here we attempt to estimate the uncertainty range of future ice discharge from Antarctica by combining uncertainty in the climatic forcing, the oceanic response and the ice-sheet model response. The uncertainty in the global mean temperature increase is obtained from historically constrained emulations with the MAGICC-6.0 (Model for the Assessment of Greenhouse gas Induced Climate Change) model. The oceanic forcing is derived from scaling of the subsurface with the atmospheric warming from 19 comprehensive climate models of the Coupled Model Intercomparison Project (CMIP-5) and two ocean models from the EU-project Ice2Sea. The dynamic ice-sheet response is derived from linear response functions for basal ice-shelf melting for four different Antarctic drainage regions using experiments from the Sea-level Response to Ice Sheet Evolution (SeaRISE) intercomparison project with five different Antarctic ice-sheet models. The resulting uncertainty range for the historic Antarctic contribution to global sea-level rise from 1992 to 2011 agrees with the observed contribution for this period if we use the three ice-sheet models with an explicit representation of ice-shelf dynamics and account for the time-delayed warming of the oceanic subsurface compared to the surface air temperature. The median of the additional ice loss for the 21st century is computed to 0.07 m (66% range: 0.02-0.14 m; 90% range: 0.0-0.23 m) of global sea-level equivalent for the low-emission RCP-2.6 (Representative Concentration Pathway) scenario and 0.09 m (66% range: 0.04-0.21 m; 90% range: 0.01-0.37 m) for the strongest RCP-8.5. Assuming no time delay between the atmospheric warming and the oceanic subsurface, these values increase to 0.09 m (66% range: 0.04-0.17 m; 90% range: 0.02-0.25 m) for RCP-2.6 and 0.15 m (66% range: 0.07-0.28 m; 90% range: 0.04-0.43 m) for RCP-8.5. All probability distributions are highly skewed towards high values. The applied ice-sheet models are coarse resolution with limitations in the representation of grounding-line motion. Within the constraints of the applied methods, the uncertainty induced from different ice-sheet models is smaller than that induced by the external forcing to the ice sheets.</t>
  </si>
  <si>
    <t>[Levermann, A.; Winkelmann, R.; Frieler, K.; Martin, M. A.; Meinshausen, M.; Mengel, M.] Potsdam Inst Climate Impact Res, Potsdam, Germany; [Levermann, A.] Univ Potsdam, Inst Phys, Potsdam, Germany; [Nowicki, S.; Wang, W. L.; Bindschadler, R. A.] NASA, Goddard Space Flight Ctr, Cryospher Sci Lab, Greenbelt, MD 20771 USA; [Fastook, J. L.] Univ Maine, Comp Sci Quaternary Inst, Orono, ME 04469 USA; [Greve, R.; Sato, T.] Hokkaido Univ, Inst Low Temp Sci, Sapporo, Hokkaido 0600819, Japan; [Hellmer, H. H.; Timmermann, R.] Alfred Wegener Inst, Bremerhaven, Germany; [Meinshausen, M.] Univ Melbourne, Sch Earth Sci, Melbourne, Vic 3010, Australia; [Payne, A. J.] Univ Bristol, Bristol Glaciol Ctr, Bristol BS8 1SS, Avon, England; [Pollard, D.] Penn State Univ, Earth &amp; Environm Syst Inst, University Pk, PA 16802 USA</t>
  </si>
  <si>
    <t>Potsdam Institut fur Klimafolgenforschung; University of Potsdam; National Aeronautics &amp; Space Administration (NASA); NASA Goddard Space Flight Center; University of Maine System; University of Maine Orono; Hokkaido University; Helmholtz Association; Alfred Wegener Institute, Helmholtz Centre for Polar &amp; Marine Research; University of Melbourne; Melbourne Bioinformatics; University of Bristol; Pennsylvania Commonwealth System of Higher Education (PCSHE); Pennsylvania State University; Pennsylvania State University - University Park</t>
  </si>
  <si>
    <t>Levermann, A (corresponding author), Potsdam Inst Climate Impact Res, Potsdam, Germany.</t>
  </si>
  <si>
    <t>anders.levermann@pik-potsdam.de</t>
  </si>
  <si>
    <t>Meinshausen, Malte/AAG-7985-2019; Meinshausen, Malte/A-7037-2011; Levermann, Anders/G-4666-2011; Meinshausen, Malte/AAG-6505-2019; Martin, Maria/IUN-0219-2023; payne, antony/A-8916-2008; Greve, Ralf/G-2336-2010</t>
  </si>
  <si>
    <t>Meinshausen, Malte/0000-0003-4048-3521; Levermann, Anders/0000-0003-4432-4704; Meinshausen, Malte/0000-0003-4048-3521; Hellmer, Hartmut/0000-0002-9357-9853; Fastook, James/0000-0003-3900-671X; Frieler, Katja/0000-0003-4869-3013; Winkelmann, Ricarda/0000-0003-1248-3217; payne, antony/0000-0001-8825-8425; Greve, Ralf/0000-0002-1341-4777</t>
  </si>
  <si>
    <t>German federal ministry of education and research (BMBF) [01LP1171A]; Deutsche Bundesstiftung Umwelt; Japan Society for the Promotion of Science (JSPS) [22244058]; NASA Cryospheric Science program [281945.02.53.02.19, 281945.02.53.02.20]; German Federal Ministry for the Environment, Nature Conservation and Nuclear Safety [11_II_093_Global_A_SIDS]; European Union [226375]; NERC [NE/J005738/1, NE/I010874/1] Funding Source: UKRI; Natural Environment Research Council [NE/I010874/1, NE/J005738/1] Funding Source: researchfish</t>
  </si>
  <si>
    <t>German federal ministry of education and research (BMBF)(Federal Ministry of Education &amp; Research (BMBF)); Deutsche Bundesstiftung Umwelt; Japan Society for the Promotion of Science (JSPS)(Ministry of Education, Culture, Sports, Science and Technology, Japan (MEXT)Japan Society for the Promotion of Science); NASA Cryospheric Science program; German Federal Ministry for the Environment, Nature Conservation and Nuclear Safety; European Union(European Union (EU)); NERC(UK Research &amp; Innovation (UKRI)Natural Environment Research Council (NERC)); Natural Environment Research Council(UK Research &amp; Innovation (UKRI)Natural Environment Research Council (NERC))</t>
  </si>
  <si>
    <t>R. Winkelmann and M. A. Martin were funded by the German federal ministry of education and research (BMBF grant 01LP1171A). M. Meinshausen was funded by the Deutsche Bundesstiftung Umwelt. R. Greve and T. Sato were supported by a Grant-in-Aid for Scientific Research A (no. 22244058) from the Japan Society for the Promotion of Science (JSPS). S. Nowicki, R. A. Bindschadler, and W. L. Wang were supported by the NASA Cryospheric Science program (grants 281945.02.53.02.19 and 281945.02.53.02.20). K. Frieler was supported by the German Federal Ministry for the Environment, Nature Conservation and Nuclear Safety (11_II_093_Global_A_SIDS and LDCs). H. H. Hellmer, A. J. Payne and R. Timmermann were supported by the ice2sea programme from the European Union 7th Framework Programme, grant no. 226375.</t>
  </si>
  <si>
    <t>2190-4979</t>
  </si>
  <si>
    <t>2190-4987</t>
  </si>
  <si>
    <t>EARTH SYST DYNAM</t>
  </si>
  <si>
    <t>Earth Syst. Dynam.</t>
  </si>
  <si>
    <t>10.5194/esd-5-271-2014</t>
  </si>
  <si>
    <t>Geosciences, Multidisciplinary</t>
  </si>
  <si>
    <t>Geology</t>
  </si>
  <si>
    <t>AW2TD</t>
  </si>
  <si>
    <t>WOS:000346140900002</t>
  </si>
  <si>
    <t>Bakker, DCE; Pfeil, B; Smith, K; Hankin, S; Olsen, A; Alin, SR; Cosca, C; Harasawa, S; Kozyr, A; Nojiri, Y; O'Brien, KM; Schuster, U; Telszewski, M; Tilbrook, B; Wada, C; Akl, J; Barbero, L; Bates, NR; Boutin, J; Bozec, Y; Cai, WJ; Castle, RD; Chavez, FP; Chen, L; Chierici, M; Currie, K; de Baar, HJW; Evans, W; Feely, RA; Fransson, A; Gao, Z; Hales, B; Hardman-Mountford, NJ; Hoppema, M; Huang, WJ; Hunt, CW; Huss, B; Ichikawa, T; Johannessen, T; Jones, EM; Jones, SD; Jutterström, S; Kitidis, V; Körtzinger, A; Landschützer, P; Lauvset, SK; Lefèvre, N; Manke, AB; Mathis, JT; Merlivat, L; Metzl, N; Murata, A; Newberger, T; Omar, AM; Ono, T; Park, GH; Paterson, K; Pierrot, D; Ríos, AF; Sabine, CL; Saito, S; Salisbury, J; Sarma, VVSS; Schlitzer, R; Sieger, R; Skjelvan, I; Steinhoff, T; Sullivan, KF; Sun, H; Sutton, AJ; Suzuki, T; Sweeney, C; Takahashi, T; Tjiputra, J; Tsurushima, N; van Heuven, SMAC; Vandemark, D; Vlahos, P; Wallace, DWR; Wanninkhof, R; Watson, AJ</t>
  </si>
  <si>
    <t>Bakker, D. C. E.; Pfeil, B.; Smith, K.; Hankin, S.; Olsen, A.; Alin, S. R.; Cosca, C.; Harasawa, S.; Kozyr, A.; Nojiri, Y.; O'Brien, K. M.; Schuster, U.; Telszewski, M.; Tilbrook, B.; Wada, C.; Akl, J.; Barbero, L.; Bates, N. R.; Boutin, J.; Bozec, Y.; Cai, W. -J.; Castle, R. D.; Chavez, F. P.; Chen, L.; Chierici, M.; Currie, K.; de Baar, H. J. W.; Evans, W.; Feely, R. A.; Fransson, A.; Gao, Z.; Hales, B.; Hardman-Mountford, N. J.; Hoppema, M.; Huang, W. -J.; Hunt, C. W.; Huss, B.; Ichikawa, T.; Johannessen, T.; Jones, E. M.; Jones, S. D.; Jutterstrom, S.; Kitidis, V.; Koertzinger, A.; Landschuetzer, P.; Lauvset, S. K.; Lefevre, N.; Manke, A. B.; Mathis, J. T.; Merlivat, L.; Metzl, N.; Murata, A.; Newberger, T.; Omar, A. M.; Ono, T.; Park, G. -H.; Paterson, K.; Pierrot, D.; Rios, A. F.; Sabine, C. L.; Saito, S.; Salisbury, J.; Sarma, V. V. S. S.; Schlitzer, R.; Sieger, R.; Skjelvan, I.; Steinhoff, T.; Sullivan, K. F.; Sun, H.; Sutton, A. J.; Suzuki, T.; Sweeney, C.; Takahashi, T.; Tjiputra, J.; Tsurushima, N.; van Heuven, S. M. A. C.; Vandemark, D.; Vlahos, P.; Wallace, D. W. R.; Wanninkhof, R.; Watson, A. J.</t>
  </si>
  <si>
    <t>An update to the Surface Ocean CO2 Atlas (SOCAT version 2)</t>
  </si>
  <si>
    <t>EARTH SYSTEM SCIENCE DATA</t>
  </si>
  <si>
    <t>Article; Data Paper</t>
  </si>
  <si>
    <t>CAVITY RINGDOWN SPECTROSCOPY; AIR-SEA FLUX; ATLANTIC-OCEAN; NORTH PACIFIC; INTERANNUAL VARIABILITY; CARBON-DIOXIDE; WATER FCO(2); PCO(2); SINK; SYSTEMS</t>
  </si>
  <si>
    <t>The Surface Ocean CO2 Atlas (SOCAT), an activity of the international marine carbon research community, provides access to synthesis and gridded fCO(2) (fugacity of carbon dioxide) products for the surface oceans. Version 2 of SOCAT is an update of the previous release (version 1) with more data (increased from 6.3 million to 10.1 million surface water fCO(2) values) and extended data coverage (from 1968-2007 to 1968-2011). The quality control criteria, while identical in both versions, have been applied more strictly in version 2 than in version 1. The SOCAT website (http://www.socat.info/) has links to quality control comments, metadata, individual data set files, and synthesis and gridded data products. Interactive online tools allow visitors to explore the richness of the data. Applications of SOCAT include process studies, quantification of the ocean carbon sink and its spatial, seasonal, year-to-year and longer-term variation, as well as initialisation or validation of ocean carbon models and coupled climate-carbon models.</t>
  </si>
  <si>
    <t>[Bakker, D. C. E.; Landschuetzer, P.] Univ E Anglia, Sch Environm Sci, Ctr Ocean &amp; Atmospher Sci, Norwich NR4 7TJ, Norfolk, England; [Pfeil, B.; Olsen, A.; Johannessen, T.; Lauvset, S. K.; Omar, A. M.; Skjelvan, I.] Univ Bergen, Inst Geophys, Bergen, Norway; [Pfeil, B.; Olsen, A.; Johannessen, T.; Lauvset, S. K.; Omar, A. M.; Skjelvan, I.; Tjiputra, J.] Bjerknes Ctr Climate Res, Bergen, Norway; [Smith, K.; Hankin, S.; Alin, S. R.; Cosca, C.; O'Brien, K. M.; Evans, W.; Feely, R. A.; Manke, A. B.; Mathis, J. T.; Sabine, C. L.; Sutton, A. J.] NOAA, Pacific Marine Environm Lab, Seattle, WA 98115 USA; [Smith, K.; O'Brien, K. M.; Sutton, A. J.] Univ Washington, Joint Inst Study Atmosphere &amp; Ocean, Seattle, WA 98195 USA; [Olsen, A.; Johannessen, T.; Omar, A. M.; Skjelvan, I.; Tjiputra, J.] Uni Res, Uni Climate, Bergen, Norway; [Harasawa, S.; Nojiri, Y.; Wada, C.] Natl Inst Environm Studies, Tsukuba, Ibaraki, Japan; [Kozyr, A.] Oak Ridge Natl Lab, Carbon Dioxide Informat Anal Ctr, Oak Ridge, TN USA; [Schuster, U.; Watson, A. J.] Univ Exeter, Coll Life &amp; Environm Sci, Exeter, Devon, England; [Telszewski, M.] Polish Acad Sci, Inst Oceanol, Int Ocean Carbon Coordinat Project, Sopot, Poland; [Tilbrook, B.; Akl, J.; Paterson, K.] CSIRO Marine &amp; Atmospher Res, Hobart, Tas, Australia; [Tilbrook, B.] Antarctic Climate &amp; Ecosyst Cooperat Res Ctr, Hobart, Tas, Australia; [Barbero, L.; Pierrot, D.; Sullivan, K. F.] Univ Miami, Rosenstiel Sch Marine &amp; Atmospher Sci, Cooperat Inst Marine &amp; Atmospher Studies, Miami, FL 33149 USA; [Bates, N. R.] Bermuda Inst Ocean Sci, Ferry Reach, Bermuda; [Boutin, J.; Merlivat, L.; Metzl, N.] Univ Paris 06, CNRS, Sorbonne Univ, IRD,MNHN,LOCEAN Lab, Paris, France; [Bozec, Y.] CNRS, UMR 7144, Equipe Chim Marine, Stn Biol Roscoff, Roscoff, France; [Bozec, Y.] Univ Paris 06, UMR7144, Adaptat &amp; Div Milieu Marin, Sorbonne Univ,SBR, Roscoff, France; [Cai, W. -J.; Huang, W. -J.] Univ Delaware, Sch Marine Sci &amp; Policy, Newark, DE USA; [Castle, R. D.; Huss, B.; Wanninkhof, R.] NOAA, Atlantic Oceanog &amp; Meteorol Lab, Miami, FL 33149 USA; [Chavez, F. P.] Monterey Bay Aquarium Res Inst, Moss Landing, CA USA; [Chen, L.; Gao, Z.; Sun, H.] State Ocean Adm, Inst Oceanog 3, Key Lab Global Change &amp; Marine Atmospher Chem, Xiamen, Peoples R China; [Chen, L.] Chinese Arctic &amp; Antarctic Adm, Beijing, Peoples R China; [Chierici, M.] Inst Marine Res, Tromso, Norway; [Chierici, M.] Univ Gothenburg, Dept Chem &amp; Mol Biol, Gothenburg, Sweden; [Currie, K.] Natl Inst Water &amp; Atmospher Res, Dunedin, New Zealand; [de Baar, H. J. W.] Netherlands Inst Sea Res, Texel, Netherlands; [Evans, W.] Univ Alaska Fairbanks, Ocean Acidificat Res Ctr, Fairbanks, AK USA; [Fransson, A.] Norwegian Polar Res Inst, Fram Ctr, Tromso, Norway; [Hales, B.] Oregon State Univ, Coll Earth Ocean &amp; Atmospher Sci, Corvallis, OR 97331 USA; [Hardman-Mountford, N. J.] CSIRO Marine &amp; Atmospher Res, Floreat, WA, Australia; [Hoppema, M.; Jones, E. M.; Schlitzer, R.; Sieger, R.] Helmholtz Ctr Polar &amp; Marine Res, Alfred Wegener Inst, Bremerhaven, Germany; [Hunt, C. W.; Salisbury, J.; Vandemark, D.] Univ New Hampshire, Ocean Proc Anal Lab, Durham, NH 03824 USA; [Ichikawa, T.; Ono, T.] Fisheries Res Agcy, Natl Res Inst Fisheries Sci, Yokohama, Kanagawa, Japan; [Jones, S. D.] Univ E Anglia, Tyndall Ctr Climate Change Res, Norwich NR4 7TJ, Norfolk, England; [Jutterstrom, S.] IVL Swedish Environm Res Inst, Gothenburg, Sweden; [Kitidis, V.] Plymouth Marine Lab, Plymouth, Devon, England; [Koertzinger, A.; Steinhoff, T.] Helmholtz Ctr Ocean Res, GEOMAR, Kiel, Germany; [Lefevre, N.] Univ Paris 06, CNRS, Univ Sorbonne, IRD,MNHN,LOCEAN Lab, Paris, France; [Lefevre, N.] Univ Fed Ceara, LaboMar, Fortaleza, Ceara, Brazil; [Murata, A.] Japan Agcy Marine Earth Sci &amp; Technol, Yokosuda, Japan; [Newberger, T.; Sweeney, C.] Univ Colorado, Cooperat Inst Res Environm Sci, Boulder, CO 80309 USA; [Park, G. -H.] Korea Inst Ocean Sci &amp; Technol, East Sea Res Inst, Uljin, South Korea; [Rios, A. F.] CSIC, Inst Invest Marinas Vigo, Vigo, Spain; [Saito, S.] Japan Meteorol Agcy, Global Environm &amp; Marine Dept, Marine Div, Tokyo, Japan; [Sarma, V. V. S. S.] Natl Inst Oceanog, Reg Ctr, Visakhapatnam, Andhra Pradesh, India; [Suzuki, T.] Japan Hydrog Assoc, Marine Informat Res Ctr, Tokyo, Japan; [Takahashi, T.] Columbia Univ, Lamont Doherty Earth Observ, Palisades, NY USA; [Tsurushima, N.] Natl Inst Adv Ind Sci &amp; Technol, Tsukuba, Ibaraki, Japan; [van Heuven, S. M. A. C.] Univ Groningen, Ctr Isotope Res, Groningen, Netherlands; [Vlahos, P.] Univ Connecticut, Dept Marine Sci, Groton, CT 06340 USA; [Wallace, D. W. R.] Dalhousie Univ, Dept Oceanog, Halifax, NS, Canada; [Schuster, U.; Watson, A. J.] Univ E Anglia, Sch Environm Sci, Norwich NR4 7TJ, Norfolk, England</t>
  </si>
  <si>
    <t>University of East Anglia; University of Bergen; Bjerknes Centre for Climate Research; National Oceanic Atmospheric Admin (NOAA) - USA; University of Washington; University of Washington Seattle; National Institute for Environmental Studies - Japan; United States Department of Energy (DOE); Oak Ridge National Laboratory; University of Exeter; Polish Academy of Sciences; Institute of Oceanology of the Polish Academy of Sciences; Commonwealth Scientific &amp; Industrial Research Organisation (CSIRO); Antarctic Climate &amp; Ecosystems Cooperative Research Centre (ACE CRC); University of Miami; Bermuda Institute of Ocean Sciences; Museum National d'Histoire Naturelle (MNHN); Sorbonne Universite; Centre National de la Recherche Scientifique (CNRS); Institut de Recherche pour le Developpement (IRD); Sorbonne Universite; Centre National de la Recherche Scientifique (CNRS); CNRS - Institute of Ecology &amp; Environment (INEE); Centre National de la Recherche Scientifique (CNRS); CNRS - Institute of Ecology &amp; Environment (INEE); Sorbonne Universite; University of Delaware; National Oceanic Atmospheric Admin (NOAA) - USA; Atlantic Oceanographic &amp; Meteorological Laboratory (AOML); Monterey Bay Aquarium Research Institute; Third Institute of Oceanography, Ministry of Natural Resources; Institute of Marine Research - Norway; University of Gothenburg; National Institute of Water &amp; Atmospheric Research (NIWA) - New Zealand; Utrecht University; Royal Netherlands Institute for Sea Research (NIOZ); University of Alaska System; University of Alaska Fairbanks; Norwegian Polar Institute; Oregon State University; Commonwealth Scientific &amp; Industrial Research Organisation (CSIRO); Helmholtz Association; Alfred Wegener Institute, Helmholtz Centre for Polar &amp; Marine Research; University System Of New Hampshire; University of New Hampshire; Japan Fisheries Research &amp; Education Agency (FRA); University of East Anglia; IVL Swedish Environmental Research Institute; Plymouth Marine Laboratory; Helmholtz Association; GEOMAR Helmholtz Center for Ocean Research Kiel; Institut de Recherche pour le Developpement (IRD); Centre National de la Recherche Scientifique (CNRS); Museum National d'Histoire Naturelle (MNHN); Sorbonne Universite; Universidade Federal do Ceara; Japan Agency for Marine-Earth Science &amp; Technology (JAMSTEC); University of Colorado System; University of Colorado Boulder; Korea Institute of Ocean Science &amp; Technology (KIOST); Consejo Superior de Investigaciones Cientificas (CSIC); CSIC - Instituto de Investigaciones Marinas (IIM); Japan Meteorological Agency; Council of Scientific &amp; Industrial Research (CSIR) - India; CSIR - National Institute of Oceanography (NIO); Columbia University; National Institute of Advanced Industrial Science &amp; Technology (AIST); University of Groningen; University of Connecticut; Dalhousie University; University of East Anglia</t>
  </si>
  <si>
    <t>Bakker, DCE (corresponding author), Univ E Anglia, Sch Environm Sci, Ctr Ocean &amp; Atmospher Sci, Norwich Res Pk, Norwich NR4 7TJ, Norfolk, England.</t>
  </si>
  <si>
    <t>d.bakker@uea.ac.uk</t>
  </si>
  <si>
    <t>Pierrot, Denis/A-7459-2014; Hardman-Mountford, Nick J/B-2649-2009; Jutterström, Sara/AAE-1833-2020; Landschützer, Peter/IQU-3835-2023; Tsurushima, Nobuo/L-6336-2018; Cai, Wei-Jun/C-1361-2013; Pierrot, Denis/AAH-7687-2020; Merlivat, Liliane/KAL-8800-2024; Nojiri, Yukihiro/D-1999-2010; Barbero, Leticia/B-5237-2011; Sutton, Adrienne/C-7725-2015; Körtzinger, Arne/A-4141-2014; Tilbrook, Bronte/W-4007-2019; Sweeney, Colm/AAE-9291-2019; Feely, Richard A./ABI-5740-2020; Alin, Simone/J-6836-2017; Sarma, VVSS/B-5087-2008; Newberger, Timothy/AAR-7103-2020; Tjiputra, Jerry/AAB-5896-2022; Hoppema, Mario/I-6286-2013; /M-2253-2016; Lauvset, Siv K./H-7948-2016; Bakker, Dorothee/E-4951-2015; Evans, Wiley/U-8250-2018; Olsen, Are/A-1511-2011</t>
  </si>
  <si>
    <t>Pierrot, Denis/0000-0002-0374-3825; Landschützer, Peter/0000-0002-7398-3293; Tsurushima, Nobuo/0000-0002-4741-7482; Nojiri, Yukihiro/0000-0001-9885-9195; Sutton, Adrienne/0000-0002-7414-7035; Tilbrook, Bronte/0000-0001-9385-3827; Alin, Simone/0000-0002-8283-1910; Lefevre, Nathalie/0000-0002-1126-5528; Huang, Wei-Jen/0000-0002-1713-2515; Hoppema, Mario/0000-0002-2326-619X; Cai, Wei-Jun/0000-0003-3606-8325; Skjelvan, Ingunn/0000-0001-6761-5016; Jones, Steve/0000-0003-0522-9851; metzl, nicolas/0000-0002-1165-1074; /0000-0003-2845-4912; O'Brien, Kevin/0000-0003-4167-3028; Lauvset, Siv K./0000-0001-8498-4067; Bakker, Dorothee/0000-0001-9234-5337; Sieger, Rainer/0000-0002-9175-884X; Evans, Wiley/0000-0002-5450-0903; Watson, Andrew/0000-0002-9654-8147; Hunt, Christopher/0000-0001-8061-4560; Steinhoff, Tobias/0000-0002-2298-1298; Tjiputra, Jerry/0000-0002-4600-2453; Kitidis, Vassilis/0000-0003-3949-3802; Vandemark, Douglas/0000-0003-4367-5457; Olsen, Are/0000-0003-1696-9142</t>
  </si>
  <si>
    <t>University of East Anglia (UK); Bjerknes Centre for Climate Research; Geophysical Institute at the University of Bergen (Norway); Climate Observation Division of the Climate Program Office of the US National Oceanic and Atmospheric Administration,; University of Washington; Oak Ridge National Laboratory (USA); PANGAEA(R) Data Publisher for Earth and Environmental Data (Germany); Alfred Wegener Institute Helmholtz Centre for Polar and Marine Research (Germany); National Institute for Environmental Studies (Japan); Korean Institute of Ocean Science and Technology; European Union project CarboChange [FP7 264879]; European Union project GEO-CARBON [FP7 283080]; UK Ocean Acidification Research Programme - (Natural Environment Research Council) [NE/H017046/1]; UK Ocean Acidification Research Programme - (Department for Energy and Climate Change); UK Ocean Acidification Research Programme - (Department for Environment, Food and Rural Affairs); Research Council of Norway (CARBON-HEAT); Scientific Committee on Oceanic Research (SCOR, US) [OCE-0938349]; US National Science Foundation [OCE-1068958]; Swedish Research Council [2009-2994, 2008-6228]; Swedish National Space Board (RESCUE project; REmote Sensing ocean Carbon UptakE); Office of Polar Programs (OPP); Directorate For Geosciences [1341647] Funding Source: National Science Foundation; NERC [NE/K002511/1, NE/H017054/1, NE/K002473/1, NE/H017046/1, NE/I005382/1] Funding Source: UKRI; Natural Environment Research Council [NE/K002511/1, NE/H017054/1, NE/I005382/1, NE/K002473/1, NE/H017046/1] Funding Source: researchfish</t>
  </si>
  <si>
    <t>University of East Anglia (UK); Bjerknes Centre for Climate Research; Geophysical Institute at the University of Bergen (Norway); Climate Observation Division of the Climate Program Office of the US National Oceanic and Atmospheric Administration,; University of Washington(University of Washington); Oak Ridge National Laboratory (USA); PANGAEA(R) Data Publisher for Earth and Environmental Data (Germany); Alfred Wegener Institute Helmholtz Centre for Polar and Marine Research (Germany); National Institute for Environmental Studies (Japan); Korean Institute of Ocean Science and Technology; European Union project CarboChange; European Union project GEO-CARBON; UK Ocean Acidification Research Programme - (Natural Environment Research Council); UK Ocean Acidification Research Programme - (Department for Energy and Climate Change); UK Ocean Acidification Research Programme - (Department for Environment, Food and Rural Affairs); Research Council of Norway (CARBON-HEAT)(Research Council of Norway); Scientific Committee on Oceanic Research (SCOR, US); US National Science Foundation(National Science Foundation (NSF)); Swedish Research Council(Swedish Research Council); Swedish National Space Board (RESCUE project; REmote Sensing ocean Carbon UptakE); Office of Polar Programs (OPP); Directorate For Geosciences(National Science Foundation (NSF)NSF - Directorate for Geosciences (GEO)); NERC(UK Research &amp; Innovation (UKRI)Natural Environment Research Council (NERC)); Natural Environment Research Council(UK Research &amp; Innovation (UKRI)Natural Environment Research Council (NERC))</t>
  </si>
  <si>
    <t>The International Ocean Carbon Coordination Project (IOCCP), the Surface Ocean Lower Atmosphere Study (SOLAS), and the Integrated Marine Biogeochemistry and Ecosystem Research program (IMBER) promote SOCAT. We thank both referees, anonymous referee 1 and D. Woolf, for their constructive and detailed comments, which have considerably improved the Cruise Data Viewer and this manuscript. Support for SOCAT has been received from the University of East Anglia (UK), the Bjerknes Centre for Climate Research, the Geophysical Institute at the University of Bergen (Norway), the Climate Observation Division of the Climate Program Office of the US National Oceanic and Atmospheric Administration, the University of Washington, Oak Ridge National Laboratory (USA), PANGAEA (R) Data Publisher for Earth and Environmental Data (Germany), the Alfred Wegener Institute Helmholtz Centre for Polar and Marine Research (Germany), the National Institute for Environmental Studies (Japan), the Korean Institute of Ocean Science and Technology, the European Union projects CarboChange (FP7 264879) and GEO-CARBON (FP7 283080), the UK Ocean Acidification Research Programme (NE/H017046/1; funded by the Natural Environment Research Council, the Department for Energy and Climate Change and the Department for Environment, Food and Rural Affairs), the Research Council of Norway (CARBON-HEAT), the Scientific Committee on Oceanic Research (SCOR, US, OCE-0938349), the US National Science Foundation (OCE-1068958), Swedish Research Council projects (2009-2994; 2008-6228; 2009-2994) and the Swedish National Space Board (RESCUE project; REmote Sensing ocean Carbon UptakE).</t>
  </si>
  <si>
    <t>1866-3508</t>
  </si>
  <si>
    <t>1866-3516</t>
  </si>
  <si>
    <t>EARTH SYST SCI DATA</t>
  </si>
  <si>
    <t>Earth Syst. Sci. Data</t>
  </si>
  <si>
    <t>10.5194/essd-6-69-2014</t>
  </si>
  <si>
    <t>Geosciences, Multidisciplinary; Meteorology &amp; Atmospheric Sciences</t>
  </si>
  <si>
    <t>Geology; Meteorology &amp; Atmospheric Sciences</t>
  </si>
  <si>
    <t>CL4OX</t>
  </si>
  <si>
    <t>Green Published, Green Submitted, Green Accepted, gold</t>
  </si>
  <si>
    <t>WOS:000356933700005</t>
  </si>
  <si>
    <t>Daae, M; Straub, C; Espy, PJ; Newnham, DA</t>
  </si>
  <si>
    <t>Daae, M.; Straub, C.; Espy, P. J.; Newnham, D. A.</t>
  </si>
  <si>
    <t>Atmospheric ozone above Troll station, Antarctica observed by a ground based microwave radiometer</t>
  </si>
  <si>
    <t>CHIRP TRANSFORM SPECTROMETER; MESOSPHERIC OZONE; WATER-VAPOR; RETRIEVAL; MIDDLE; TEMPERATURE; VALIDATION; INSTRUMENT; LATITUDES; PROFILES</t>
  </si>
  <si>
    <t>This paper describes the stratospheric and mesospheric ozone profiles retrieved from spectral measurements of the 249.96 GHz O-3 line, using the British Antarctic Survey's ground-based Microwave Radiometer at Troll (BAS-MRT), Antarctica (72 degrees 01' S, 02 degrees 32' E, 62 degrees Mlat). The instrument operated at Troll from February 2008 through January 2010, and hourly averaged spectra were used to retrieve approximately 20 ozone profiles per day. The ozone profiles cover the pressure range from 3 hPa to 0.02 hPa (approximately 38 to 72 km) which includes the topside of the stratospheric ozone layer and the peak of the tertiary maximum. Comparing the retrieved ozone volume mixing ratio (vmr) values to Aura/MLS and SD-WACCM shows no significant bias to within the instrumental uncertainties. The long-term variations (&gt; 20 days) between MLS and SD-WACCM agree well with BAS-MRT at all altitudes with significant correlation coefficients of at least 0.9 (0.7 with SD-WACCM) in the upper stratosphere and middle mesosphere. A weaker correlation is found for the long-term variations in summer when most of the vmr values are below the random noise level of Aura/MLS. The correlation of short-term variations (&lt; 20 days) between MLS and BAS-MRT agree well at all altitudes with significant correlation coefficients of at least 0.7 in the upper stratosphere and middle mesosphere. The ozone profiles retrieved at Troll, Antarctica extend the sparse data coverage of middle atmospheric ozone above Antarctica, where, due to the dynamic nature of the ozone concentrations, systematic observations with a high temporal resolution are desirable. The O-3 profiles presented here are stored at the UK's Polar Data Centre (http://doi.org/nc3) and are available for public scientific use.</t>
  </si>
  <si>
    <t>[Daae, M.; Straub, C.; Espy, P. J.] Norwegian Univ Sci &amp; Technol, Dept Phys, N-7034 Trondheim, Norway; [Daae, M.; Espy, P. J.] Birkeland Ctr Space Sci, Bergen, Norway; [Straub, C.] Univ Bern, Inst Appl Phys, CH-3012 Bern, Switzerland; [Newnham, D. A.] British Antarctic Survey, Cambridge CB3 0ET, England</t>
  </si>
  <si>
    <t>Norwegian University of Science &amp; Technology (NTNU); University of Bern; UK Research &amp; Innovation (UKRI); Natural Environment Research Council (NERC); NERC British Antarctic Survey</t>
  </si>
  <si>
    <t>Daae, M (corresponding author), Norwegian Univ Sci &amp; Technol, Dept Phys, N-7034 Trondheim, Norway.</t>
  </si>
  <si>
    <t>marianne.daae@ntnu.no</t>
  </si>
  <si>
    <t>Newnham, David/0000-0001-8422-1289; Espy, Patrick/0000-0002-0793-6202</t>
  </si>
  <si>
    <t>Norwegian Polar Institute Antarctic Program under the grant Observations of carbon monoxide and ozone in the Antarctic and Arctic: Implications for the Inter-hemispheric coupling of vertical motions; Natural Environment Research Council (UK); Natural Environment Research Council [bas0100023, NE/I016767/1] Funding Source: researchfish; NERC [bas0100023, NE/I016767/1] Funding Source: UKRI</t>
  </si>
  <si>
    <t>Norwegian Polar Institute Antarctic Program under the grant Observations of carbon monoxide and ozone in the Antarctic and Arctic: Implications for the Inter-hemispheric coupling of vertical motions; Natural Environment Research Council (UK)(UK Research &amp; Innovation (UKRI)Natural Environment Research Council (NERC)); Natural Environment Research Council(UK Research &amp; Innovation (UKRI)Natural Environment Research Council (NERC)); NERC(UK Research &amp; Innovation (UKRI)Natural Environment Research Council (NERC))</t>
  </si>
  <si>
    <t>We gratefully thank Ole Martin Christensen for help on the implementation and understanding of ARTS 2. Stephan Thomas Kral has contributed with valuable discussions on interpretation of the intercomparison. We thank Mark Clilverd at BAS, Kim Holmen at the Norwegian Polar Institute (NPI) and Paul Hartogh at the Max Planck Institute (MPI, Germany) for their support of the BAS microwave radiometer. We also thank the Troll station over-wintering engineers Atle Markussen, Asbjorn Djupdal, and Tore Dahl as well as David Maxfield and Paul Breen at BAS for their help. Corinne Straub was funded by the Norwegian Polar Institute Antarctic Program under the grant Observations of carbon monoxide and ozone in the Antarctic and Arctic: Implications for the Inter-hemispheric coupling of vertical motions. The BAS microwave radiometer project is funded by the Natural Environment Research Council (UK).</t>
  </si>
  <si>
    <t>10.5194/essd-6-105-2014</t>
  </si>
  <si>
    <t>gold, Green Accepted</t>
  </si>
  <si>
    <t>WOS:000356933700007</t>
  </si>
  <si>
    <t>Le Quéré, C; Peters, GP; Andres, RJ; Andrew, RM; Boden, TA; Ciais, P; Friedlingstein, P; Houghton, RA; Marland, G; Moriarty, R; Sitch, S; Tans, P; Arneth, A; Arvanitis, A; Bakker, DCE; Bopp, L; Canadell, JG; Chini, LP; Doney, SC; Harper, A; Harris, I; House, JI; Jain, AK; Jones, SD; Kato, E; Keeling, RF; Goldewijk, KK; Körtzinger, A; Koven, C; Lefèvre, N; Maignan, F; Omar, A; Ono, T; Park, GH; Pfeil, B; Poulter, B; Raupach, MR; Regnier, P; Rödenbeck, C; Saito, S; Schwinger, J; Segschneider, J; Stocker, BD; Takahashi, T; Tilbrook, B; van Heuven, S; Viovy, N; Wanninkhof, R; Wiltshire, A; Zaehle, S</t>
  </si>
  <si>
    <t>Le Quere, C.; Peters, G. P.; Andres, R. J.; Andrew, R. M.; Boden, T. A.; Ciais, P.; Friedlingstein, P.; Houghton, R. A.; Marland, G.; Moriarty, R.; Sitch, S.; Tans, P.; Arneth, A.; Arvanitis, A.; Bakker, D. C. E.; Bopp, L.; Canadell, J. G.; Chini, L. P.; Doney, S. C.; Harper, A.; Harris, I.; House, J. I.; Jain, A. K.; Jones, S. D.; Kato, E.; Keeling, R. F.; Goldewijk, K. Klein; Koertzinger, A.; Koven, C.; Lefevre, N.; Maignan, F.; Omar, A.; Ono, T.; Park, G. -H.; Pfeil, B.; Poulter, B.; Raupach, M. R.; Regnier, P.; Roedenbeck, C.; Saito, S.; Schwinger, J.; Segschneider, J.; Stocker, B. D.; Takahashi, T.; Tilbrook, B.; van Heuven, S.; Viovy, N.; Wanninkhof, R.; Wiltshire, A.; Zaehle, S.</t>
  </si>
  <si>
    <t>Global carbon budget 2013</t>
  </si>
  <si>
    <t>LAND-USE CHANGE; ENVIRONMENT SIMULATOR JULES; ANTHROPOGENIC CO2 UPTAKE; EARTH SYSTEM MODEL; DIOXIDE EMISSIONS; ATMOSPHERIC CO2; TERRESTRIAL ECOSYSTEMS; INORGANIC CARBON; FIRE EMISSIONS; 3 DECADES</t>
  </si>
  <si>
    <t>Accurate assessment of anthropogenic carbon dioxide (CO2) emissions and their redistribution among the atmosphere, ocean, and terrestrial biosphere is important to better understand the global carbon cycle, support the development of climate policies, and project future climate change. Here we describe data sets and a methodology to quantify all major components of the global carbon budget, including their uncertainties, based on the combination of a range of data, algorithms, statistics and model estimates and their interpretation by a broad scientific community. We discuss changes compared to previous estimates, consistency within and among components, alongside methodology and data limitations. CO2 emissions from fossil-fuel combustion and cement production (E-FF) are based on energy statistics, while emissions from land-use change (E-LUC), mainly deforestation, are based on combined evidence from land-cover change data, fire activity associated with deforestation, and models. The global atmospheric CO2 concentration is measured directly and its rate of growth (G(ATM)) is computed from the annual changes in concentration. The mean ocean CO2 sink (S-OCEAN) is based on observations from the 1990s, while the annual anomalies and trends are estimated with ocean models. The variability in SOCEAN is evaluated for the first time in this budget with data products based on surveys of ocean CO2 measurements. The global residual terrestrial CO2 sink (S-LAND) is estimated by the difference of the other terms of the global carbon budget and compared to results of independent dynamic global vegetation models forced by observed climate, CO2 and land cover change (some including nitrogen-carbon interactions). All uncertainties are reported as +/- 1 sigma, reflecting the current capacity to characterise the annual estimates of each component of the global carbon budget. For the last decade available (2003-2012), E-FF was 8.6 +/- 0.4 GtC yr(-1), E-LUC 0.9 +/- 0.5 GtC yr(-1), G(ATM) 4.3 +/- 0.1 GtC yr(-1), S-OCEAN 2.5 +/- 0.5 GtC yr(-1), and S-LAND 2.8 +/- 0.8 GtC yr(-1). For year 2012 alone, E-FF grew to 9.7 +/- 0.5 GtC yr(-1), 2.2% above 2011, reflecting a continued growing trend in these emissions, GATM was 5.1 +/- 0.2 GtC yr(-1), S-OCEAN was 2.9 +/- 0.5 GtC yr(-1), and assuming an E-LUC of 1.0 +/- 0.5 GtC yr(-1) (based on the 2001-2010 average), S-LAND was 2.7 +/- 0.9 GtC yr(-1). G(ATM) was high in 2012 compared to the 2003-2012 average, almost entirely reflecting the high EFF. The global atmospheric CO2 concentration reached 392.52 +/- 0.10 ppm averaged over 2012. We estimate that E-FF will increase by 2.1% (1.1-3.1 %) to 9.9 +/- 0.5 GtC in 2013, 61% above emissions in 1990, based on projections of world gross domestic product and recent changes in the carbon intensity of the economy. With this projection, cumulative emissions of CO2 will reach about 535 +/- 55 GtC for 1870-2013, about 70% from E-FF (390 +/- 20 GtC) and 30% from E-LUC (145 +/- 50 GtC). This paper also documents any changes in the methods and data sets used in this new carbon budget from previous budgets (Le Quere et al., 2013). All observations presented here can be downloaded from the Carbon Dioxide Information Analysis Center (doi: 10.3334/CDIAC/GCP_2013_V2.3).</t>
  </si>
  <si>
    <t>[Le Quere, C.; Moriarty, R.; Jones, S. D.] Univ E Anglia, Tyndall Ctr Climate Change Res, Norwich NR4 7TJ, Norfolk, England; [Peters, G. P.; Andrew, R. M.] CICERO, Oslo, Norway; [Andres, R. J.; Boden, T. A.] Oak Ridge Natl Lab, CDIAC, Oak Ridge, TN USA; [Ciais, P.; Bopp, L.; Maignan, F.; Viovy, N.] CEA CNRS UVSQ, CE Orme Merisiers, Lab Sci Climat &amp; Environm, F-91191 Gif Sur Yvette, France; [Friedlingstein, P.] Univ Exeter, Coll Engn Math &amp; Phys Sci, Exeter EX4 4QF, Devon, England; [Houghton, R. A.] WHRC, Falmouth, MA 02540 USA; [Marland, G.] Appalachian State Univ, Res Inst Environm Energy &amp; Econ, Boone, NC 28608 USA; [Sitch, S.] Univ Exeter, Coll Life &amp; Environm Sci, Exeter EX4 4RJ, Devon, England; [Tans, P.] NOAA, ESRL, Boulder, CO 80305 USA; [Arneth, A.; Arvanitis, A.] Karlsruhe Inst Technol, Inst Meteorol &amp; Climate Research Atmospher Enviro, D-82467 Garmisch Partenkirchen, Germany; [Bakker, D. C. E.] Univ E Anglia, Sch Environm Sci, Ctr Ocean &amp; Atmospher Sci, Norwich NR4 7TJ, Norfolk, England; [Canadell, J. G.; Raupach, M. R.] CSIRO Marine &amp; Atmospher Res, Global Carbon Project, Canberra, ACT 2601, Australia; [Chini, L. P.] Univ Maryland, Dept Geog Sci, College Pk, MD 20742 USA; [Doney, S. C.] Woods Hole Oceanog Inst, Woods Hole, MA 02543 USA; [Harper, A.] Univ Exeter, Coll Engn Math &amp; Phys Sci, Exeter EX4 4QJ, Devon, England; [Harris, I.] Univ E Anglia, Climat Res Unit, Norwich NR4 7TJ, Norfolk, England; [House, J. I.] Univ Bristol, Dept Geog, Cabot Inst, Bristol BS8 1TH, Avon, England; [Jain, A. K.] Univ Illinois, Dept Atmospher Sci, Urbana, IL 61821 USA; [Kato, E.] NIES, CGER, Tsukuba, Ibaraki 3058506, Japan; [Keeling, R. F.] Univ Calif San Diego, Scripps Inst Oceanog, La Jolla, CA 92093 USA; [Goldewijk, K. Klein] PBL Netherlands Environm Assessment Agcy, The Hague, Netherlands; [Goldewijk, K. Klein] Univ Utrecht, Utrecht, Netherlands; [Koertzinger, A.] GEOMAR Helmholtz Ctr Ocean Res, D-24148 Kiel, Germany; [Koven, C.] Univ Calif Berkeley, Lawrence Berkeley Natl Lab, Div Earth Sci, Berkeley, CA 94720 USA; [Lefevre, N.] Univ Paris 06, Univ Paris 04, LOCEAN Lab, CNRS IRD MNHN, F-75005 Paris, France; [Omar, A.] Uni Res AS, Uni Climate, N-5007 Bergen, Norway; [Omar, A.; Pfeil, B.; Schwinger, J.] Bjerknes Ctr Climate Res, N-5007 Bergen, Norway; [Ono, T.] Fisheries Res Agcy, Nishi Ku, Yokohama, Kanagawa 2206115, Japan; [Park, G. -H.] KIOST, East Sea Res Inst, Uljin 767813, South Korea; [Pfeil, B.; Schwinger, J.] Univ Bergen, Inst Geophys, Bergen, Norway; [Poulter, B.] Montana State Univ, Dept Ecol, Bozeman, MT 59717 USA; [Regnier, P.] Univ Libre Bruxelles, Dept Earth &amp; Environm Sci, B-1050 Brussels, Belgium; [Roedenbeck, C.; Zaehle, S.] Max Planck Inst Biogeochem, D-07745 Jena, Germany; [Saito, S.] Japan Meteorol Agcy, Global Environm &amp; Marine Dept, Marine Div, Chiyoda Ku, Tokyo 1008122, Japan; [Segschneider, J.] Max Planck Inst Meteorol, D-20146 Hamburg, Germany; [Stocker, B. D.] Univ Bern, Climate &amp; Environm Phys, CH-3012 Bern, Switzerland; [Stocker, B. D.] Univ Bern, Oeschger Ctr Climate Change Res, CH-3012 Bern, Switzerland; [Takahashi, T.] Columbia Univ, Lamont Doherty Earth Observ, Palisades, NY 10964 USA; [Tilbrook, B.] CSIRO Marine &amp; Atmospher Res, Hobart, Tas, Australia; [Tilbrook, B.] Antarctic Climate &amp; Ecosyst Cooperat Res Ctr, Hobart, Tas, Australia; [van Heuven, S.] Univ Groningen, Ctr Isotope Res, Groningen, Netherlands; [Wiltshire, A.] NOAA, Atlantic Oceanog &amp; Meteorol Lab, Miami, FL 33149 USA; [Wanninkhof, R.] Met Off Hadley Ctr, Exeter EX1 3PB, Devon, England</t>
  </si>
  <si>
    <t>University of East Anglia; United States Department of Energy (DOE); Oak Ridge National Laboratory; CEA; Centre National de la Recherche Scientifique (CNRS); Universite Paris Saclay; University of Exeter; University of North Carolina; Appalachian State University; University of Exeter; National Oceanic Atmospheric Admin (NOAA) - USA; Helmholtz Association; Karlsruhe Institute of Technology; University of East Anglia; Commonwealth Scientific &amp; Industrial Research Organisation (CSIRO); University System of Maryland; University of Maryland College Park; Woods Hole Oceanographic Institution; University of Exeter; University of East Anglia; University of Bristol; University of Illinois System; University of Illinois Urbana-Champaign; National Institute for Environmental Studies - Japan; University of California System; University of California San Diego; Scripps Institution of Oceanography; Utrecht University; Helmholtz Association; GEOMAR Helmholtz Center for Ocean Research Kiel; University of California System; University of California Berkeley; United States Department of Energy (DOE); Lawrence Berkeley National Laboratory; Museum National d'Histoire Naturelle (MNHN); Sorbonne Universite; Institut de Recherche pour le Developpement (IRD); University of Bergen; Bjerknes Centre for Climate Research; Japan Fisheries Research &amp; Education Agency (FRA); University of Bergen; Montana State University System; Montana State University Bozeman; Universite Libre de Bruxelles; Max Planck Society; Japan Meteorological Agency; Max Planck Society; University of Bern; University of Bern; Columbia University; Commonwealth Scientific &amp; Industrial Research Organisation (CSIRO); Antarctic Climate &amp; Ecosystems Cooperative Research Centre (ACE CRC); University of Groningen; National Oceanic Atmospheric Admin (NOAA) - USA; Atlantic Oceanographic &amp; Meteorological Laboratory (AOML); Met Office - UK; Hadley Centre</t>
  </si>
  <si>
    <t>Le Quéré, C (corresponding author), Univ E Anglia, Tyndall Ctr Climate Change Res, Norwich Res Pk, Norwich NR4 7TJ, Norfolk, England.</t>
  </si>
  <si>
    <t>c.lequere@uea.ac.uk</t>
  </si>
  <si>
    <t>Friedlingstein, Pierre/H-2700-2014; Tans, Pieter/AAG-8273-2019; Canadell, Pep/E-9419-2010; Arneth, Almut/B-2702-2013; Maignan, Fabienne/F-5419-2013; Koven, Charles/N-8888-2014; Körtzinger, Arne/A-4141-2014; Wiltshire, Andy/C-2848-2008; Poulter, Ben/ABB-5886-2021; Jain, Atul/D-2851-2016; Moriarty, Róisín/AFR-8291-2022; Peters, Glen P/B-1012-2008; Doney, Scott/F-9247-2010; House, Joanna/B-6477-2016; Le Quéré, Corinne/C-2631-2017; Harris, Ian C/O-7772-2014; Tilbrook, Bronte/W-4007-2019; Viovy, Nicolas/S-2631-2018; Andrew, Robbie/B-4204-2008; Kato, Etsushi/Q-2623-2018; ANDRES, ROBERT/B-9786-2012; Schwinger, Jörg/AAN-6573-2021; Zaehle, Sönke/C-9528-2017; Regnier, Pierre/HKF-6789-2023; bopp, laurent/ABF-5302-2020; Ciais, Philippe/A-6840-2011; Stocker, Benjamin David/K-3194-2015; Harper, Anna/A-4351-2013; Klein Goldewijk, Kees/L-5567-2013; Bakker, Dorothee/E-4951-2015; Sitch, Stephen/F-8034-2015</t>
  </si>
  <si>
    <t>Friedlingstein, Pierre/0000-0003-3309-4739; Tans, Pieter/0000-0002-9883-0787; Canadell, Pep/0000-0002-8788-3218; Arneth, Almut/0000-0001-6616-0822; Maignan, Fabienne/0000-0001-5024-5928; Koven, Charles/0000-0002-3367-0065; Poulter, Ben/0000-0002-9493-8600; Jain, Atul/0000-0002-4051-3228; Moriarty, Róisín/0000-0003-1993-1756; Peters, Glen P/0000-0001-7889-8568; Doney, Scott/0000-0002-3683-2437; House, Joanna/0000-0003-4576-3960; Le Quéré, Corinne/0000-0003-2319-0452; Tilbrook, Bronte/0000-0001-9385-3827; Viovy, Nicolas/0000-0002-9197-6417; Andrew, Robbie/0000-0001-8590-6431; Kato, Etsushi/0000-0001-8814-804X; Schwinger, Jörg/0000-0002-7525-6882; Zaehle, Sönke/0000-0001-5602-7956; bopp, laurent/0000-0003-4732-4953; Ciais, Philippe/0000-0001-8560-4943; Stocker, Benjamin David/0000-0003-2697-9096; Klein Goldewijk, Kees/0000-0003-2714-7507; Bakker, Dorothee/0000-0001-9234-5337; ANDRES, ROBERT/0000-0001-8781-4979; Jones, Steve/0000-0003-0522-9851; Lefevre, Nathalie/0000-0002-1126-5528; Sitch, Stephen/0000-0003-1821-8561; Harper, Anna/0000-0001-7294-6039; Harris, Ian/0000-0003-2037-9284</t>
  </si>
  <si>
    <t>International Ocean Carbon Coordination Project (IOCCP); Surface Ocean Lower Atmosphere Study (SOLAS); Integrated Marine Biogeochemistry and Ecosystem Research program (IMBER); UK Natural Environment Research Council (NERC); GCP though their International Opportunities [NE/103002X/1]; US Department of Energy, Office of Science, Biological and Environmental Research (BER) programs under US Department of Energy [DE-AC05-00OR22725]; Norwegian Research Council [221355]; EU [283080, 226520, 264879, GA282672, GA603542]; NERC Joint Weather and Climate Research Programme; US National Science Foundation [NSF AGS 12-43071, NSF AGS-1048827]; US Department of Energy, Office of Science and BER programs [DOE DE-SC0006706]; NASA LCLUC program [NASA NNX14AD94G]; Swiss National Science Foundation; UK DECC/Defra Met Office Hadley Centre Climate Programme [GA01101]; Environment Research and Technology Development Fund of the Ministry of Environment of Japan [S-10]; Australian Climate Change Science Program; Leverhulme Research Fellowship; NERC [NE/J010154/1, NE/I03002X/1] Funding Source: UKRI; Natural Environment Research Council [NE/I03002X/1, NE/J010154/1] Funding Source: researchfish; Directorate For Geosciences; Office of Polar Programs (OPP) [1341647] Funding Source: National Science Foundation; Office of Integrative Activities; Office Of The Director [1443108] Funding Source: National Science Foundation</t>
  </si>
  <si>
    <t>International Ocean Carbon Coordination Project (IOCCP); Surface Ocean Lower Atmosphere Study (SOLAS); Integrated Marine Biogeochemistry and Ecosystem Research program (IMBER); UK Natural Environment Research Council (NERC)(UK Research &amp; Innovation (UKRI)Natural Environment Research Council (NERC)); GCP though their International Opportunities; US Department of Energy, Office of Science, Biological and Environmental Research (BER) programs under US Department of Energy(United States Department of Energy (DOE)); Norwegian Research Council(Research Council of Norway); EU(European Union (EU)); NERC Joint Weather and Climate Research Programme; US National Science Foundation(National Science Foundation (NSF)); US Department of Energy, Office of Science and BER programs(United States Department of Energy (DOE)); NASA LCLUC program; Swiss National Science Foundation(Swiss National Science Foundation (SNSF)); UK DECC/Defra Met Office Hadley Centre Climate Programme; Environment Research and Technology Development Fund of the Ministry of Environment of Japan(Ministry of Environment (ME), Republic of Korea); Australian Climate Change Science Program; Leverhulme Research Fellowship(Leverhulme Trust); NERC(UK Research &amp; Innovation (UKRI)Natural Environment Research Council (NERC)); Natural Environment Research Council(UK Research &amp; Innovation (UKRI)Natural Environment Research Council (NERC)); Directorate For Geosciences; Office of Polar Programs (OPP)(National Science Foundation (NSF)NSF - Directorate for Geosciences (GEO)); Office of Integrative Activities; Office Of The Director(National Science Foundation (NSF)NSF - Office of the Director (OD)NSF - Office of Integrative Activities (OIA))</t>
  </si>
  <si>
    <t>We thank all people and institutions that provided data used in this carbon budget, P. Cadule, C. Enright, J. Ghattas, and G. Hurtt for support to the model simulations, F. Joos and S. Khatiwala for providing historical data, M. Heimann and G. McKinley for their comments and suggestions. The observations and modelling analysis were possible thanks to the generous support from the author's institutions and funding from multiple agencies around the world. We thank the many researchers and funding agencies responsible for the collection and quality control of the data included in SOCAT, and the support of the International Ocean Carbon Coordination Project (IOCCP), the Surface Ocean Lower Atmosphere Study (SOLAS), and the Integrated Marine Biogeochemistry and Ecosystem Research program (IMBER). The UK Natural Environment Research Council (NERC) provided funding to C. Le Quere, R. Moriarty and the GCP though their International Opportunities Fund specifically to support this publication (project NE/103002X/1). R. J. Andres and T. A. Boden were supported by the US Department of Energy, Office of Science, Biological and Environmental Research (BER) programs under US Department of Energy contract DE-AC05-00OR22725. G. P. Peters and R. M. Andrews were supported by the Norwegian Research Council (221355). A. Arneth, A. Omar, C. Le Quere, J. Schwinger, P. Ciais, P. Friedlingstein, P. Regnier, J. Segschneider, S. Sitch and S. Zaehle were supported by the EU FP7 for funding through projects GEOCarbon (283080), COMBINE (226520), CARBOCHANGE (264879), EMBRACE (GA282672), and LUC4C (GA603542). A. Harper was supported by the NERC Joint Weather and Climate Research Programme. A. K. Jain was supported by the US National Science Foundation (NSF AGS 12-43071) the US Department of Energy, Office of Science and BER programs (DOE DE-SC0006706) and NASA LCLUC program (NASA NNX14AD94G). B. D. Stocker was supported by the Swiss National Science Foundation. A. Wiltshire was supported by the Joint UK DECC/Defra Met Office Hadley Centre Climate Programme (GA01101). E. Kato was supported by the Environment Research and Technology Development Fund (S-10) of the Ministry of Environment of Japan. J. G. Canadell and M. R. Raupach were supported by the Australian Climate Change Science Program. J. I. House was supported by a Leverhulme Research Fellowship. S. C. Doney was supported by the US National Science Foundation (NSF AGS-1048827).</t>
  </si>
  <si>
    <t>10.5194/essd-6-235-2014</t>
  </si>
  <si>
    <t>Green Accepted, Green Submitted, gold, Green Published</t>
  </si>
  <si>
    <t>WOS:000356933700017</t>
  </si>
  <si>
    <t>Whinam, J; Fitzgerald, N; Visoiu, M; Copson, G</t>
  </si>
  <si>
    <t>Whinam, Jennie; Fitzgerald, Nicholas; Visoiu, Micah; Copson, Geof</t>
  </si>
  <si>
    <t>Thirty years of vegetation dynamics in response to a fluctuating rabbit population on sub-Antarctic Macquarie Island</t>
  </si>
  <si>
    <t>ECOLOGICAL MANAGEMENT &amp; RESTORATION</t>
  </si>
  <si>
    <t>conservation management; disturbance; ecosystem processes; island management; pest animals; World Heritage Areas</t>
  </si>
  <si>
    <t>INVASIVE SPECIES REMOVAL; CLIMATE-CHANGE; COASTAL SLOPES; IMPACT; MANAGEMENT; HERBIVORES; RECOVERY</t>
  </si>
  <si>
    <t>Australia's sub-Antarctic Macquarie Island is presently undergoing one of the most ambitious vertebrate pest eradication programmes ever undertaken. The anticipated success of this programme will release the island's tundra-like vegetation from well over a century of grazing and disturbance from House Mouse (Mus musculus), Ship Rat (Rattus rattus) and most significantly European Rabbit (Oryctolagus cuniculus). This study describes results from 30years of vegetation quadrat monitoring (prior to the most recent and comprehensive pest eradication programme) when lower level pest animal control programmes were underway. Plant species were assigned to one of five distinct functional plant groups: Indigenous short-lived perennials, Introduced short-lived perennials, Indigenous perennials rarely grazed by rabbits, Indigenous perennials occasionally grazed by rabbits and Indigenous long-lived perennials heavily grazed by rabbits, with one species, Agrostis magellanica, analysed as a sixth monospecific group. Results from monthly rabbit counts were used to compare changes in abundance of these six groups under different rabbit populations. It was found that there were three distinct phases of rabbit activity during the study period, indicated by (i) an initial very high count year in 1980-1981, followed by (ii) 20years of low counts ending in 2001-2002 after which (iii) counts rose to medium/high until the commencement of the eradication programme in 2010-2011. Vegetation composition and progression were distinct for these three rabbit count phases. The first four of the plant functional groups decreased under lower count periods and increased in cover under higher rabbit count periods. Agrostis magellanica appears to respond primarily to interspecies competition and is disadvantaged under extended periods of low rabbit numbers. Indigenous long-lived perennials heavily grazed by rabbits, which includes the large tussocks and megaherbs, is inversely related to rabbit numbers. During the study period, there has also been an overall decline in plant species richness with average species count per quadrat falling by between 0.6 and 2.7 taxa. This study attempts to address the observed vegetation change from this long-term monitoring, to discuss other potential contributing factors and to use the results to predict likely future vegetation changes after eradication of vertebrate pests.</t>
  </si>
  <si>
    <t>Whinam, J (corresponding author), Tasmanian Dept Primary Ind Pk Water &amp; Environm, Biodivers Conservat Branch, GPO Box 44, Hobart, Tas 7001, Australia.</t>
  </si>
  <si>
    <t>Jennie.Whinam@dpipwe.tas.gov.au; Tasbotanic@gmail.com; Micah.Visoiu@dpipwe.tas.gov.au; copson1@bigpond.com</t>
  </si>
  <si>
    <t>Fitzgerald, Nicholas/0000-0002-1281-6897</t>
  </si>
  <si>
    <t>WILEY</t>
  </si>
  <si>
    <t>HOBOKEN</t>
  </si>
  <si>
    <t>111 RIVER ST, HOBOKEN 07030-5774, NJ USA</t>
  </si>
  <si>
    <t>1442-7001</t>
  </si>
  <si>
    <t>1442-8903</t>
  </si>
  <si>
    <t>ECOL MANAG RESTOR</t>
  </si>
  <si>
    <t>Ecol. Manag. Restor.</t>
  </si>
  <si>
    <t>JAN</t>
  </si>
  <si>
    <t>10.1111/emr.12076</t>
  </si>
  <si>
    <t>Ecology</t>
  </si>
  <si>
    <t>Environmental Sciences &amp; Ecology</t>
  </si>
  <si>
    <t>292TN</t>
  </si>
  <si>
    <t>WOS:000329925500008</t>
  </si>
  <si>
    <t>Carey, MJ; Phillips, RA; Silk, JRD; Shaffer, SA</t>
  </si>
  <si>
    <t>Carey, Mark J.; Phillips, Richard A.; Silk, Janet R. D.; Shaffer, Scott A.</t>
  </si>
  <si>
    <t>Trans-equatorial migration of Short-tailed Shearwaters revealed by geolocators</t>
  </si>
  <si>
    <t>EMU-AUSTRAL ORNITHOLOGY</t>
  </si>
  <si>
    <t>animal movement; Ardenna; GLS; North Pacific; Procellariidae; seabirds; Southern Ocean</t>
  </si>
  <si>
    <t>PUFFINUS-GRISEUS; REPRODUCTIVE-PERFORMANCE; DRIFTNET FISHERIES; SOOTY SHEARWATERS; FORAGING ECOLOGY; WINTERING AREAS; PELAGIC SEABIRD; SOUTH GEORGIA; DATA-LOGGERS; TRACKING</t>
  </si>
  <si>
    <t>Until recent decades, details of the migratory movements of seabirds remained largely unknown owing to the difficulties in following individuals at sea. Subsequent advances in biologging technology have greatly increased our knowledge of seabird migration and distribution, particularly of highly pelagic species. Short-tailed Shearwaters (Ardenna tenuirostris) (similar to 500 g) have been studied extensively during their breeding season but our understanding of their movements outside this period remains poor. Here, we present the first tracks of the trans-equatorial migration of Short-tailed Shearwaters from a colony on Great Dog Island, Tasmania, Australia. Data were obtained from global location sensors (GLS loggers or geolocators), which enable the estimation of location twice per day based on ambient light levels. After breeding, tracked Shearwaters flew south of the Antarctic Polar Front to a previously unknown stopover site, where they remained for several weeks, before travelling rapidly northward through the western Pacific Ocean to coastal waters off Japan. Short-tailed Shearwaters spent the bulk of the northern hemisphere summer, either in this region or further north in the Bering Sea, before returning south through the central Pacific to their breeding sites. Our results, for the first time, describe in detail the complete migration of this long-lived seabird, reveal individual variation in timing and distribution, and describe the environmental characteristics of their key non-breeding habitats.</t>
  </si>
  <si>
    <t>[Carey, Mark J.] La Trobe Univ, Dept Environm Management &amp; Ecol, Melbourne, Vic 3689, Australia; [Phillips, Richard A.; Silk, Janet R. D.] British Antarctic Survey, Nat Environm Res Council, Cambridge CB3 0ET, England; [Shaffer, Scott A.] San Jose State Univ, Dept Biol Sci, San Jose, CA 95192 USA</t>
  </si>
  <si>
    <t>La Trobe University; Melbourne Genomics Health Alliance; UK Research &amp; Innovation (UKRI); Natural Environment Research Council (NERC); NERC British Antarctic Survey; California State University System; San Jose State University</t>
  </si>
  <si>
    <t>Carey, MJ (corresponding author), La Trobe Univ, Dept Environm Management &amp; Ecol, Albury Wodonga Campus, Melbourne, Vic 3689, Australia.</t>
  </si>
  <si>
    <t>markcarey82@hotmail.com</t>
  </si>
  <si>
    <t>Shaffer, Scott/D-5015-2009</t>
  </si>
  <si>
    <t>Shaffer, Scott/0000-0002-7751-5059</t>
  </si>
  <si>
    <t>ANZ Trustees Foundation - Holsworth Wildlife Research Foundation; La Trobe University; Natural Environment Research Council [bas0100025] Funding Source: researchfish; NERC [bas0100025] Funding Source: UKRI</t>
  </si>
  <si>
    <t>ANZ Trustees Foundation - Holsworth Wildlife Research Foundation; La Trobe University; Natural Environment Research Council(UK Research &amp; Innovation (UKRI)Natural Environment Research Council (NERC)); NERC(UK Research &amp; Innovation (UKRI)Natural Environment Research Council (NERC))</t>
  </si>
  <si>
    <t>We thank all field staff involved in this project, particularly the La Trobe University Marine Ornithology Group, D. Black, F. De Natris, S. Kennedy, J. Mynott, V. McCartney, D. Smith, T. Karis, L. Savige and M. North. ANZ Trustees Foundation - Holsworth Wildlife Research Foundation kindly provided financial assistance to this project. Support was received from the La Trobe University Postgraduate Writing-Up Award. This research was conducted under La Trobe University Animal Ethics Permit number AEC05-15-W and Tasmanian Department of Primary Industries and Water Permit number FA 08145.</t>
  </si>
  <si>
    <t>TAYLOR &amp; FRANCIS AUSTRALIA</t>
  </si>
  <si>
    <t>MELBOURNE</t>
  </si>
  <si>
    <t>LEVEL 2, 11 QUEENS RD, MELBOURNE, VIC 3004, AUSTRALIA</t>
  </si>
  <si>
    <t>0158-4197</t>
  </si>
  <si>
    <t>1448-5540</t>
  </si>
  <si>
    <t>EMU</t>
  </si>
  <si>
    <t>Emu</t>
  </si>
  <si>
    <t>10.1071/MU13115</t>
  </si>
  <si>
    <t>Ornithology</t>
  </si>
  <si>
    <t>Zoology</t>
  </si>
  <si>
    <t>AT8DK</t>
  </si>
  <si>
    <t>Green Accepted</t>
  </si>
  <si>
    <t>WOS:000345164000008</t>
  </si>
  <si>
    <t>Buchan, SJ; Hucke-Gaete, R; Rendell, L; Stafford, KM</t>
  </si>
  <si>
    <t>Buchan, Susannah J.; Hucke-Gaete, Rodrigo; Rendell, Luke; Stafford, Kathleen M.</t>
  </si>
  <si>
    <t>A new song recorded from blue whales in the Corcovado Gulf, Southern Chile, and an acoustic link to the Eastern Tropical Pacific</t>
  </si>
  <si>
    <t>ENDANGERED SPECIES RESEARCH</t>
  </si>
  <si>
    <t>BALAENOPTERA-MUSCULUS; UNDERWATER SOUNDS; CALLS; HEMISPHERE; CALIFORNIA; DISCOVERY; RANGE</t>
  </si>
  <si>
    <t>The identity, distribution and movements of blue whales Balaenoptera musculus that forage in the Chiloense Ecoregion in Southern Chile remain unclear. Studies of blue whale songs have identified acoustic populations with distinct song types, geographic ranges, migration routes and seasonal residencies-information that is relevant to the conservation of this endangered species. Here, we characterized the song sequences of blue whales that use the Corcovado Gulf based on dipping hydrophone recordings from 3 austral summer field seasons (2008, 2009, 2011), and compare these data to previously described song types for the Southeast Pacific (SEP) in order to better understand meso-scale (versus basin-scale) variation in blue whale song. Two distinct songs, SEP1 and SEP2, emerged from our analysis. Neither of these songs is used by Antarctic blue whales. Although SEP1 was the first song recorded in the Corcovado Gulf area in 1970, we found SEP2 to be the more common song, despite never having been reported previously in this area. Our report of SEP2 adds a new song to the current description of the SEP blue whale repertoire. Our recording of SEP1 reaffirms the acoustic link already established between Chile and the Eastern Tropical Pacific (ETP); our recording of SEP2 establishes a new acoustic link for this song between Chile and the ETP. These findings provide the basis for future passive acoustic studies on the temporal and spatial distributions of endangered SEP blue whales and for understanding how these songs relate to the population structure.</t>
  </si>
  <si>
    <t>Buchan, SJ (corresponding author), Univ Concepcion, Dept Oceanog, Barrio Univ S-N, Concepcion, Region Bio Bio, Chile.</t>
  </si>
  <si>
    <t>sbuchan@udec.cl</t>
  </si>
  <si>
    <t>Rendell, Luke/G-2594-2010; Rendell, Luke/AAF-9070-2019; Buchan, Susannah J/E-7368-2015</t>
  </si>
  <si>
    <t>Rendell, Luke/0000-0002-1121-9142; Stafford, Kathleen Mary/0000-0003-0039-5025; Buchan, Susannah/0000-0003-2180-1432; Hucke-Gaete, Rodrigo/0000-0003-3515-9145</t>
  </si>
  <si>
    <t>Natural Environment Research Council [smru10001] Funding Source: researchfish</t>
  </si>
  <si>
    <t>Natural Environment Research Council(UK Research &amp; Innovation (UKRI)Natural Environment Research Council (NERC))</t>
  </si>
  <si>
    <t>INTER-RESEARCH</t>
  </si>
  <si>
    <t>OLDENDORF LUHE</t>
  </si>
  <si>
    <t>NORDBUNTE 23, D-21385 OLDENDORF LUHE, GERMANY</t>
  </si>
  <si>
    <t>1863-5407</t>
  </si>
  <si>
    <t>1613-4796</t>
  </si>
  <si>
    <t>ENDANGER SPECIES RES</t>
  </si>
  <si>
    <t>Endanger. Species Res.</t>
  </si>
  <si>
    <t>10.3354/esr00566</t>
  </si>
  <si>
    <t>Biodiversity Conservation</t>
  </si>
  <si>
    <t>Biodiversity &amp; Conservation</t>
  </si>
  <si>
    <t>AE5SL</t>
  </si>
  <si>
    <t>Bronze</t>
  </si>
  <si>
    <t>WOS:000334049000005</t>
  </si>
  <si>
    <t>Stephens, T</t>
  </si>
  <si>
    <t>Stephens, Tim</t>
  </si>
  <si>
    <t>After the storm: The Whaling in the Antarctic Case and the Australian Whale Sanctuary</t>
  </si>
  <si>
    <t>ENVIRONMENTAL AND PLANNING LAW JOURNAL</t>
  </si>
  <si>
    <t>In March 2014 the International Court of Justice (ICJ) handed down its decision in the Whaling in the Antarctic Case between Australia and Japan, in which it found by 12 votes to four that Japan's whaling program in the Southern Ocean was not undertaken for the purposes of scientific research as required by the 1946 International Convention for the Regulation of Whaling (ICRW). Although this was a clear endorsement of the Australian claims, the ICJ did not rule out the practice of scientific whaling altogether. The court emphasised that the ICRW expressly allows for the conduct of scientific whaling programs, including those that are lethal and that pursue an aim other than either conservation or sustainable exploitation of whale stocks. The decision therefore leaves open the possibility that Antarctic whaling activities could be continued in an adjusted form. If so, it is possible that, as in past seasons, Japanese whaling vessels will continue to pass through the Australian Whale Sanctuary in the Australian Exclusive Economic Zone en route to Southern Ocean whaling grounds. Against this background this article considers whether Australia's domestic legal framework applicable to cetacean conservation can be applied more effectively, or further strengthened.</t>
  </si>
  <si>
    <t>[Stephens, Tim] Univ Sydney, Fac Law, Sydney, NSW, Australia</t>
  </si>
  <si>
    <t>University of Sydney</t>
  </si>
  <si>
    <t>Stephens, T (corresponding author), Univ Sydney, Fac Law, Sydney, NSW, Australia.</t>
  </si>
  <si>
    <t>Stephens, Tim/J-4115-2019</t>
  </si>
  <si>
    <t>Stephens, Tim/0000-0001-9678-2227</t>
  </si>
  <si>
    <t>LAWBOOK CO LTD</t>
  </si>
  <si>
    <t>PYRMONT</t>
  </si>
  <si>
    <t>LEVEL 6, 19 HARRIS ST, PYRMONT, NSW 2009, AUSTRALIA</t>
  </si>
  <si>
    <t>0813-300X</t>
  </si>
  <si>
    <t>ENVIRON PLAN LAW J</t>
  </si>
  <si>
    <t>Environ. Plan. Law J.</t>
  </si>
  <si>
    <t>Law</t>
  </si>
  <si>
    <t>Emerging Sources Citation Index (ESCI)</t>
  </si>
  <si>
    <t>Government &amp; Law</t>
  </si>
  <si>
    <t>V03LP</t>
  </si>
  <si>
    <t>WOS:000213739200004</t>
  </si>
  <si>
    <t>Hamer, PD; Shallcross, DE; Yabushita, A; Kawasaki, M; Marécal, V; Boxe, CS</t>
  </si>
  <si>
    <t>Hamer, P. D.; Shallcross, D. E.; Yabushita, A.; Kawasaki, M.; Marecal, V.; Boxe, C. S.</t>
  </si>
  <si>
    <t>Investigating the photo-oxidative and heterogeneous chemical production of HCHO in the snowpack at the South Pole, Antarctica</t>
  </si>
  <si>
    <t>ENVIRONMENTAL CHEMISTRY</t>
  </si>
  <si>
    <t>hydrogen peroxide; hydroxyl radical; ice chemistry; methyl peroxide; organic matter</t>
  </si>
  <si>
    <t>WATER ICE; PHOTOCHEMICAL PRODUCTION; NO2 PRODUCTION; NITRATE; FORMALDEHYDE; VARIABILITY; CHEMISTRY; SURFACE; OH; PHOTODISSOCIATION</t>
  </si>
  <si>
    <t>We investigate snowpack fluxes of formaldehyde (HCHO) into the South Pole boundary layer using steady-state photochemical models. We study two chemical sources of HCHO within the snowpack. First, we study chemical production of HCHO from the processing of methyl hydroperoxide (CH3OOH): photolysis, reaction with the hydroxyl radical (OH center dot), and by an acid catalysed rearrangement. Assuming surface layer concentration effects for acidic solutes, we show that the acid catalysed production of HCHO within ice could contribute a non-negligible source to the snowpack HCHO budget. This novel source of HCHO complements existing explanations of HCHO fluxes based on physical emission of HCHO from snow. Secondly, we investigate HCHO production from the oxidation of organic matter (OM) by OH center dot within snow to explain observed fluxes of photochemical origin from the South Pole snowpack. This work shows that laboratory-derived photochemical production rates of HCHO and our standard model are inconsistent with field observations, which has implications for the distribution of OM relative to oxidants within ice particles. We resolve this inconsistency using new laboratory measurements of the molecular dynamics of the OH center dot photofragment from hydrogen peroxide (H2O2) and nitrate (NO3-) photolysis, which show that only OH produced in the outermost monolayers can contribute to gas phase and surface layer chemistry. Using these new measurements in conjunction with realistic treatments of ice grain size, H2O2 and NO3- distribution within ice grains, diffusion of gas species within solid ice, and observed OM particle size distributions yields snowpack HCHO photochemical production rates more consistent with observations.</t>
  </si>
  <si>
    <t>[Hamer, P. D.; Shallcross, D. E.] Univ Bristol, Sch Chem, Bristol BS8 1TS, Avon, England; [Hamer, P. D.; Marecal, V.] Meteo France, Ctr Natl Rech Meteorol, Grp Etud Atmosphere Meteorol, F-31000 Toulouse, France; [Hamer, P. D.; Marecal, V.] CNRS, UMR3589, F-31000 Toulouse, France; [Yabushita, A.; Kawasaki, M.] Kyoto Univ, Dept Mol Engn, Kyoto 6158510, Japan; [Boxe, C. S.] CUNY Medgar Evers Coll, Dept Phys Environm &amp; Comp Sci, Brooklyn, NY 11235 USA</t>
  </si>
  <si>
    <t>University of Bristol; Meteo France; Centre National de la Recherche Scientifique (CNRS); CNRS - National Institute for Earth Sciences &amp; Astronomy (INSU); Kyoto University; City University of New York (CUNY) System</t>
  </si>
  <si>
    <t>Hamer, PD (corresponding author), Univ Bristol, Sch Chem, Cantocks Close, Bristol BS8 1TS, Avon, England.</t>
  </si>
  <si>
    <t>paul.d.hamer@gmail.com</t>
  </si>
  <si>
    <t>Hamer, Paul/0000-0003-0645-2932; Marecal, Virginie/0000-0003-1077-909X</t>
  </si>
  <si>
    <t>NERC under the CHABLIS project; British Antarctic Survey (BAS); Daiwa-Adrian Foundation; JSPS [20245005]; Centre National de Recherche Meteorologique, Meteo France; NERC [NE/I014381/1, NE/K01501X/1, NE/J009008/1, NE/K004905/1, NE/G01972X/1] Funding Source: UKRI; Grants-in-Aid for Scientific Research [25108002, 23684045] Funding Source: KAKEN; Natural Environment Research Council [NE/J009008/1, NE/K01501X/1, NE/G01972X/1, NE/I014381/1, NE/K004905/1] Funding Source: researchfish</t>
  </si>
  <si>
    <t>NERC under the CHABLIS project; British Antarctic Survey (BAS); Daiwa-Adrian Foundation; JSPS(Ministry of Education, Culture, Sports, Science and Technology, Japan (MEXT)Japan Society for the Promotion of Science); Centre National de Recherche Meteorologique, Meteo France; NERC(UK Research &amp; Innovation (UKRI)Natural Environment Research Council (NERC)); Grants-in-Aid for Scientific Research(Ministry of Education, Culture, Sports, Science and Technology, Japan (MEXT)Japan Society for the Promotion of ScienceGrants-in-Aid for Scientific Research (KAKENHI)); Natural Environment Research Council(UK Research &amp; Innovation (UKRI)Natural Environment Research Council (NERC))</t>
  </si>
  <si>
    <t>P. D. Hamer and D. E. Shallcross thank NERC under the CHABLIS project for a studentship and British Antarctic Survey (BAS) for funding and for contribution to the publication fees. We thank Anna Jones at BAS and the colleagues within CHABLIS for their continued support and advice. Special thanks to Greg Huey for sharing the ISCAT 2000 field campaign data, M. Kawasaki and D. E. Shallcross thank the Daiwa-Adrian Foundation for an award to support this collaboration. This work is supported by a grant-in-aid from JSPS (20245005). The authors thank Centre National de Recherche Meteorologique, Meteo France, for funding.</t>
  </si>
  <si>
    <t>CSIRO PUBLISHING</t>
  </si>
  <si>
    <t>CLAYTON</t>
  </si>
  <si>
    <t>UNIPARK, BLDG 1, LEVEL 1, 195 WELLINGTON RD, LOCKED BAG 10, CLAYTON, VIC 3168, AUSTRALIA</t>
  </si>
  <si>
    <t>1448-2517</t>
  </si>
  <si>
    <t>1449-8979</t>
  </si>
  <si>
    <t>ENVIRON CHEM</t>
  </si>
  <si>
    <t>Environ. Chem.</t>
  </si>
  <si>
    <t>10.1071/EN13227</t>
  </si>
  <si>
    <t>Chemistry, Analytical; Environmental Sciences</t>
  </si>
  <si>
    <t>Chemistry; Environmental Sciences &amp; Ecology</t>
  </si>
  <si>
    <t>AO5JK</t>
  </si>
  <si>
    <t>hybrid</t>
  </si>
  <si>
    <t>WOS:000341380400010</t>
  </si>
  <si>
    <t>Melo, IS; Santos, SN; Rosa, LH; Parma, MM; Silva, LJ; Queiroz, SCN; Pellizari, VH</t>
  </si>
  <si>
    <t>Melo, Itamar S.; Santos, Suikinai N.; Rosa, Luiz H.; Parma, Marcia M.; Silva, Leonardo J.; Queiroz, Sonia C. N.; Pellizari, Vivian H.</t>
  </si>
  <si>
    <t>Isolation and biological activities of an endophytic Mortierella alpina strain from the Antarctic moss Schistidium antarctici</t>
  </si>
  <si>
    <t>EXTREMOPHILES</t>
  </si>
  <si>
    <t>Antarctica; Mortierella alpina; Schistidium antarctici; Antibacterial activity; PUFAs; Pyrrolopyrazine alkaloids</t>
  </si>
  <si>
    <t>POLYUNSATURATED FATTY-ACIDS; FUNGI</t>
  </si>
  <si>
    <t>The Antarctic endophytic fungus (strain ITA1-CCMA 952) was isolated from the moss Schistidium antarctici found in Admiralty Bay, King George Island, Antarctica. Strain ITA1-CCMA 952 was assigned to the specie Mortierella alpina by phylogenetic analysis based on 18S rRNA gene sequences. This strain produces high levels of polyunsaturated fatty acids (PUFAs), including y-(gamma) linolenic acid and arachidonic acid, which when combined represents 48.3 % of the total fatty acid content. Fungal extracts demonstrated strong antioxidant activity with the EC50 value of 48.7 mu g mL(-1) and also a strong antibacterial activity, mainly against the following bacteria: Escherichia coli, with a MIC of 26.9 mu g mL(-1) and Pseudomonas aeruginosa and Enterococcus faecalis, both with a MIC of 107 mu g mL(-1). A GC-MS analysis of the chloroform fraction obtained from the crude extract revealed the presence of potential antimicrobials (Pyrrolo[1,2-a]pyrazine-1,4-dione, hexahydro-3-(2-methylpropyl) and Pyrrolo[1,2-a]pyrazine-1,4-dione, hexahydro-3-(phenylmethyl)) as the major compounds. Therefore, the M. alpina strain ITA1-CCMA 952 is a promising fungus for the biotechnological production of antibiotics, antioxidant substances and PUFAs. This study highlights the need for more research in extreme environments, such as Antarctica.</t>
  </si>
  <si>
    <t>[Melo, Itamar S.; Santos, Suikinai N.; Parma, Marcia M.; Silva, Leonardo J.; Queiroz, Sonia C. N.] Brazilian Agr Res Corp EMBRAPA, Lab Environm Microbiol, Embrapa Environm, BR-13820000 Jaguariuna, SP, Brazil; [Rosa, Luiz H.] Univ Fed Minas Gerais, BR-31270901 Belo Horizonte, MG, Brazil; [Pellizari, Vivian H.] Univ Sao Paulo, BR-05508900 Sao Paulo, Brazil</t>
  </si>
  <si>
    <t>Empresa Brasileira de Pesquisa Agropecuaria (EMBRAPA); Universidade Federal de Minas Gerais; Universidade de Sao Paulo</t>
  </si>
  <si>
    <t>Melo, IS (corresponding author), Brazilian Agr Res Corp EMBRAPA, Lab Environm Microbiol, Embrapa Environm, Rodovia SP 340,Km 127,5,POB 69, BR-13820000 Jaguariuna, SP, Brazil.</t>
  </si>
  <si>
    <t>itamar.melo@embrapa.br</t>
  </si>
  <si>
    <t>Santos, Suikinai Nobre/L-6304-2017; C. N. Queiroz, Sonia/G-9714-2012; Santos, Suikina Nobre/S-3587-2019; Silva, Leonardo/N-7787-2019; Melo, Itamar S/I-8516-2012; Pellizari, Vivian/J-9153-2012</t>
  </si>
  <si>
    <t>C. N. Queiroz, Sonia/0000-0002-1725-183X; Santos, Suikina Nobre/0000-0002-2253-8835; Silva, Leonardo/0000-0002-7625-9460; Pellizari, Vivian/0000-0003-2757-6352</t>
  </si>
  <si>
    <t>SPRINGER JAPAN KK</t>
  </si>
  <si>
    <t>TOKYO</t>
  </si>
  <si>
    <t>CHIYODA FIRST BLDG EAST, 3-8-1 NISHI-KANDA, CHIYODA-KU, TOKYO, 101-0065, JAPAN</t>
  </si>
  <si>
    <t>1431-0651</t>
  </si>
  <si>
    <t>1433-4909</t>
  </si>
  <si>
    <t>Extremophiles</t>
  </si>
  <si>
    <t>10.1007/s00792-013-0588-7</t>
  </si>
  <si>
    <t>Biochemistry &amp; Molecular Biology; Microbiology</t>
  </si>
  <si>
    <t>274RS</t>
  </si>
  <si>
    <t>WOS:000328624500002</t>
  </si>
  <si>
    <t>Maida, I; Fondi, M; Papaleo, MC; Perrin, E; Orlandini, V; Emiliani, G; de Pascale, D; Parrilli, E; Tutino, ML; Michaud, L; Lo Giudice, A; Romoli, R; Bartolucci, G; Fani, R</t>
  </si>
  <si>
    <t>Maida, Isabel; Fondi, Marco; Papaleo, Maria Cristiana; Perrin, Elena; Orlandini, Valerio; Emiliani, Giovanni; de Pascale, Donatella; Parrilli, Ermenegilda; Tutino, Maria Luisa; Michaud, Luigi; Lo Giudice, Angelina; Romoli, Riccardo; Bartolucci, Gianluca; Fani, Renato</t>
  </si>
  <si>
    <t>Phenotypic and genomic characterization of the Antarctic bacterium Gillisia sp CAL575, a producer of antimicrobial compounds</t>
  </si>
  <si>
    <t>Antarctic bacterium; Gillisia sp CAL575; Cystic fibrosis; Burkholderia cepacia complex; VOCs</t>
  </si>
  <si>
    <t>SP-NOV.; FAMILY FLAVOBACTERIACEAE; PSYCHROTROPHIC BACTERIA; ANNOTATION; SEQUENCE; DATABASE; MEMBER; IDENTIFICATION; BIOSYNTHESIS; PHYLOGENIES</t>
  </si>
  <si>
    <t>Microorganisms from Antarctica have evolved particular strategies to cope with cold. Moreover, they have been recently reported as producers of antimicrobial compounds, which inhibit the growth of other bacteria. In this work we characterized from different viewpoints the Gillisia sp. CAL575 strain, a psychrotrophic bacterium that produces microbial volatile organic compounds involved in the growth inhibition of Burkholderia cepacia complex members. Sequencing and analysis of the whole genome of Gillisia sp. CAL575 revealed that it includes genes that are involved in secondary metabolite production, adaptation to cold conditions, and different metabolic pathways for the production of energy. All these features make Gillisia sp. CAL575 a possible tool for biotechnology.</t>
  </si>
  <si>
    <t>[Maida, Isabel; Fondi, Marco; Papaleo, Maria Cristiana; Perrin, Elena; Orlandini, Valerio; Fani, Renato] Univ Florence, Dept Biol, Lab Microbial &amp; Mol Evolut, I-50019 Florence, Italy; [Emiliani, Giovanni] CNR, Trees &amp; Timber Inst, I-50019 Florence, Italy; [de Pascale, Donatella] CNR, Inst Prot Biochem, I-80134 Naples, Italy; [Parrilli, Ermenegilda; Tutino, Maria Luisa] Univ Naples Federico II, Dept Chem Sci, I-80126 Naples, Italy; [Parrilli, Ermenegilda; Tutino, Maria Luisa] Univ Naples Federico II, Sch Biotechnol Sci, I-80126 Naples, Italy; [Michaud, Luigi; Lo Giudice, Angelina] Univ Messina, Dept Biol &amp; Environm Sci DiSBA CIBAN, I-98166 Messina, Italy; [Romoli, Riccardo] Mass Spectrometry Ctr CISM, I-50019 Sesto Fiorentino, FI, Italy; [Bartolucci, Gianluca] Univ Florence, Sect Pharmaceut &amp; Nutraceut Sci, Dept Neurosci Psychol Drug Res &amp; Child Hlth, I-50019 Sesto Fiorentino, FI, Italy</t>
  </si>
  <si>
    <t>University of Florence; Consiglio Nazionale delle Ricerche (CNR); Istituto per la Valorizzazione del Legno e delle Specie Arboree (IVALSA-CNR); Consiglio Nazionale delle Ricerche (CNR); Istituto di Biochimica delle Proteine (IBP-CNR); University of Naples Federico II; University of Naples Federico II; University of Messina; University of Florence</t>
  </si>
  <si>
    <t>Fani, R (corresponding author), Univ Florence, Dept Biol, Lab Microbial &amp; Mol Evolut, Via Madonna del Piano 6, I-50019 Florence, Italy.</t>
  </si>
  <si>
    <t>renato.fani@unifi.it</t>
  </si>
  <si>
    <t>TUTINO, MARIA LUISA/L-1834-2013; Perrin, Elena/AAX-2762-2020; parrilli, ermenegilda/JAZ-0586-2023; Bartolucci, Gianluca/J-4545-2019; parrilli, ermenegilda/K-4616-2016; Emiliani, Giovanni/G-5023-2016</t>
  </si>
  <si>
    <t>Perrin, Elena/0000-0001-5148-3178; Bartolucci, Gianluca/0000-0002-5631-8769; parrilli, ermenegilda/0000-0002-9002-5409; Fondi, Marco/0000-0001-9291-5467; Emiliani, Giovanni/0000-0002-1264-8002; Orlandini, Valerio/0000-0002-6857-5471; Tutino, Maria Luisa/0000-0002-4978-6839</t>
  </si>
  <si>
    <t>Italian Cystic Fibrosis Research foundation [FFC12/2011]; Ente Cassa di Risparmio di Firenze [1103#2008]; MNA (Museo Nazionale dell'Antartide); Italian Cystic Fibrosis Research Foundation; FEMS; EU KBBE [312184]</t>
  </si>
  <si>
    <t>Italian Cystic Fibrosis Research foundation(Ministry of Health, ItalyItalian Cystic Fibrosis Research Foundation); Ente Cassa di Risparmio di Firenze(Fondazione Cassa Risparmio Firenze); MNA (Museo Nazionale dell'Antartide); Italian Cystic Fibrosis Research Foundation(Ministry of Health, ItalyItalian Cystic Fibrosis Research Foundation); FEMS; EU KBBE</t>
  </si>
  <si>
    <t>This work was supported by grants from the Italian Cystic Fibrosis Research foundation (Grant FFC#12/2011), the Ente Cassa di Risparmio di Firenze (Grant 1103#2008), and the MNA (Museo Nazionale dell'Antartide). Valerio Orlandini and Marco Fondi are financially supported by an Italian Cystic Fibrosis Research Foundation fellowship and a FEMS Advanced Fellowship (FAF2012), respectively. We also thank the EU KBBE Project Pharmasea 2012-2016, Grant Agreement No: 312184. Lastly, we are very grateful to two anonymous referees for their suggestions in improving the manuscript.</t>
  </si>
  <si>
    <t>SHIROYAMA TRUST TOWER 5F, 4-3-1 TORANOMON, MINATO-KU, TOKYO, 105-6005, JAPAN</t>
  </si>
  <si>
    <t>10.1007/s00792-013-0590-0</t>
  </si>
  <si>
    <t>WOS:000328624500004</t>
  </si>
  <si>
    <t>Melvin, EF; Guy, TJ; Read, LB</t>
  </si>
  <si>
    <t>Melvin, Edward F.; Guy, Troy J.; Read, Lorraine B.</t>
  </si>
  <si>
    <t>Best practice seabird bycatch mitigation for pelagic longline fisheries targeting tuna and related species</t>
  </si>
  <si>
    <t>FISHERIES RESEARCH</t>
  </si>
  <si>
    <t>Albatross bycatch; Petrel bycatch; Pelagic Longline tuna fisheries; Fisheries best practice</t>
  </si>
  <si>
    <t>BY-CATCH; BRANCH LINE; SOUTHERN-OCEAN; BAITED HOOKS; MORTALITY; ALBATROSSES; RATES; IMPACT; BEHAVIOR; VESSELS</t>
  </si>
  <si>
    <t>We comprehensively tested combinations of three primary mitigation measures in a pelagic longline fishery with one of the highest rates of interaction with what may be the world's most challenging seabird assemblage (dominated by Procellaria genus petrels), aboard fishing vessels typical of the Asian distant water fleet. Multiple measures were used to compare the performance of weighted vs. unweighted branch lines set with two bird-scaring lines - hybrid lines with long and short streamers - during daytime and nighttime. The weights used were a novel double-weight configuration. Secondary attacks on baits brought to the surface by white-chinned petrels drove albatross mortality. Regardless of time of day, weighted branch lines with two bird-scaring lines, deployed and maintained with an aerial extent of 100m, reduced bird attacks by a factor of four, and secondary attacks and seabird mortality by a factor of seven, compared to unweighted branch lines, with little effect on fish catch rates and with no injuries to crew. This combination yielded zero bird mortalities when gear was set at night. We conclude that the simultaneous use of two bird-scaring lines, weighted branch lines and night setting meet our criteria for best-practice seabird bycatch mitigation for the joint-venture fleet targeting tuna and related species in the South African EEZ, To be successful, the aerial extent of bird-scaring lines should be aligned with the distance astern that baited hooks sink beyond the foraging depth of the dominant seabird - in this case white-chinned petrels to a depth near 5 m. Given that these measures were successful in one of the most challenging pelagic longline fisheries, they are likely to be widely applicable to pelagic longline fisheries using similar gear. (C) 2013 Elsevier B.V. All rights reserved.</t>
  </si>
  <si>
    <t>[Melvin, Edward F.; Guy, Troy J.] Univ Washington, Washington Sea Grant, Seattle, WA 98195 USA; [Melvin, Edward F.] Univ Washington, Sch Aquat &amp; Fishery Sci, Seattle, WA 98195 USA; [Read, Lorraine B.] TerraStat Consulting Grp, Snohomish, WA 98290 USA</t>
  </si>
  <si>
    <t>University of Washington; University of Washington Seattle; University of Washington; University of Washington Seattle</t>
  </si>
  <si>
    <t>Melvin, EF (corresponding author), Univ Washington, Washington Sea Grant, Box 355020, Seattle, WA 98195 USA.</t>
  </si>
  <si>
    <t>edmelvin@uw.edu</t>
  </si>
  <si>
    <t>Fennell, Hannah/AAI-1408-2019</t>
  </si>
  <si>
    <t>David and Lucille Packard Foundation; Washington Sea Grant; BirdLife International Albatross Task Force; World Wildlife Fund and Moss Landing Marine Laboratories</t>
  </si>
  <si>
    <t>David and Lucille Packard Foundation(The David &amp; Lucile Packard Foundation); Washington Sea Grant; BirdLife International Albatross Task Force; World Wildlife Fund and Moss Landing Marine Laboratories</t>
  </si>
  <si>
    <t>The David and Lucille Packard Foundation and Washington Sea Grant provided funding; neither had any other role in this research. Research was conducted under University of Washington Animal Care Protocol 2974-01. We thank our many collaborators: South African Department of Environmental Affairs and Tourism, Marine and Coastal Management, Pelagic and High Seas Fishery Management Division, the Federation of Japan Tuna Fisheries Cooperative Associations, Tuna South Africa, japan Marine, the Ecologically Related Species Section, National Research Institute of Far Seas Fisheries and Capricorn Fisheries. Japan Tuna provided branch line and float-line weights, reconfigured the port tori pole of the Fukuseki Maru No. 5 and coordinated logistics with the vessels. Barry Rose, Troy Guy, and Noriyosi Sato collected data at sea. Richard Phillips, British Antarctic Survey, provided white-chinned petrel diving data. Graham Robertson, Australian Antarctic Division, kindly provided time-depth recorders. We also thank BirdLife International Albatross Task Force, the World Wildlife Fund and Moss Landing Marine Laboratories for their support. Finally, we are indebted to Kazuhiro Yamazaki, Fishing Master of the F/V Fukuseki 5, and Yoshinari Hanada, Engineer, for their dedication and innovation. Reviews by Barry Baker, Keith Bigelow, Taina Honkalehto, Eric Scigliano, Athol Whitten, and two anonymous reviewers improved the manuscript.</t>
  </si>
  <si>
    <t>ELSEVIER SCIENCE BV</t>
  </si>
  <si>
    <t>PO BOX 211, 1000 AE AMSTERDAM, NETHERLANDS</t>
  </si>
  <si>
    <t>0165-7836</t>
  </si>
  <si>
    <t>1872-6763</t>
  </si>
  <si>
    <t>FISH RES</t>
  </si>
  <si>
    <t>Fish Res.</t>
  </si>
  <si>
    <t>10.1016/j.fishres.2013.07.012</t>
  </si>
  <si>
    <t>Fisheries</t>
  </si>
  <si>
    <t>275YQ</t>
  </si>
  <si>
    <t>WOS:000328715700002</t>
  </si>
  <si>
    <t>Van de Vijver, B; Zidarova, R; Kopalová, K</t>
  </si>
  <si>
    <t>Van de Vijver, Bart; Zidarova, Ralitsa; Kopalova, Katerina</t>
  </si>
  <si>
    <t>New species in the genus Muelleria (Bacillariophyta) from the Maritime Antarctic Region</t>
  </si>
  <si>
    <t>FOTTEA</t>
  </si>
  <si>
    <t>Antarctic Region; morphology; Muelleria; new species; taxonomy</t>
  </si>
  <si>
    <t>LIVINGSTON ISLAND; SHETLAND ISLANDS; SOUTH SHETLAND; COMMUNITIES; REVISION</t>
  </si>
  <si>
    <t>During a survey of the freshwater aquatic and limno-terrestrial diatom flora of the Maritime Antarctic Region, six taxa belonging to the genus Muelleria that could not be identified were observed. Based on detailed LM and SEM observations, these six taxa have been described as new taxa: Muelleria desseiniana sp. nov., M. levkoviana sp. nov., M. nogae sp. nov., M. spauldingiana sp. nov., M. subsabbei sp. nov. and M. undulatoides sp. nov. Comments are made on their taxonomic position and how they can be distinguished from other species in this genus. Brief notes on the ecology and distribution of the six taxa are added. A compiled list of all Muelleria taxa described worldwide is included in this paper.</t>
  </si>
  <si>
    <t>[Van de Vijver, Bart] Bot Garden Meise, Dept Bryophyta &amp; Thallophyta, B-1860 Meise, Belgium; [Van de Vijver, Bart] Univ Antwerp, ECOBE, Dept Biol, B-2610 Antwerp, Belgium; [Zidarova, Ralitsa] Sofia Univ St Kliment Ohridski, Fac Biol, Dept Bot, Sofia 1164, Bulgaria; [Kopalova, Katerina] Charles Univ Prague, Fac Sci, Dept Ecol, CZ-12844 Prague, Czech Republic</t>
  </si>
  <si>
    <t>University of Antwerp; University of Sofia; Charles University Prague</t>
  </si>
  <si>
    <t>Van de Vijver, B (corresponding author), Bot Garden Meise, Dept Bryophyta &amp; Thallophyta, Domein Bouchout, B-1860 Meise, Belgium.</t>
  </si>
  <si>
    <t>vandevijver@br.fgov.be</t>
  </si>
  <si>
    <t>Zidarova, Ralitsa/I-3793-2017; Kopalová, Kateřina/H-1598-2014; Kopalova, Katerina/M-6207-2017</t>
  </si>
  <si>
    <t>Kopalova, Katerina/0000-0002-7905-4268; Zidarova, Ralitsa/0000-0002-6451-0099</t>
  </si>
  <si>
    <t>Ministerio de Ciencia y Tecnologia, Spain [POL2006-06635]; Erasmus grant [394211]; BELSPO CCAMBIO project (Belgium); L'Oreal-Unesco For Women in Science Program (Bulgaria); [RVO 67985939]</t>
  </si>
  <si>
    <t>Ministerio de Ciencia y Tecnologia, Spain(Spanish Government); Erasmus grant(Erasmus+); BELSPO CCAMBIO project (Belgium); L'Oreal-Unesco For Women in Science Program (Bulgaria)(L'Oreal Group);</t>
  </si>
  <si>
    <t>Samples on Byers Peninsula (Livingston Island) were taken in the framework of the IPY-Limnopolar Project POL2006-06635 (Ministerio de Ciencia y Tecnologia, Spain). Samples on Hurd Peninsula (Livingston Island) were taken with the logistic support of the Bulgarian Antarctic Institute. The authors would also like to thank the members of expeditions to the Czech J.G. Mendel Antarctic Station for their support and help in the field. This study has been supported as a long-term research development project no. RVO 67985939. Mrs. K. Kopalova benefitted from an Erasmus grant during her stay in Belgium and GA UK grant nr. 394211. Part of the research was funded within the BELSPO CCAMBIO project (Belgium) and by L'Oreal-Unesco For Women in Science Program (Bulgaria).</t>
  </si>
  <si>
    <t>CZECH PHYCOLOGICAL SOC</t>
  </si>
  <si>
    <t>PRAHA 2</t>
  </si>
  <si>
    <t>BENATSKA 2,, PRAHA 2, CZ-128 01, CZECH REPUBLIC</t>
  </si>
  <si>
    <t>1802-5439</t>
  </si>
  <si>
    <t>Fottea</t>
  </si>
  <si>
    <t>10.5507/fot.2014.006</t>
  </si>
  <si>
    <t>Plant Sciences</t>
  </si>
  <si>
    <t>AF3BV</t>
  </si>
  <si>
    <t>Green Published, gold</t>
  </si>
  <si>
    <t>WOS:000334587400006</t>
  </si>
  <si>
    <t>Spotte, S</t>
  </si>
  <si>
    <t>Spotte, Stephen</t>
  </si>
  <si>
    <t>Free-ranging Cats Behavior, Ecology, Management Preface</t>
  </si>
  <si>
    <t>FREE-RANGING CATS: BEHAVIOR, ECOLOGY, MANAGEMENT</t>
  </si>
  <si>
    <t>Editorial Material; Book Chapter</t>
  </si>
  <si>
    <t>FERAL HOUSE CATS; FERRETS MUSTELA-FURO; ESSENTIAL FATTY-ACID; TRAP-NEUTER-RETURN; ANTARCTIC MARION-ISLAND; FELIS-SILVESTRIS-CATUS; LUTEINIZING-HORMONE RELEASE; LIGHT-MICROSCOPIC ANALYSIS; MALE REPRODUCTIVE SUCCESS; INVASIVE SPECIES REMOVAL</t>
  </si>
  <si>
    <t>WILEY-BLACKWELL</t>
  </si>
  <si>
    <t>CHICHESTER</t>
  </si>
  <si>
    <t>THE ATRIUM, SOUTHERN GATE, CHICHESTER, WEST SUSSEX PO19 8SQ, ENGLAND</t>
  </si>
  <si>
    <t>978-1-118-88403-4; 978-1-118-88401-0</t>
  </si>
  <si>
    <t>XI</t>
  </si>
  <si>
    <t>+</t>
  </si>
  <si>
    <t>10.1002/9781118884058</t>
  </si>
  <si>
    <t>Behavioral Sciences; Zoology</t>
  </si>
  <si>
    <t>Book Citation Index – Science (BKCI-S)</t>
  </si>
  <si>
    <t>BE1NS</t>
  </si>
  <si>
    <t>WOS:000368240700001</t>
  </si>
  <si>
    <t>Dugger, KM; Ballard, G; Ainley, DG; Lyver, PO; Schine, C</t>
  </si>
  <si>
    <t>Dugger, Katie M.; Ballard, Grant; Ainley, David G.; Lyver, Phil O'B.; Schine, Casey</t>
  </si>
  <si>
    <t>Adelie penguins coping with environmental change: results from a natural experiment at the edge of their breeding range</t>
  </si>
  <si>
    <t>FRONTIERS IN ECOLOGY AND EVOLUTION</t>
  </si>
  <si>
    <t>Adelie penguin; breeding productivity; chick mass; climate change; environmental variation; nesting phenology</t>
  </si>
  <si>
    <t>We investigated life history responses to extreme variation in physical environmental conditions during a long-term demographic study of Adelie penguins at 3 colonies representing 9% of the world population and the full range of breeding colony sizes. Five years into the 14-year study (1997-2010) two very large icebergs (spanning 1.5 latitude degrees in length) grounded in waters adjacent to breeding colonies, dramatically altering environmental conditions during 2001-2005. This natural experiment allowed us to evaluate the relative impacts of expected long-term, but also extreme, short-term climate perturbations on important natural history parameters that can regulate populations. The icebergs presented physical barriers, not just to the penguins but to polynya formation, which profoundly increased foraging effort and movement rates, while reducing breeding propensity and productivity, especially at the smallest colony. We evaluated the effect of a variety of environmental parameters during breeding, molt, migration and wintering periods during years with and without icebergs on penguin breeding productivity, chick mass, and nesting chronology. The icebergs had far more influence on the natural history parameters of penguins than any of the other environmental variables measured, resulting in population level changes to metrics of reproductive performance, including delays in nesting chronology, depressed breeding productivity, and lower chick mass. These effects were strongest at the smallest, southern-most colony, which was most affected by alteration of the Ross Sea Polynya during years the iceberg was present. Additionally, chick mass was negatively correlated with colony size, supporting previous findings indicating density-dependent energetic constraints at the largest colony. Understanding the negative effects of the icebergs on the short-term natural history of Adelie penguins, as well as their response to long-term environmental variation, are important to our overall understanding of climate change effects in this and other species facing both rapid and persistent environmental change.</t>
  </si>
  <si>
    <t>[Dugger, Katie M.] Oregon State Univ, US Geol Survey, Oregon Cooperat Fish &amp; Wildlife Res Unit, Dept Fisheries &amp; Wildlife, Corvallis, OR 97331 USA; [Ballard, Grant] Point Blue Conservat Sci, Petaluma, CA USA; [Ainley, David G.] HT Harvey &amp; Associates, Los Gatos, CA USA; [Lyver, Phil O'B.] Landcare Res, Lincoln, New Zealand; [Schine, Casey] Stanford Univ, Dept Environm Earth Syst Sci, Stanford, CA 94305 USA</t>
  </si>
  <si>
    <t>Oregon State University; United States Department of the Interior; United States Geological Survey; Landcare Research - New Zealand; Stanford University</t>
  </si>
  <si>
    <t>Dugger, KM (corresponding author), Oregon State Univ, Dept Fisheries &amp; Wildlife, Oregon Cooperat Wildlife Res Unit, 104 Nash Hall, Corvallis, OR 97331 USA.</t>
  </si>
  <si>
    <t>katie.dugger@oregonstate.edu</t>
  </si>
  <si>
    <t>Schine, Casey/0000-0003-1944-0703</t>
  </si>
  <si>
    <t>National Science Foundation [OPP 9526865, 9814882, 0125608, 0944411, 0440643]; New Zealand's Ministry of Business, Innovation and Employment [C09X0510, CO1X1001]; Directorate For Geosciences; Office of Polar Programs (OPP) [0944141] Funding Source: National Science Foundation; Directorate For Geosciences; Office of Polar Programs (OPP) [0944358, 0944411] Funding Source: National Science Foundation</t>
  </si>
  <si>
    <t>National Science Foundation(National Science Foundation (NSF)); New Zealand's Ministry of Business, Innovation and Employment(New Zealand Ministry of Business, Innovation and Employment (MBIE)); Directorate For Geosciences; Office of Polar Programs (OPP)(National Science Foundation (NSF)NSF - Directorate for Geosciences (GEO)); Directorate For Geosciences; Office of Polar Programs (OPP)(National Science Foundation (NSF)NSF - Directorate for Geosciences (GEO))</t>
  </si>
  <si>
    <t>Funding was provided by National Science Foundation Grants OPP 9526865, 9814882, 0125608, 0944411 and 0440643 (to Katie M. Dugger, David G. Ainley, and Grant Ballard) and New Zealand's Ministry of Business, Innovation and Employment Grants C09X0510 and CO1X1001 (to Phil O'B. Lyver). We offer many thanks to the large number of people who helped collect field data for this project over the last 14 years. Fieldwork was conducted with logistic support provided by the US Antarctic Program and Antarctica New Zealand. All penguin survey, capture and handling methods performed during data collection for this study were approved under appropriate Antarctic Conservation Act permits from the National Science Foundation Office of Polar Programs, Landcare Research Animal Ethics Committee Permit Programme and Oregon State University's Institutional Animal Care and Use Committee (ACUP #3049, 3672, 4130). We greatly appreciate comments made on earlier versions of this manuscript by Dr. Jefferson Hinke and two anonymous reviewers, and thanks to Dennis Jongsomjit (Point Blue Conservation Science) for his help revising figures. This is Point Blue Conservation Science Contribution No. 2000. Any use of trade, firm, or product names is for descriptive purposes only and does not imply endorsement by the U.S. Government.</t>
  </si>
  <si>
    <t>FRONTIERS MEDIA SA</t>
  </si>
  <si>
    <t>LAUSANNE</t>
  </si>
  <si>
    <t>AVENUE DU TRIBUNAL FEDERAL 34, LAUSANNE, CH-1015, SWITZERLAND</t>
  </si>
  <si>
    <t>2296-701X</t>
  </si>
  <si>
    <t>FRONT ECOL EVOL</t>
  </si>
  <si>
    <t>Front. Ecol. Evol.</t>
  </si>
  <si>
    <t>10.3389/fevo.2014.00068</t>
  </si>
  <si>
    <t>VI8NY</t>
  </si>
  <si>
    <t>gold</t>
  </si>
  <si>
    <t>WOS:000517755700067</t>
  </si>
  <si>
    <t>Alcaraz, M; Almeda, R; Duarte, CM; Horstkotte, B; Lasternas, S; Agustí, S</t>
  </si>
  <si>
    <t>Alcaraz, Miquel; Almeda, Rodrigo; Duarte, Carlos M.; Horstkotte, Burkhard; Lasternas, Sebastien; Agusti, Susana</t>
  </si>
  <si>
    <t>Changes in the C, N, and P cycles by the predicted salps-krill shift in the southern ocean</t>
  </si>
  <si>
    <t>FRONTIERS IN MARINE SCIENCE</t>
  </si>
  <si>
    <t>Southern Ocean; zooplankton; community shifts; metabolism; carbon cycling; C:N:P stoichiometry</t>
  </si>
  <si>
    <t>ANTARCTIC KRILL; AUSTRAL SUMMER; EUPHAUSIA-SUPERBA; MARINE ZOOPLANKTON; CLIMATE-CHANGE; SALP/KRILL INTERACTIONS; POTENTIAL CONTRIBUTION; ELEMENTAL COMPOSITION; NITROGEN-EXCRETION; AMMONIA EXCRETION</t>
  </si>
  <si>
    <t>The metabolic carbon requirements and excretion rates of three major zooplankton groups in the Southern Ocean were studied in February 2009. The research was conducted in the framework of the ATOS research project as part of the Spanish contribution to the International Polar Year. The objective was to ascertain the possible consequences of the predicted zooplankton shift from krill to salps in the Southern Ocean for the cycling of biogenic carbon and the concentration and stoichiometry of dissolved inorganic nutrients. The carbon respiratory demands and NH4-N and PO4-P excretion rates of &lt;5 mm size copepods, krill and salps were estimated by incubation experiments. The carbon-specific metabolic rates and N:P metabolic quotients of salps were higher than those of krill (furcilia spp. and adults) and copepods, and as expected there was a significant negative relation between average individual zooplankton biomass and their metabolic rates, each metabolic process showing a particular response that lead to different metabolic N:P ratios. The predicted change from krill to salps in the Southern Ocean would encompass not only the substitution of a pivotal group for Antarctic food webs (krill) by one with an indifferent trophic role (salps). In a zooplankton community dominated by salps the respiratory carbon demand by zooplankton will significantly increase, and therefore the proportion of primary production that should be allocated to compensate for the global respiratory C-losses of zooplankton. At the same time, the higher production by salps of larger, faster sinking fecal pellets will increase the sequestration rate of biogenic carbon. Similarly, the higher N and P excretion rates of zooplankton and the changes in the N:P stoichiometry of the metabolic products will modify the concentration and proportion of N and P in the nutrient pool, inducing quantitative and qualitative changes on primary producers that will translate to the whole Southern Ocean ecosystem.</t>
  </si>
  <si>
    <t>[Alcaraz, Miquel] CSIC, Inst Ciencies Mar, P Maritim Barceloneta 37-49, E-08003 Barcelona, Catalonia, Spain; [Almeda, Rodrigo] Tech Univ Denmark, Ctr Ocean Life, DTU Aqua, Charlottenlund, Denmark; [Duarte, Carlos M.; Horstkotte, Burkhard; Lasternas, Sebastien; Agusti, Susana] CSIC UIB, IMEDEA, Esporles, Spain; [Duarte, Carlos M.; Agusti, Susana] UWA Oceans Inst, Crawley, WA, Australia</t>
  </si>
  <si>
    <t>Consejo Superior de Investigaciones Cientificas (CSIC); CSIC - Centro Mediterraneo de Investigaciones Marinas y Ambientales (CMIMA); CSIC - Instituto de Ciencias del Mar (ICM); Technical University of Denmark; Consejo Superior de Investigaciones Cientificas (CSIC); ATTITUS Educacao; Universitat de les Illes Balears; University of Barcelona; University of Western Australia</t>
  </si>
  <si>
    <t>Alcaraz, M (corresponding author), CSIC, Inst Ciencies Mar, P Maritim Barceloneta 37-49, E-08003 Barcelona, Catalonia, Spain.</t>
  </si>
  <si>
    <t>miquel@icm.csic.es</t>
  </si>
  <si>
    <t>Agusti, Susana/G-2864-2017; Duarte, Carlos M/A-7670-2013; Lasternas, Sebastien/F-3295-2011; Duarte Quesada, Carlos Manuel/ABD-6208-2021; Horstkotte, Burkhard/N-2739-2014; Alcaraz, Miquel/B-6462-2015; ALMEDA, RODRIGO/R-1189-2016</t>
  </si>
  <si>
    <t>Agusti, Susana/0000-0003-0536-7293; Duarte, Carlos M/0000-0002-1213-1361; Horstkotte, Burkhard/0000-0003-2337-9634; Alcaraz, Miquel/0000-0002-4803-2306; ALMEDA, RODRIGO/0000-0002-0090-112X</t>
  </si>
  <si>
    <t>Spanish funded project ATOS [POL 2006-0550/CTM]; Spanish funded project PERFIL [CTM 2006-12344-C01]; UE funded project ATP [226248]</t>
  </si>
  <si>
    <t>Spanish funded project ATOS; Spanish funded project PERFIL; UE funded project ATP</t>
  </si>
  <si>
    <t>The authors wish to express their gratitude to the crew of the R/V Hesperides, the technicians of the UTM and two unknown reviewers whose comments contributed significantly to clarify and improve the paper. This work was supported by the Spanish funded projects ATOS (POL 2006-0550/CTM) to Carlos M. Duarte, PERFIL (CTM 2006-12344-C01) to Miguel Alcaraz, and the UE funded project ATP (www.eu-atp.org) contract #226248 to P. Wassmann.</t>
  </si>
  <si>
    <t>2296-7745</t>
  </si>
  <si>
    <t>FRONT MAR SCI</t>
  </si>
  <si>
    <t>Front. Mar. Sci.</t>
  </si>
  <si>
    <t>10.3389/fmars.2014.00045</t>
  </si>
  <si>
    <t>Environmental Sciences; Marine &amp; Freshwater Biology</t>
  </si>
  <si>
    <t>Environmental Sciences &amp; Ecology; Marine &amp; Freshwater Biology</t>
  </si>
  <si>
    <t>VI4JR</t>
  </si>
  <si>
    <t>WOS:000485310600043</t>
  </si>
  <si>
    <t>Moles, J; Torrent, A; Alcaraz, MJ; Ruhí, R; Avila, C</t>
  </si>
  <si>
    <t>Moles, Juan; Torrent, Anna; Jose Alcaraz, M.; Ruhi, Ramon; Avila, Conxita</t>
  </si>
  <si>
    <t>Anti-inflammatory activity in selected Antarctic benthic organisms</t>
  </si>
  <si>
    <t>inflammatory inhibitor; Antarctic benthic invertebrates; sponge; hemichordate; marine natural products</t>
  </si>
  <si>
    <t>MARINE; TUNICATE</t>
  </si>
  <si>
    <t>Antarctic benthos was prospected in search for anti-inflammatory activity in polar benthic invertebrates, in two different geographical areas: deep-bottoms of the Eastern Weddell Sea and shallow-waters of the South Shetland Islands. A total of 36 benthic algae and invertebrate species were selected to perform solubility tests in order to obtain extracts that were soluble at an innocuous ethanol concentration (0.2%) for cell culture, and further test them for anti-inflammatory activity. From these, ethanol extracts of ten species from five different phyla resulted suitable to be studied in cell macrophage cultures (RAW 264.7). Cytotoxicity (MTT method) and production of inflammatory mediators (prostaglandin E-2, leukotriene B-4, interleukin-1 beta) were determined at three extract concentrations (50, 125, 250 mu g/mL). Bioassays resulted in four different species showing anti-inflammatory activity corresponding to three sponges: Mycale (Oxymycale) acerata, Isodictya erinacea, and I. toxophila; and one hemichordate: Cephalodiscus sp. These results show that Antarctic sessile invertebrates may have great value as a source of lead compounds with potential pharmaceutical applications.</t>
  </si>
  <si>
    <t>[Moles, Juan; Avila, Conxita] Univ Barcelona, Biodivers Res Inst IrBIO, Dept Anim Biol Invertebrates, Ave Diagonal 643, E-08028 Barcelona, Catalonia, Spain; [Torrent, Anna; Ruhi, Ramon] Bioiberica, R&amp;D Dept, Barcelona, Catalonia, Spain; [Jose Alcaraz, M.] Univ Valencia, Dept Pharmacol &amp; Pharmacodynam, Valencia, Spain</t>
  </si>
  <si>
    <t>University of Barcelona; Bioiberica; University of Valencia</t>
  </si>
  <si>
    <t>Moles, J (corresponding author), Univ Barcelona, Biodivers Res Inst IrBIO, Dept Anim Biol Invertebrates, Ave Diagonal 643, E-08028 Barcelona, Catalonia, Spain.</t>
  </si>
  <si>
    <t>moles.sanchez@gmail.com</t>
  </si>
  <si>
    <t>Alcaraz, María José/D-8195-2018; Avila, Conxita/B-9466-2008; Moles, Juan/H-4786-2018</t>
  </si>
  <si>
    <t>Avila, Conxita/0000-0002-5489-8376; Moles, Juan/0000-0003-4511-4055</t>
  </si>
  <si>
    <t>Spanish government through the ACTIQUIM Projects [CGL2004-03356/ANT, CGL 2007-65453/ANT, CTM2010-17415/ANT]; pharmaceutical company Bioiberica</t>
  </si>
  <si>
    <t>Spanish government through the ACTIQUIM Projects; pharmaceutical company Bioiberica</t>
  </si>
  <si>
    <t>The authors wish to thank J. Vazquez, J. Cristobo, L. Nunez-Pons, and S. Taboada for field and laboratory support. Thanks are due to Prof. W. Arntz and the crew of the R/V of Polarstern for allowing our participation in the Antarctic cruise ANT XXI/2 (AWI, Bremerhaven, Germany). Funding was provided by the Spanish government through the ACTIQUIM Projects (CGL2004-03356/ANT, CGL 2007-65453/ANT, and CTM2010-17415/ANT) and by the pharmaceutical company Bioiberica.</t>
  </si>
  <si>
    <t>10.3389/fmars.2014.00024</t>
  </si>
  <si>
    <t>gold, Green Published</t>
  </si>
  <si>
    <t>WOS:000485310600022</t>
  </si>
  <si>
    <t>Seppälä, A; Clilverd, MA</t>
  </si>
  <si>
    <t>Seppala, Annika; Clilverd, Mark A.</t>
  </si>
  <si>
    <t>Energetic particle forcing of the Northern Hemisphere winter stratosphere: comparison to solar irradiance forcing</t>
  </si>
  <si>
    <t>FRONTIERS IN PHYSICS</t>
  </si>
  <si>
    <t>energetic particle precipitation; stratosphere; dynamics; stratosphere troposphere connection; solar forcing; solar cycle; solar variability</t>
  </si>
  <si>
    <t>VARIABILITY; WEATHER; WIND; TEMPERATURE; PROPAGATION; IMPACT; OZONE</t>
  </si>
  <si>
    <t>Variation in solar irradiance is considered an important factor in natural climate forcing. Variations in the solar UV in particular are now regarded as a major source of decadal variability in the stratosphere, influencing surface climate through stratosphere troposphere coupling. However, by analyzing meteorological re-analysis data we find that the magnitude of the solar controlled energetic particle forcing signal in stratospheric zonal mean zonal winds and polar temperatures is equivalent to those arising from solar irradiance variations during the Northern Hemisphere polar winter months. We find that energetic particle forcing drives warmer polar upper stratospheric temperatures from early winter leading to an anomalously strong polar night jet via modulation of the vertical temperature gradient. By midwinter the stratosphere troposphere coupling pathway becomes analogous to the solar UV impact at high latitudes. This not only highlights the importance of the energetic particle forcing contribution to stratospheric circulation, but enables us to understand the pathways responsible for the previously reported energetic particle forcing impacts on the troposphere in terms of the coupling of solar UV forcing to dynamics in the latter part of the winter.</t>
  </si>
  <si>
    <t>[Seppala, Annika] Fthnish Meteorol Inst, Earth Observat, Erik Palmenin Aukio 1, FI-00560D Helsinki, Finland; [Clilverd, Mark A.] British Antarctic Survey NERC, Cambridge, England</t>
  </si>
  <si>
    <t>UK Research &amp; Innovation (UKRI); Natural Environment Research Council (NERC); NERC British Antarctic Survey</t>
  </si>
  <si>
    <t>Seppälä, A (corresponding author), Fthnish Meteorol Inst, Earth Observat, Erik Palmenin Aukio 1, FI-00560D Helsinki, Finland.</t>
  </si>
  <si>
    <t>annika.seppala@fmi.fi</t>
  </si>
  <si>
    <t>Seppälä, Annika/C-8031-2014</t>
  </si>
  <si>
    <t>Seppälä, Annika/0000-0002-5028-8220</t>
  </si>
  <si>
    <t>Academy of Finland [258165, 265005]; Academy of Finland (AKA) [265005, 258165] Funding Source: Academy of Finland (AKA); NERC [bas0100023] Funding Source: UKRI</t>
  </si>
  <si>
    <t>Academy of Finland(Research Council of Finland); Academy of Finland (AKA)(Research Council of Finland); NERC(UK Research &amp; Innovation (UKRI)Natural Environment Research Council (NERC))</t>
  </si>
  <si>
    <t>Annika Seppala was supported by the Academy of Finland (Grants 258165 and 265005).</t>
  </si>
  <si>
    <t>2296-424X</t>
  </si>
  <si>
    <t>FRONT PHYS-LAUSANNE</t>
  </si>
  <si>
    <t>Front. Physics</t>
  </si>
  <si>
    <t>10.3389/fphy.2014.00025</t>
  </si>
  <si>
    <t>Physics, Multidisciplinary</t>
  </si>
  <si>
    <t>Physics</t>
  </si>
  <si>
    <t>V35YD</t>
  </si>
  <si>
    <t>WOS:000215935000025</t>
  </si>
  <si>
    <t>Wu, N; Zhang, YM; Downing, A; Aanderud, ZT; Tao, Y; Williams, S</t>
  </si>
  <si>
    <t>Wu, Nan; Zhang, Yuan-ming; Downing, Alison; Aanderud, Zachary T.; Tao, Ye; Williams, Steven</t>
  </si>
  <si>
    <t>Rapid adjustment of leaf angle explains how the desert moss, Syntrichia caninervis, copes with multiple resource limitations during rehydration</t>
  </si>
  <si>
    <t>FUNCTIONAL PLANT BIOLOGY</t>
  </si>
  <si>
    <t>desiccation; leaf angle adjustment; leaf hair points (LHPs)</t>
  </si>
  <si>
    <t>ANTARCTIC BRYOPHYTES; SURFACE REFLECTANCE; DESICCATION; HYDROPHOBICITY; RETENTION; TOLERANCE</t>
  </si>
  <si>
    <t>Although the desert moss Syntrichia caninervis Mitt. is extremely desiccation tolerant, it still requires water and photosynthates for growth. The ecological significance of the leaf angle in maintaining a balance between water and light availability is critical to its survival. Active leaf repositioning balances water and light availability following rehydration. S. caninervis can adjust leaf angles from a steep (84-69 degrees) to a stable level at 30 degrees within 7 s after rehydration, obtaining maximum net photosynthetic gain at a shoot relative water content of similar to 60%. Leaf morphological characters, (leaf hair points, surface papillae and costal anatomy) and ultrastructural changes (chloroplast reordering and loss of lipid reserves as shown by changes in osmiophilic globules) were linked to rapid leaf spreading, water gain and sunlight reflectivity of leaves during rehydration. The high 377.20 +/- 91.69 (cm(2) g(-1)) surface area to mass ratio was a major factor in facilitating the rapid response to rewetting. Hyaline cells of the leaf base absorbed water, swelled and forced the leaf away from the stem as soon as rehydration commenced. Loss of leaf hair points retards leaf angle adjustment during rehydration.</t>
  </si>
  <si>
    <t>[Wu, Nan; Zhang, Yuan-ming; Tao, Ye] Chinese Acad Sci, Xinjiang Inst Ecol &amp; Geog, Key Lab Biogeog &amp; Bioresource Arid Land, Urumqi 830011, Peoples R China; [Downing, Alison] Macquarie Univ, Dept Biol Sci, N Ryde, NSW 2109, Australia; [Aanderud, Zachary T.; Williams, Steven] Brigham Young Univ, Dept Plant &amp; Wildlife Sci, Provo, UT 84602 USA</t>
  </si>
  <si>
    <t>Chinese Academy of Sciences; Xinjiang Institute of Ecology &amp; Geography, CAS; Macquarie University; Brigham Young University</t>
  </si>
  <si>
    <t>Zhang, YM (corresponding author), Chinese Acad Sci, Xinjiang Inst Ecol &amp; Geog, Key Lab Biogeog &amp; Bioresource Arid Land, Urumqi 830011, Peoples R China.</t>
  </si>
  <si>
    <t>zhangym@ms.xjb.ac.cn</t>
  </si>
  <si>
    <t>chen, jia/JLM-4733-2023</t>
  </si>
  <si>
    <t>Zhang, Yuanming/0000-0003-1370-4181</t>
  </si>
  <si>
    <t>West Light Foundation of The Chinese Academy of Sciences [XBBS200906, XBBS201103]; National Natural Science Foundation of China [U1203301, 41271281]</t>
  </si>
  <si>
    <t>West Light Foundation of The Chinese Academy of Sciences(Chinese Academy of Sciences); National Natural Science Foundation of China(National Natural Science Foundation of China (NSFC))</t>
  </si>
  <si>
    <t>The authors gratefully acknowledge Professor Rodney D Seppelt (Australian Antarctic Division) and Eva Zitterkob (Brigham Young University) for their valuable comments and grammar modification on previous versions of the manuscript. We also thank Dong Qiu (Xinjiang Agriculture University, China), Hui Yin (Xinjiang Institute of Ecology and Geography, Chinese Academy of Sciences), Shufeng Sun (Institute of Biophysics, Chinese Academy of Sciences), Min Wu, Hanmin Chen (Zhejiang University, China) for their assistance in laboratory work. This work was supported by the West Light Foundation of The Chinese Academy of Sciences (XBBS200906, XBBS201103), National Natural Science Foundation of China (U1203301, 41271281).</t>
  </si>
  <si>
    <t>1445-4408</t>
  </si>
  <si>
    <t>1445-4416</t>
  </si>
  <si>
    <t>FUNCT PLANT BIOL</t>
  </si>
  <si>
    <t>Funct. Plant Biol.</t>
  </si>
  <si>
    <t>10.1071/FP13054</t>
  </si>
  <si>
    <t>AJ0SX</t>
  </si>
  <si>
    <t>WOS:000337367400006</t>
  </si>
  <si>
    <t>Stanton, DE; Merlin, M; Bryant, G; Ball, MC</t>
  </si>
  <si>
    <t>Stanton, Daniel E.; Merlin, Morgane; Bryant, Gary; Ball, Marilyn C.</t>
  </si>
  <si>
    <t>Water redistribution determines photosynthetic responses to warming and drying in two polar mosses</t>
  </si>
  <si>
    <t>Antarctic bryophytes; Ceratodon; climate change; hydraulics; Schistidium; temperature response; VPD</t>
  </si>
  <si>
    <t>CONTINENTAL ANTARCTICA; DESICCATION-TOLERANCE; CUSHION SIZE; WILKES-LAND; BRYOPHYTES; BALANCE; PLANTS</t>
  </si>
  <si>
    <t>Predicting impacts of climate change requires an understanding of the sensitivity of species to temperature, including conflated changes in humidity. Physiological responses to temperature and clump-to-air vapour pressure difference (VPD) were compared in two Antarctic moss species, Ceratodon purpureus (Hedw.) Brid. and Schistidium antarctici (Cardot) L. I. Savicz &amp; Smirnova. Temperatures from 8 to 24 degrees C had no significant effects on photosynthesis or recovery from drying, whereas high VPD accelerated drying. In Schistidium, which lacks internal conduction structures, shoots dried more slowly than the clump, and photosynthesis ceased at high shoot relative water content (RWC), behaviour consistent with a strategy of drought avoidance although desiccation tolerant. In contrast, shoots of Ceratodon have a central vascular core, but dried more rapidly than the clump. These results imply that cavitation of the hydroid strand enables hydraulic isolation of extremities during rapid drying, effectively slowing water loss from the clump. Ceratodon maintained photosynthetic activity during drying to lower shoot RWC than Schistidium, consistent with a strategy of drought tolerance. These ecophysiological characteristics may provide a functional explanation for the differential distribution of Schistidium and Ceratodon along moisture gradients in Antarctica. Thus, predicting responses of non-vascular vegetation to climate change at high latitudes requires greater focus on VPD and hydraulics than temperature.</t>
  </si>
  <si>
    <t>[Stanton, Daniel E.; Merlin, Morgane; Ball, Marilyn C.] Australian Natl Univ, Res Sch Biol, Plant Sci Div, Canberra, ACT 0200, Australia; [Merlin, Morgane] Ecole Normale Super, F-75005 Paris, France; [Bryant, Gary] RMIT, Sch Appl Sci, Melbourne, Vic 3001, Australia</t>
  </si>
  <si>
    <t>Australian National University; Universite PSL; Ecole Normale Superieure (ENS); Royal Melbourne Institute of Technology (RMIT)</t>
  </si>
  <si>
    <t>Stanton, DE (corresponding author), Australian Natl Univ, Res Sch Biol, Plant Sci Div, Canberra, ACT 0200, Australia.</t>
  </si>
  <si>
    <t>daniel.stanton@anu.edu.au</t>
  </si>
  <si>
    <t>Ball, Marilyn/D-1180-2009; Bryant, Gary/A-4186-2008</t>
  </si>
  <si>
    <t>Ball, Marilyn/0000-0001-9170-940X; Bryant, Gary/0000-0001-5483-7592; Stanton, Daniel/0000-0002-6713-9328; Merlin, Morgane/0000-0002-2125-2691</t>
  </si>
  <si>
    <t>Australian Antarctic Science Program [2780, 3061]; Australian Research Council [DP110105380]</t>
  </si>
  <si>
    <t>Australian Antarctic Science Program; Australian Research Council(Australian Research Council)</t>
  </si>
  <si>
    <t>This research was funded by Australian Antarctic Science Program grants 2780 and 3061 and Australian Research Council Discovery grant DP110105380. The authors wish to thank Dr T Lenne for assistance with the DSC measurements, J Egerton for help with sample collection and assistance with experimental set-up, Dr M Skotnicki for sample collection, Dr Hwan-Jin Yoon of the ANU Statistical Consulting Unit for assistance with data analysis and two anonymous reviewers for helpful suggestions that greatly improved clarity of the text.</t>
  </si>
  <si>
    <t>COLLINGWOOD</t>
  </si>
  <si>
    <t>150 OXFORD ST, PO BOX 1139, COLLINGWOOD, VICTORIA 3066, AUSTRALIA</t>
  </si>
  <si>
    <t>10.1071/FP13160</t>
  </si>
  <si>
    <t>WOS:000337367400007</t>
  </si>
  <si>
    <t>Selbmann, L; Zucconi, L; Onofri, S; Cecchini, C; Isola, D; Turchetti, B; Buzzini, P</t>
  </si>
  <si>
    <t>Selbmann, Laura; Zucconi, Laura; Onofri, Silvano; Cecchini, Clarissa; Isola, Daniela; Turchetti, Benedetta; Buzzini, Pietro</t>
  </si>
  <si>
    <t>Taxonomic and phenotypic characterization of yeasts isolated from worldwide cold rock-associated habitats</t>
  </si>
  <si>
    <t>FUNGAL BIOLOGY</t>
  </si>
  <si>
    <t>D1/D2; Extreme environments; ITS; Lithic habitats; Phylogeny</t>
  </si>
  <si>
    <t>BASIDIOMYCETOUS YEAST; PSYCHROPHILIC YEASTS; MICROBIAL COMMUNITY; DIVERSITY; FUNGI; ENVIRONMENTS; PATAGONIA; BIODIVERSITY; NOV.; LIFE</t>
  </si>
  <si>
    <t>Yeast strains isolated from rock samples collected from worldwide cold regions were identified by sequence analysis of the D1/D2 domains of the 265 rDNA gene and the ITS region followed by molecular phylogeny. Over 77 % of yeasts isolates were Basidiomycota. Cryptococcus (orders Filobasidiales and Tremellales) and Rhodotorula (order Cystobasidiales) were the most frequent genera. About 40 % of yeast isolates belonged to undescribed species. AlMost all isolates were psychrotolerant. Urease and esterase were the most widely extracellular enzymatic activity at 4 degrees C and 20 degrees C. None of the strains exhibited extracellular protease, DNAse, cellulase, chitinase, and laccase activity. The taxonomic and ecological significance of yeasts associated to worldwide cold rocky habitats is discussed. (C) 2013 The British Mycological Society. Published by Elsevier Ltd. All rights reserved.</t>
  </si>
  <si>
    <t>[Selbmann, Laura; Zucconi, Laura; Onofri, Silvano; Cecchini, Clarissa; Isola, Daniela] Univ Tuscia, Dipartimento Sci Ecol &amp; Biol DEB, I-01100 Viterbo, Italy; [Turchetti, Benedetta; Buzzini, Pietro] Univ Perugia, Dipartimento Dipartimento Sci Agr Ambientali &amp; Al, I-06121 Perugia, Italy</t>
  </si>
  <si>
    <t>Tuscia University; University of Perugia</t>
  </si>
  <si>
    <t>Buzzini, P (corresponding author), Univ Perugia, Dipartimento Dipartimento Sci Agr Ambientali &amp; Al, Borgo XX Giugno 74, I-06121 Perugia, Italy.</t>
  </si>
  <si>
    <t>pietro.buzzini@unipg.it</t>
  </si>
  <si>
    <t>Isola, Daniela/AAX-5814-2020; Turchetti, Benedetta/AAC-8847-2019; Selbmann, Laura/L-3056-2013; Pietro, Buzzini/F-5739-2014; Zucconi, L./U-9781-2018</t>
  </si>
  <si>
    <t>Isola, Daniela/0000-0002-5069-6056; Selbmann, Laura/0000-0002-8967-3329; Zucconi, L./0000-0001-9793-2303; Buzzini, Pietro/0000-0001-6793-0606; ONOFRI, Silvano/0000-0001-8872-1440; turchetti, benedetta/0000-0002-7370-3028</t>
  </si>
  <si>
    <t>MIUR [prot. 2008AR8MX9]; PNRA (Italian National Program for Antarctic Research); Italian National Antarctic Museum 'Felice Ippolito'</t>
  </si>
  <si>
    <t>MIUR(Ministry of Education, Universities and Research (MIUR)); PNRA (Italian National Program for Antarctic Research); Italian National Antarctic Museum 'Felice Ippolito'</t>
  </si>
  <si>
    <t>MIUR-PRIN 2008 prot. 2008AR8MX9 and PNRA (Italian National Program for Antarctic Research) are gratefully acknowledged for financial support. The Italian National Antarctic Museum 'Felice Ippolito' is kindly acknowledged for funding CCFEE (Culture Collection of Fungi From Extreme Environments).</t>
  </si>
  <si>
    <t>ELSEVIER SCI LTD</t>
  </si>
  <si>
    <t>THE BOULEVARD, LANGFORD LANE, KIDLINGTON, OXFORD OX5 1GB, OXON, ENGLAND</t>
  </si>
  <si>
    <t>1878-6146</t>
  </si>
  <si>
    <t>1878-6162</t>
  </si>
  <si>
    <t>FUNGAL BIOL-UK</t>
  </si>
  <si>
    <t>Fungal Biol.</t>
  </si>
  <si>
    <t>10.1016/j.funbio.2013.11.002</t>
  </si>
  <si>
    <t>Mycology</t>
  </si>
  <si>
    <t>300WE</t>
  </si>
  <si>
    <t>WOS:000330493900005</t>
  </si>
  <si>
    <t>Guerrero, LD; Makhalanyane, TP; Aislabie, JM; Cowan, DA</t>
  </si>
  <si>
    <t>Guerrero, Leandro D.; Makhalanyane, Thulani P.; Aislabie, Jackie M.; Cowan, Don A.</t>
  </si>
  <si>
    <t>Draft Genome Sequence of Williamsia sp. Strain D3, Isolated From the Darwin Mountains, Antarctica</t>
  </si>
  <si>
    <t>GENOME ANNOUNCEMENTS</t>
  </si>
  <si>
    <t>Actinobacteria are the dominant taxa in Antarctic desert soils. Here, we describe the first draft genome of a member of the genus Williamsia (strain D3) isolated from Antarctic soil. The genome of this psychrotolerant bacterium may help to elucidate crucial survival mechanisms for organisms inhabiting cold desert soil systems.</t>
  </si>
  <si>
    <t>[Guerrero, Leandro D.; Makhalanyane, Thulani P.; Cowan, Don A.] Univ Pretoria, Ctr Microbial Ecol &amp; Genom, Pretoria, South Africa; [Aislabie, Jackie M.] Landscape Res, Hamilton, New Zealand</t>
  </si>
  <si>
    <t>University of Pretoria</t>
  </si>
  <si>
    <t>Guerrero, LD (corresponding author), Univ Pretoria, Ctr Microbial Ecol &amp; Genom, Pretoria, South Africa.</t>
  </si>
  <si>
    <t>leandro.guerrero@up.ac.za; don.cowan@up.ac.za</t>
  </si>
  <si>
    <t>Cowan, Donald A/E-3991-2012; Makhalanyane, Thulani P./C-6815-2012</t>
  </si>
  <si>
    <t>Cowan, Donald A/0000-0001-8059-861X; Makhalanyane, Thulani P./0000-0002-8173-1678</t>
  </si>
  <si>
    <t>South African National Research Foundation; Genomics Research Institute of the University of Pretoria; Ministry of Business Innovation and Employment, New Zealand [C09X0307, C09X1001]; New Zealand Ministry of Business, Innovation &amp; Employment (MBIE) [C09X1001] Funding Source: New Zealand Ministry of Business, Innovation &amp; Employment (MBIE)</t>
  </si>
  <si>
    <t>South African National Research Foundation(National Research Foundation - South Africa); Genomics Research Institute of the University of Pretoria; Ministry of Business Innovation and Employment, New Zealand(New Zealand Ministry of Business, Innovation and Employment (MBIE)); New Zealand Ministry of Business, Innovation &amp; Employment (MBIE)(New Zealand Ministry of Business, Innovation and Employment (MBIE))</t>
  </si>
  <si>
    <t>We thank the following organizations for financial support: the South African National Research Foundation and the Genomics Research Institute of the University of Pretoria (to L.G., T.P.M., and D.A.C.), the Ministry of Business Innovation and Employment, New Zealand (projects C09X0307 and C09X1001, to J.A.), and Antarctica New Zealand for field and logistics support.</t>
  </si>
  <si>
    <t>AMER SOC MICROBIOLOGY</t>
  </si>
  <si>
    <t>WASHINGTON</t>
  </si>
  <si>
    <t>1752 N ST NW, WASHINGTON, DC 20036-2904 USA</t>
  </si>
  <si>
    <t>2169-8287</t>
  </si>
  <si>
    <t>Genom. Ann.</t>
  </si>
  <si>
    <t>JAN-FEB</t>
  </si>
  <si>
    <t>e01230-13</t>
  </si>
  <si>
    <t>10.1128/genomeA.01230-13</t>
  </si>
  <si>
    <t>Microbiology</t>
  </si>
  <si>
    <t>VI1CK</t>
  </si>
  <si>
    <t>WOS:000460571800171</t>
  </si>
  <si>
    <t>Spence, RJ; Pavasovic, A; Smith, JJ; Prentis, PJ</t>
  </si>
  <si>
    <t>Spence, Robert J.; Pavasovic, Ana; Smith, James J.; Prentis, Peter J.</t>
  </si>
  <si>
    <t>Draft Genome Sequence of Enterococcus faecalis Strain PF3, Isolated from Adelie Penguin Feces from Antarctica</t>
  </si>
  <si>
    <t>Enterococcus faecalis is one of the leading causes of nosocomial infections and is a common commensal organism in humans and other animals. In this study, we report a draft genome sequence for the E. faecalis strain PF3, isolated from Adelie penguin feces collected from Warriner Island, Antarctica.</t>
  </si>
  <si>
    <t>[Spence, Robert J.; Smith, James J.; Prentis, Peter J.] Queensland Univ Technol, Sci &amp; Engn Fac, Brisbane, Qld, Australia; [Pavasovic, Ana] Queensland Univ Technol, Fac Hlth, Brisbane, Qld, Australia</t>
  </si>
  <si>
    <t>Queensland University of Technology (QUT); Queensland University of Technology (QUT)</t>
  </si>
  <si>
    <t>Prentis, PJ (corresponding author), Queensland Univ Technol, Sci &amp; Engn Fac, Brisbane, Qld, Australia.</t>
  </si>
  <si>
    <t>prentis@qut.edu.au</t>
  </si>
  <si>
    <t>Spence, Robert/0000-0001-5731-6602; Prentis, Peter/0000-0001-6587-8875; Smith, James/0000-0001-9687-3022</t>
  </si>
  <si>
    <t>Australian Antarctic Division</t>
  </si>
  <si>
    <t>This work was supported by the Australian Antarctic Division and carried out at Queensland University of Technology, Australia.</t>
  </si>
  <si>
    <t>e01209-13</t>
  </si>
  <si>
    <t>10.1128/genomeA.01209-13</t>
  </si>
  <si>
    <t>Green Published</t>
  </si>
  <si>
    <t>WOS:000460571800155</t>
  </si>
  <si>
    <t>Shin, SC; Ahn, DH; Kim, SJ; Pyo, CW; Lee, H; Kim, MK; Lee, J; Lee, JE; Detrich, HW; Postlethwait, JH; Edwards, D; Lee, SG; Lee, JH; Park, H</t>
  </si>
  <si>
    <t>Shin, Seung Chul; Ahn, Do Hwan; Kim, Su Jin; Pyo, Chul Woo; Lee, Hyoungseok; Kim, Mi-Kyeong; Lee, Jungeun; Lee, Jong Eun; Detrich, H. William, III; Postlethwait, John H.; Edwards, David; Lee, Sung Gu; Lee, Jun Hyuck; Park, Hyun</t>
  </si>
  <si>
    <t>The genome sequence of the Antarctic bullhead notothen reveals evolutionary adaptations to a cold environment</t>
  </si>
  <si>
    <t>GENOME BIOLOGY</t>
  </si>
  <si>
    <t>GENE FAMILY EVOLUTION; FISH TREMATOMUS-BERNACCHII; DE-NOVO IDENTIFICATION; HEAT-SHOCK FACTOR-1; ENDOPLASMIC-RETICULUM; LOW-TEMPERATURES; PHYLOGENETIC ANALYSIS; ANNOTATION PIPELINE; FREEZING AVOIDANCE; SUMO MODIFICATION</t>
  </si>
  <si>
    <t>Background: Antarctic fish have adapted to the freezing waters of the Southern Ocean. Representative adaptations to this harsh environment include a constitutive heat shock response and the evolution of an antifreeze protein in the blood. Despite their adaptations to the cold, genome-wide studies have not yet been performed on these fish due to the lack of a sequenced genome. Notothenia coriiceps, the Antarctic bullhead notothen, is an endemic teleost fish with a circumpolar distribution and makes a good model to understand the genomic adaptations to constant sub-zero temperatures. Results: We provide the draft genome sequence and annotation for N. coriiceps. Comparative genome-wide analysis with other fish genomes shows that mitochondrial proteins and hemoglobin evolved rapidly. Transcriptome analysis of thermal stress responses find alternative response mechanisms for evolution strategies in a cold environment. Loss of the phosphorylation-dependent sumoylation motif in heat shock factor 1 suggests that the heat shock response evolved into a simple and rapid phosphorylation-independent regulatory mechanism. Rapidly evolved hemoglobin and the induction of a heat shock response in the blood may support the efficient supply of oxygen to cold-adapted mitochondria. Conclusions: Our data and analysis suggest that evolutionary strategies in efficient aerobic cellular respiration are controlled by hemoglobin and mitochondrial proteins, which may be important for the adaptation of Antarctic fish to their environment. The use of genome data from the Antarctic endemic fish provides an invaluable resource providing evidence of evolutionary adaptation and can be applied to other studies of Antarctic fish.</t>
  </si>
  <si>
    <t>[Shin, Seung Chul; Ahn, Do Hwan; Lee, Hyoungseok; Kim, Mi-Kyeong; Lee, Jungeun; Lee, Sung Gu; Lee, Jun Hyuck; Park, Hyun] Korea Polar Res Inst, Div Polar Life Sci, Inchon 406840, South Korea; [Ahn, Do Hwan; Lee, Sung Gu; Lee, Jun Hyuck; Park, Hyun] Univ Sci &amp; Technol, Taejon 305333, South Korea; [Kim, Su Jin] Korea Univ, Div Biotechnol, Seoul 406840, South Korea; [Pyo, Chul Woo] Fred Hutchinson Canc Res Ctr, Seattle, WA 98109 USA; [Lee, Jong Eun] DNA Link Inc, Seoul 138736, South Korea; [Detrich, H. William, III] Northeastern Univ, Ctr Marine Sci, Dept Marine &amp; Environm Sci, Nahant, MA 01908 USA; [Postlethwait, John H.] Univ Oregon, Dept Biol, Eugene, OR 97403 USA; [Edwards, David] Univ Queensland, Sch Agr &amp; Food Sci, Australian Ctr Plant Funct Genom, St Lucia, Qld, Australia; [Edwards, David] Univ Western Australia, Sch Plant Biol, Crawley, WA 6009, Australia</t>
  </si>
  <si>
    <t>Korea Institute of Ocean Science &amp; Technology (KIOST); Korea Polar Research Institute (KOPRI); Korea University; Fred Hutchinson Cancer Center; DNA Link, Inc.; Northeastern University; University of Oregon; University of Queensland; University of Western Australia</t>
  </si>
  <si>
    <t>Park, H (corresponding author), Korea Polar Res Inst, Div Polar Life Sci, Inchon 406840, South Korea.</t>
  </si>
  <si>
    <t>hpark@kopri.re.kr</t>
  </si>
  <si>
    <t>Edwards, David/H-3710-2015</t>
  </si>
  <si>
    <t>Edwards, David/0000-0001-7599-6760; Park, Hyun/0000-0002-8055-2010; Lee, Hyoungseok/0000-0002-5831-6345</t>
  </si>
  <si>
    <t>Antarctic Fish Genome Project grant [PE11150]; Antarctic Organisms: Cold-adaptation Mechanism and Its Application grant - Korea Polar Research Institute (KOPRI) [PE14070]; U.S. National Institutes of Health [5R01AG031922]; U.S. National Science Foundation [OPP-0944517, PLR-1247510]; Office of Polar Programs (OPP); Directorate For Geosciences [1247510] Funding Source: National Science Foundation</t>
  </si>
  <si>
    <t>Antarctic Fish Genome Project grant; Antarctic Organisms: Cold-adaptation Mechanism and Its Application grant - Korea Polar Research Institute (KOPRI); U.S. National Institutes of Health(United States Department of Health &amp; Human ServicesNational Institutes of Health (NIH) - USA); U.S. National Science Foundation(National Science Foundation (NSF)); Office of Polar Programs (OPP); Directorate For Geosciences(National Science Foundation (NSF)NSF - Directorate for Geosciences (GEO))</t>
  </si>
  <si>
    <t>We would like to thank Harold H. Zakon for comments and discussion. This work was supported by an Antarctic Fish Genome Project grant (PE11150, HP) and Antarctic Organisms: Cold-adaptation Mechanism and Its Application grant (PE14070, HP) funded by the Korea Polar Research Institute (KOPRI). Additional Funding was provided by U.S. National Institutes of Health grant 5R01AG031922 (JHP and HWD) and by U.S. National Science Foundation grants OPP-0944517 and PLR-1247510 (HWD). This is contribution number 316 from the Northeastern University Marine Science Center.</t>
  </si>
  <si>
    <t>BMC</t>
  </si>
  <si>
    <t>LONDON</t>
  </si>
  <si>
    <t>CAMPUS, 4 CRINAN ST, LONDON N1 9XW, ENGLAND</t>
  </si>
  <si>
    <t>1474-760X</t>
  </si>
  <si>
    <t>GENOME BIOL</t>
  </si>
  <si>
    <t>Genome Biol.</t>
  </si>
  <si>
    <t>10.1186/s13059-014-0468-1</t>
  </si>
  <si>
    <t>Biotechnology &amp; Applied Microbiology; Genetics &amp; Heredity</t>
  </si>
  <si>
    <t>AW9WA</t>
  </si>
  <si>
    <t>WOS:000346604700020</t>
  </si>
  <si>
    <t>Isa, J; Rubin, AE; Wasson, JT</t>
  </si>
  <si>
    <t>Isa, Junko; Rubin, Alan E.; Wasson, John T.</t>
  </si>
  <si>
    <t>R-chondrite bulk-chemical compositions and diverse oxides: Implications for parent-body processes</t>
  </si>
  <si>
    <t>GEOCHIMICA ET COSMOCHIMICA ACTA</t>
  </si>
  <si>
    <t>UNEQUILIBRATED ORDINARY CHONDRITES; CM CARBONACEOUS CHONDRITES; AQUEOUS ALTERATION; CARLISLE LAKES; OXYGEN-ISOTOPE; RUMURUTI; CLASSIFICATION; METEORITES; CHONDRULES; FRACTIONATIONS</t>
  </si>
  <si>
    <t>R chondrites are among the most oxidized chondrite groups; they also have the highest Delta O-17 values known in whole-rock meteorites. We analyzed R chondrites (six Antarctic, four hot-desert) by instrumental neutron activation analysis. Data for one of the former and three of the latter show large weathering effects, but the remainder show only moderate scatter and permit us to determine trends and mean compositions for the group. Bulk R-chondrite compositions are similar to those in H and L chondrites, but the concentrations of several volatiles, especially Se and Zn, are higher; the more volatile the element, the higher the enrichment in R chondrites relative to H and L. Petrologic types in R chondrites extend as low as 3.6. We determined olivine compositional distributions and studied opaque oxides in 15 R-chondrite thin sections, including a newly discovered R4 clast in Bencubbin (adding to the diversity of chondritic clasts in this polymict breccia) and an R clast in CM2 Murchison. Opaque oxides in R chondrites include nearly pure magnetite, Al-rich chromite, magnetite-chromite solid solution, nearly pure chromite, and ilmenite. This diverse set of opaque phases reflects differing aqueous-alteration conditions. The least equilibrated R chondrites contain nearly pure magnetite but the spinels in metamorphosed R chondrites contain additional components (e. g., Cr2O3 and Al2O3 and some minor cations). The NiO content in olivine correlates with the magnetite component in magnetite-chromite solid solution in equilibrated R chondrites and is a function of the degree of oxidation. The absence of metallic Fe in A-881988 and LAP 031156 indicates a high degree of oxidation; the relatively low-FeO (Fa35) olivine in these rocks in part reflects the conversion of Fe2+ to Fe3+ and its partitioning into magnetite. Oxidation trends in R chondrites are affected by both aqueous alteration and thermal metamorphism. The differing degrees of oxidation in this group reflect differences in local environments on the parent asteroid. (C) 2013 Elsevier Ltd. All rights reserved.</t>
  </si>
  <si>
    <t>[Isa, Junko; Rubin, Alan E.; Wasson, John T.] Univ Calif Los Angeles, Inst Geophys &amp; Planetary Phys, Los Angeles, CA 90095 USA; [Isa, Junko; Rubin, Alan E.; Wasson, John T.] Univ Calif Los Angeles, Dept Earth &amp; Space Sci, Los Angeles, CA 90095 USA; [Wasson, John T.] Univ Calif Los Angeles, Dept Chem &amp; Biochem, Los Angeles, CA 90095 USA</t>
  </si>
  <si>
    <t>University of California System; University of California Los Angeles; University of California System; University of California Los Angeles; University of California System; University of California Los Angeles</t>
  </si>
  <si>
    <t>Isa, J (corresponding author), Univ Calif Los Angeles, Dept Earth &amp; Space Sci, Los Angeles, CA 90095 USA.</t>
  </si>
  <si>
    <t>jisa@ucla.edu</t>
  </si>
  <si>
    <t>Wasson, John/0000-0002-7253-2300</t>
  </si>
  <si>
    <t>NASA [NNG06GG35G, NNG06GF95G]</t>
  </si>
  <si>
    <t>NASA(National Aeronautics &amp; Space Administration (NASA))</t>
  </si>
  <si>
    <t>The authors thank Frank Kyte for assistance with EPMA. We also thank Jason Utas and Mike Zolensky for providing samples of R-chondrite clasts. This work was supported mainly by NASA Cosmochemistry grants NNG06GG35G (J.T. Wasson) and NNG06GF95G (A. E. Rubin).</t>
  </si>
  <si>
    <t>PERGAMON-ELSEVIER SCIENCE LTD</t>
  </si>
  <si>
    <t>THE BOULEVARD, LANGFORD LANE, KIDLINGTON, OXFORD OX5 1GB, ENGLAND</t>
  </si>
  <si>
    <t>0016-7037</t>
  </si>
  <si>
    <t>1872-9533</t>
  </si>
  <si>
    <t>GEOCHIM COSMOCHIM AC</t>
  </si>
  <si>
    <t>Geochim. Cosmochim. Acta</t>
  </si>
  <si>
    <t>10.1016/j.gca.2013.09.018</t>
  </si>
  <si>
    <t>257OK</t>
  </si>
  <si>
    <t>WOS:000327394100008</t>
  </si>
  <si>
    <t>C</t>
  </si>
  <si>
    <t>Kaledin, N; Dmitriyev, V; Kassens, H</t>
  </si>
  <si>
    <t>SGEM</t>
  </si>
  <si>
    <t>Kaledin, Nikolai; Dmitriyev, Vasily; Kassens, Heidemarie</t>
  </si>
  <si>
    <t>THE RUSSIAN-GERMAN SCIENTIFIC AND ACADEMIC COLLABORATION: ARCTIC STAGE</t>
  </si>
  <si>
    <t>GEOCONFERENCE ON ECOLOGY, ECONOMICS, EDUCATION AND LEGISLATION, SGEM 2014, VOL III</t>
  </si>
  <si>
    <t>International Multidisciplinary Scientific GeoConference-SGEM</t>
  </si>
  <si>
    <t>Proceedings Paper</t>
  </si>
  <si>
    <t>14th International Multidisciplinary Scientific Geoconference (SGEM)</t>
  </si>
  <si>
    <t>JUN 17-26, 2014</t>
  </si>
  <si>
    <t>Albena, BULGARIA</t>
  </si>
  <si>
    <t>research and education projects; polar studies; POMOR; modules; credits; degree</t>
  </si>
  <si>
    <t>This paper is dedicated to international forms of collaborationin the framework of research and education projects focusing on the study of Arctic region. The largest and most stable the Russian-German modern projects are followings: Otto SchmidtLaboratory of polar and marine research at Arctic and Antarctic Research Institute (St. Petersburg); joint master programme Polar and marine studies - POMOR at Saint Petersburg State University; Laptev Sea system research programme; project of polar research laboratory implemented at SPbSU.</t>
  </si>
  <si>
    <t>[Kaledin, Nikolai; Dmitriyev, Vasily] St Petersburg State Univ, St Petersburg 199034, Russia; [Kassens, Heidemarie] GEOMAR Helmholtz Ctr, Kiel, Germany</t>
  </si>
  <si>
    <t>Saint Petersburg State University; Helmholtz Association; GEOMAR Helmholtz Center for Ocean Research Kiel</t>
  </si>
  <si>
    <t>Kaledin, N (corresponding author), St Petersburg State Univ, St Petersburg 199034, Russia.</t>
  </si>
  <si>
    <t>Dmitriev, Vasiliy V/N-6455-2013</t>
  </si>
  <si>
    <t>Dmitriev, Vasiliy V/0000-0003-3849-1186; Kaledin, Nikolay/0000-0003-1436-7527</t>
  </si>
  <si>
    <t>STEF92 TECHNOLOGY LTD</t>
  </si>
  <si>
    <t>SOFIA</t>
  </si>
  <si>
    <t>1 ANDREY LYAPCHEV BLVD, SOFIA, 1797, BULGARIA</t>
  </si>
  <si>
    <t>1314-2704</t>
  </si>
  <si>
    <t>978-619-7105-19-3</t>
  </si>
  <si>
    <t>INT MULTI SCI GEOCO</t>
  </si>
  <si>
    <t>Conference Proceedings Citation Index - Science (CPCI-S)</t>
  </si>
  <si>
    <t>BE3JZ</t>
  </si>
  <si>
    <t>WOS:000370817200099</t>
  </si>
  <si>
    <t>Alekseevskii, NI; Aibulatov, DN; Kuksina, LV; Chetverova, AA</t>
  </si>
  <si>
    <t>Alekseevskii, N. I.; Aibulatov, D. N.; Kuksina, L. V.; Chetverova, A. A.</t>
  </si>
  <si>
    <t>The Structure of Streams in the Lena Delta and Its Influence on Streamflow Transformation Processes</t>
  </si>
  <si>
    <t>GEOGRAPHY AND NATURAL RESOURCES</t>
  </si>
  <si>
    <t>delta; streamflow; conventional river order; discharge; braiding; streamflow distribution</t>
  </si>
  <si>
    <t>The structure of the stream network in the Lena delta has been studied, and its quantitative characteristics have been obtained for the first time. Taking into consideration the discharge of the branches as well as their width, we determined the conventional delta stream orders decreasing in a regular fashion toward the margin of the delta because of channel bifurcation. They have been used as the basis for determining the structural parameters of delta streams and studying the transformation characteristics of the flows of some materials and heat in the Lena delta.</t>
  </si>
  <si>
    <t>[Alekseevskii, N. I.; Aibulatov, D. N.; Kuksina, L. V.] Moscow Lomonosov State Univ, Moscow, Russia; [Chetverova, A. A.] Arctic &amp; Antarctic Res Inst, St Petersburg, Russia</t>
  </si>
  <si>
    <t>Lomonosov Moscow State University; Arctic &amp; Antarctic Research Institute</t>
  </si>
  <si>
    <t>Alekseevskii, NI (corresponding author), Moscow Lomonosov State Univ, Moscow, Russia.</t>
  </si>
  <si>
    <t>n_alex50@mail.ru; gidroden@mail.ru; mulo4ka@mail.ru; antoshka4@mail.ru</t>
  </si>
  <si>
    <t>; Cheterova, Antonina/N-1019-2013</t>
  </si>
  <si>
    <t>Kuksina, Ludmila/0000-0003-0146-5136; Cheterova, Antonina/0000-0001-7461-3617</t>
  </si>
  <si>
    <t>MAIK NAUKA/INTERPERIODICA/SPRINGER</t>
  </si>
  <si>
    <t>NEW YORK</t>
  </si>
  <si>
    <t>233 SPRING ST, NEW YORK, NY 10013-1578 USA</t>
  </si>
  <si>
    <t>1875-3728</t>
  </si>
  <si>
    <t>1875-371X</t>
  </si>
  <si>
    <t>GEOGR NAT RESOUR</t>
  </si>
  <si>
    <t>Geogr. Natural Resources</t>
  </si>
  <si>
    <t>10.1134/S1875372814010090</t>
  </si>
  <si>
    <t>Geography</t>
  </si>
  <si>
    <t>V5W3J</t>
  </si>
  <si>
    <t>WOS:000219998200009</t>
  </si>
  <si>
    <t>Ross, N; Jordan, TA; Bingham, RG; Corr, HFJ; Ferraccioli, F; Le Brocq, A; Rippin, DM; Wright, AP; Siegert, MJ</t>
  </si>
  <si>
    <t>Ross, Neil; Jordan, Tom A.; Bingham, Robert G.; Corr, Hugh F. J.; Ferraccioli, Fausto; Le Brocq, Anne; Rippin, David M.; Wright, Andrew P.; Siegert, Martin J.</t>
  </si>
  <si>
    <t>The Ellsworth Subglacial Highlands: Inception and retreat of the West Antarctic Ice Sheet</t>
  </si>
  <si>
    <t>GEOLOGICAL SOCIETY OF AMERICA BULLETIN</t>
  </si>
  <si>
    <t>TRANSANTARCTIC MOUNTAINS; GAMBURTSEV MOUNTAINS; FJORD LANDSCAPES; GLACIER; COLLAPSE; SURFACE; FLOW; EVOLUTION; EROSION; STABILITY</t>
  </si>
  <si>
    <t>Antarctic subglacial highlands are where the Antarctic ice sheets first developed and the pinning points where retreat phases of the marine-based sectors of the ice sheet are impeded. Due to low ice velocities and limited present-day change in the ice-sheet interior, West Antarctic subglacial highlands have been overlooked for detailed study. These regions have considerable potential, however, for establishing the locations from which the West Antarctic Ice Sheet originated and grew, and its likely response to warming climates. Here, we characterize the subglacial morphology of the Ellsworth Subglacial Highlands, West Antarctica, from ground-based and aerogeophysical radio-echo sounding (RES) surveys and the Moderate-Resolution Imaging Spectroradiometer (MODIS) Mosaic of Antarctica. We document well-preserved classic landforms associated with restricted, dynamic, marine-proximal alpine glaciation, with hanging tributary valleys feeding a significant overdeepened trough (the Ellsworth Trough) cut by valley (tidewater) glaciers. Fjord-mouth threshold bars down-ice of two overdeepenings define both the northwest and southeast termini of paleo-outlet glaciers, which cut and occupied the Ellsworth Trough. Satellite imagery reveals numerous other glaciated valleys, terminating at the edge of deep former marine basins (e. g., Bentley Subglacial Trench), throughout the Ellsworth Subglacial Highlands. These geomorphic data can be used to reconstruct the glaciology of the ice masses that formed the proto-West Antarctic Ice Sheet. The landscape predates the present ice sheet and was formed by a small dynamic ice field(s), similar to those of the present-day Antarctic Peninsula, at times when the marine sections of the West Antarctic Ice Sheet were absent. The Ellsworth Subglacial Highlands represent a major seeding center of the paleo-West Antarctic Ice Sheet, and its margins represent the pinning point at which future retreat of the marine-based West Antarctic Ice Sheet would be arrested.</t>
  </si>
  <si>
    <t>[Ross, Neil] Newcastle Univ, Sch Geog Polit &amp; Sociol, Newcastle Upon Tyne NE1 7RU, Tyne &amp; Wear, England; [Jordan, Tom A.; Corr, Hugh F. J.; Ferraccioli, Fausto] British Antarctic Survey, Cambridge CB3 0ET, England; [Bingham, Robert G.] Univ Edinburgh, Sch Geosci, Edinburgh EH8 9XP, Midlothian, Scotland; [Le Brocq, Anne; Wright, Andrew P.] Univ Exeter, Sch Geog, Exeter EX4 4RJ, Devon, England; [Rippin, David M.] Univ York, Dept Environm, York YO10 5DD, N Yorkshire, England; [Siegert, Martin J.] Univ Bristol, Sch Geog Sci, Bristol Glaciol Ctr, Bristol BS8 1SS, Avon, England</t>
  </si>
  <si>
    <t>Newcastle University - UK; UK Research &amp; Innovation (UKRI); Natural Environment Research Council (NERC); NERC British Antarctic Survey; University of Edinburgh; University of Exeter; University of York - UK; University of Bristol</t>
  </si>
  <si>
    <t>Ross, N (corresponding author), Newcastle Univ, Sch Geog Polit &amp; Sociol, Newcastle Upon Tyne NE1 7RU, Tyne &amp; Wear, England.</t>
  </si>
  <si>
    <t>neil.ross@ncl.ac.uk</t>
  </si>
  <si>
    <t>Wright, Andrew/HDM-9615-2022; Facility, NERC Geophysical Equipment/G-5260-2010; Siegert, Martin J/A-3826-2008; Siegert, Martin/M-9939-2019; Rippin, David Manish/AAW-5063-2021; Corr, Hugh/C-5398-2011; Bingham, Robert G/G-3576-2017</t>
  </si>
  <si>
    <t>Siegert, Martin J/0000-0002-0090-4806; Siegert, Martin/0000-0002-0090-4806; Rippin, David Manish/0000-0001-7757-9880; Ferraccioli, Fausto/0000-0002-9347-4736; Bingham, Robert G/0000-0002-0630-2021</t>
  </si>
  <si>
    <t>UK Natural Environment Research Council (NERC) Antarctic Funding Initiative (AFI) grants [NE/G013071/1, NE/D008638/1]; NERC [NE/D008638/1, NE/G00465X/2, NE/G013098/2, bas0100026, NE/G013098/1, NE/G013071/2, NE/G013071/1, NE/D009200/1, NE/D008751/1] Funding Source: UKRI; Natural Environment Research Council [NE/D009200/1, NE/G013071/2, NE/D008638/1, NE/G00465X/2, NE/G013098/2, bas0100026, NE/D008751/1, NE/G013098/1, NE/G013071/1] Funding Source: researchfish</t>
  </si>
  <si>
    <t>UK Natural Environment Research Council (NERC) Antarctic Funding Initiative (AFI) grants; NERC(UK Research &amp; Innovation (UKRI)Natural Environment Research Council (NERC)); Natural Environment Research Council(UK Research &amp; Innovation (UKRI)Natural Environment Research Council (NERC))</t>
  </si>
  <si>
    <t>Financial support was provided by the UK Natural Environment Research Council (NERC) Antarctic Funding Initiative (AFI) grants NE/G013071/1 and NE/D008638/1. The NERC Geophysical Equipment Facility provided GPS equipment (loans 838, 870). We thank the British Antarctic Survey for logistics support, J. Woodward, A. Smith, E. King, R. Hindmarsh, and D. Vaughan for assistance in the planning and acquisition of DELORES data from Lake Ellsworth, M. Bentley and D. Sugden for discussion of an earlier draft of this manuscript, A. Rivera for sharing unpublished radar data, and M. LeCompte for advice on remote-sensing imagery. D. Fitzgerald, D. Routledge, C. Robin son, I. Potten, D. Cochrane, and M. Oostlander are thanked for their invaluable support in the field. Two reviewers and the associate editor are thanked for insightful comments that significantly improved the manuscript. We would also like to acknowledge the hard work done by the Moderate-Resolution Imaging Spectroradiometer (MODIS) Mosaic of Antarctica (MOA) team in compiling the MOA imagery. Without it, this work would not have been possible.</t>
  </si>
  <si>
    <t>GEOLOGICAL SOC AMER, INC</t>
  </si>
  <si>
    <t>BOULDER</t>
  </si>
  <si>
    <t>PO BOX 9140, BOULDER, CO 80301-9140 USA</t>
  </si>
  <si>
    <t>0016-7606</t>
  </si>
  <si>
    <t>1943-2674</t>
  </si>
  <si>
    <t>GEOL SOC AM BULL</t>
  </si>
  <si>
    <t>Geol. Soc. Am. Bull.</t>
  </si>
  <si>
    <t>1-2</t>
  </si>
  <si>
    <t>10.1130/B30794.1</t>
  </si>
  <si>
    <t>AH6RX</t>
  </si>
  <si>
    <t>WOS:000336259500001</t>
  </si>
  <si>
    <t>Jackel, BJ; Unick, C; Syrjäsuo, MT; Partamies, N; Wild, JA; Woodfield, EE; McWhirter, I; Kendall, E; Spanswick, E</t>
  </si>
  <si>
    <t>Jackel, B. J.; Unick, C.; Syrjasuo, M. T.; Partamies, N.; Wild, J. A.; Woodfield, E. E.; McWhirter, I.; Kendall, E.; Spanswick, E.</t>
  </si>
  <si>
    <t>Auroral spectral estimation with wide-band color mosaic CCDs</t>
  </si>
  <si>
    <t>GEOSCIENTIFIC INSTRUMENTATION METHODS AND DATA SYSTEMS</t>
  </si>
  <si>
    <t>SENSITIVITY; CAMERA; ARRAY; RGB</t>
  </si>
  <si>
    <t>Optical aurora can be structured over a wide range of spatial and temporal scales with spectral features that depend on the energy of precipitating particles. Scientific studies typically combine data from multiple instruments that are individually optimized for spatial, spectral, or temporal resolution. One recent addition combines all-sky optics with color mosaic CCD (charge-coupled device) detectors that use a matrix of different wide-band micro-filters to produce an image with several (often three) color channels. These devices provide sequences of two dimensional multispectral luminosity with simultaneous exposure of all color channels allowing interchannel comparison even during periods with rapidly varying aurora. At present color auroral image data are primarily used for qualitative analysis. In this study a quantitative approach based on Backus-Gilbert linear inversion was used to better understand the effective spectral resolution of existing and proposed instruments. Two spectrally calibrated commercial detectors (Sony ICX285AQ and ICX429AKL) with very different color mosaics (RGB (red, green, blue) vs. CYGM (cyan, yellow, green, magenta)) were found to have very similar spectral resolution: three channels with FWHM (full-width half-maximum) approximate to 100 nm; a NIR (near infrared) blocking filter is important for stabilizing inversion of both three-channel configurations. Operating the ICX429AKL in a noninterlaced mode would improve spectral resolution and provide an additional near infrared channel. Transformations from arbitrary device channels to RGB are easily obtained through inversion. Simultaneous imaging of multiple auroral emissions may be achieved using a single-color camera with a triplepass filter. Combinations of multiple cameras with simple filters should provide similar to 50 nm resolution across most of the visible spectrum. Performance of other instrument designs could be explored and compared using the same quantitative framework.</t>
  </si>
  <si>
    <t>[Jackel, B. J.; Unick, C.; Spanswick, E.] Univ Calgary, Dept Phys &amp; Astron, Calgary, AB T2N 1N4, Canada; [Syrjasuo, M. T.] Aalto Univ, Sch Elect Engn, Espoo, Finland; [Partamies, N.] Finnish Meteorol Inst, FIN-00101 Helsinki, Finland; [Wild, J. A.] Univ Lancaster, Dept Phys, Lancaster, England; [Woodfield, E. E.] British Antarctic Survey, Cambridge CB3 0ET, England; [McWhirter, I.] UCL, Dept Phys &amp; Astron, London, England; [Kendall, E.] SRI Int, Menlo Pk, CA 94025 USA</t>
  </si>
  <si>
    <t>University of Calgary; Aalto University; Finnish Meteorological Institute; Lancaster University; UK Research &amp; Innovation (UKRI); Natural Environment Research Council (NERC); NERC British Antarctic Survey; University of London; University College London; SRI International</t>
  </si>
  <si>
    <t>Jackel, BJ (corresponding author), Univ Calgary, Dept Phys &amp; Astron, Calgary, AB T2N 1N4, Canada.</t>
  </si>
  <si>
    <t>bjackel@ucalgary.ca</t>
  </si>
  <si>
    <t>Spanswick, Emma/JDC-7880-2023; Partamies, Noora/G-3408-2014; Wild, James Anderson/HKN-7736-2023; kendall, elizabeth/F-5065-2013; Woodfield, Emma/B-5313-2014</t>
  </si>
  <si>
    <t>Wild, James Anderson/0000-0001-8025-8869; Jackel, Brian/0000-0002-6432-2266; Woodfield, Emma/0000-0002-0531-8814</t>
  </si>
  <si>
    <t>STFC [ST/I001727/1] Funding Source: UKRI; Science and Technology Facilities Council [ST/I001727/1] Funding Source: researchfish; Division Of Earth Sciences; Directorate For Geosciences [0836152] Funding Source: National Science Foundation</t>
  </si>
  <si>
    <t>STFC(UK Research &amp; Innovation (UKRI)Science &amp; Technology Facilities Council (STFC)); Science and Technology Facilities Council(UK Research &amp; Innovation (UKRI)Science &amp; Technology Facilities Council (STFC)); Division Of Earth Sciences; Directorate For Geosciences(National Science Foundation (NSF)NSF - Directorate for Geosciences (GEO))</t>
  </si>
  <si>
    <t>2193-0856</t>
  </si>
  <si>
    <t>2193-0864</t>
  </si>
  <si>
    <t>GEOSCI INSTRUM METH</t>
  </si>
  <si>
    <t>Geosci. Instrum. Methods Data Syst.</t>
  </si>
  <si>
    <t>10.5194/gi-3-71-2014</t>
  </si>
  <si>
    <t>CL9GT</t>
  </si>
  <si>
    <t>WOS:000357286000008</t>
  </si>
  <si>
    <t>Megann, A; Storkey, D; Aksenov, Y; Alderson, S; Calvert, D; Graham, T; Hyder, P; Siddorn, J; Sinha, B</t>
  </si>
  <si>
    <t>Megann, A.; Storkey, D.; Aksenov, Y.; Alderson, S.; Calvert, D.; Graham, T.; Hyder, P.; Siddorn, J.; Sinha, B.</t>
  </si>
  <si>
    <t>GO5.0: the joint NERC-Met Office NEMO global ocean model for use in coupled and forced applications</t>
  </si>
  <si>
    <t>GEOSCIENTIFIC MODEL DEVELOPMENT</t>
  </si>
  <si>
    <t>MERIDIONAL OVERTURNING CIRCULATION; SEA-ICE; SOUTHERN-OCEAN; CLIMATE MODEL; HEAT TRANSPORTS; NUMERICAL-MODEL; INTERNAL WAVES; FRESH-WATER; VARIABILITY; ATLANTIC</t>
  </si>
  <si>
    <t>We describe a new Global Ocean standard configuration (GO5.0) at eddy-permitting resolution, developed jointly between the National Oceanography Centre and the Met Office as part of the Joint Ocean Modelling Programme (JOMP), a working group of the UK's National Centre for Ocean Forecasting (NCOF) and part of the Joint Weather and Climate Research Programme (JWCRP). The configuration has been developed with the seamless approach to modelling in mind for ocean modelling across timescales and for a range of applications, from short-range ocean forecasting through seasonal forecasting to climate predictions as well as research use. The configuration has been coupled with sea ice (GSI5.0), atmosphere (GA5.0), and land-surface (GL5.0) configurations to form a standard coupled global model (GC1). The GO5.0 model will become the basis for the ocean model component of the Forecasting Ocean Assimilation Model, which provides forced short-range forecasting services. The GC1 or future releases of it will be used in coupled short-range ocean forecasting, seasonal forecasting, decadal prediction and for climate prediction as part of the UK Earth System Model. A 30-year integration of GO5.0, run with CORE2 (Common Ocean-ice Reference Experiments) surface forcing from 1976 to 2005, is described, and the performance of the model in the final 10 years of the integration is evaluated against observations and against a comparable integration of an existing standard configuration, GO1. An additional set of 10-year sensitivity studies, carried out to attribute changes in the model performance to individual changes in the model physics, is also analysed. GO5.0 is found to have substantially reduced subsurface drift above the depth of the thermocline relative to GO1, and also shows a significant improvement in the representation of the annual cycle of surface temperature and mixed layer depth.</t>
  </si>
  <si>
    <t>[Megann, A.; Aksenov, Y.; Alderson, S.; Sinha, B.] Natl Oceanog Ctr, Marine Syst Modelling, Southampton SO14 3ZH, Hants, England; [Storkey, D.; Calvert, D.; Graham, T.; Hyder, P.; Siddorn, J.] Hadley Ctr, Met Off, Exeter EX1 3PB, Devon, England</t>
  </si>
  <si>
    <t>NERC National Oceanography Centre; Met Office - UK; Hadley Centre</t>
  </si>
  <si>
    <t>Megann, A (corresponding author), Natl Oceanog Ctr, Marine Syst Modelling, Southampton SO14 3ZH, Hants, England.</t>
  </si>
  <si>
    <t>apm@noc.ac.uk</t>
  </si>
  <si>
    <t>Siddorn, John/0000-0003-3848-8868</t>
  </si>
  <si>
    <t>Natural Environment Research Council (UK); Joint UK DECC/DEFRA Met Office Hadley Centre Climate Programme [GA01101]; European Community [283367]; Natural Environment Research Council [noc010010, NE/K011561/1] Funding Source: researchfish; NERC [NE/K011561/1, noc010010] Funding Source: UKRI</t>
  </si>
  <si>
    <t>Natural Environment Research Council (UK)(UK Research &amp; Innovation (UKRI)Natural Environment Research Council (NERC)); Joint UK DECC/DEFRA Met Office Hadley Centre Climate Programme; European Community; Natural Environment Research Council(UK Research &amp; Innovation (UKRI)Natural Environment Research Council (NERC)); NERC(UK Research &amp; Innovation (UKRI)Natural Environment Research Council (NERC))</t>
  </si>
  <si>
    <t>The NOC authors were funded by Natural Environment Research Council (UK) National Capability Funding. Met Office authors were supported by the Joint UK DECC/DEFRA Met Office Hadley Centre Climate Programme (GA01101). Funding support from the European Community's Seventh Framework Programme FP7/2007-2013 under grant agreement no. 283367 (MyOcean2) is gratefully acknowledged. We acknowledge use of the MONSooN system, a collaborative facility supplied under the Joint Weather and Climate Research Programme, which is a strategic partnership between the Met Office and the Natural Environment Research Council. The authors would like to thank Adam Blaker for his comments and suggestions, and Andrew Coward and Chris Harris for assistance with setting up and running the simulations. Ship-based Antarctic sea ice thickness data were provided by the SCAR Antarctic Sea Ice Processes and Climate (ASPeCt) program (aspect.antarctica.gov.au).</t>
  </si>
  <si>
    <t>1991-959X</t>
  </si>
  <si>
    <t>1991-9603</t>
  </si>
  <si>
    <t>GEOSCI MODEL DEV</t>
  </si>
  <si>
    <t>Geosci. Model Dev.</t>
  </si>
  <si>
    <t>10.5194/gmd-7-1069-2014</t>
  </si>
  <si>
    <t>AO8JH</t>
  </si>
  <si>
    <t>gold, Green Accepted, Green Submitted</t>
  </si>
  <si>
    <t>WOS:000341600100020</t>
  </si>
  <si>
    <t>Virant, S</t>
  </si>
  <si>
    <t>Virant, Spela</t>
  </si>
  <si>
    <t>Lighting Effects and Tarot Card Games: Alma M. Karlin's Play Die Kringhausler</t>
  </si>
  <si>
    <t>GERMANOSLAVICA-ZEITSCHRIFT FUR GERMANO-SLAWISCHE STUDIEN</t>
  </si>
  <si>
    <t>German</t>
  </si>
  <si>
    <t>Die Kringhausler (1918) is the first literary text published by Alma M. KARLIN and it is her only play. It tells the story of the scientist Hans Georg Hasselstein and manifests the mentality of a small, provincial town within the Austrian empire at the beginning of the 20th century. The opening scene shows an Antarctic expedition. The stage is supposed to be lit in a very sophisticated way. Hasselstein decides to return to his home town Kringhausen and marry Berta. Back home he reveals his decision, but it is a mesalliance for the petit bourgeois inhabitants of Kringhausen, as Berta had been raped. Nonetheless, they marry and leave for another expedition, and Hasselstein dies there. Berta returns to Kringhausen with her son. Her mother-in-law ignores the public opinion and welcomes her. By this she fi nally overcomes the provinciality of Kringhausen without having to leave the town. The play provoked a scandal in Celje, KARLIN's home town, as her relatives and friends recognized themselves in depicted characters. The article gives a brief overview of the historical and biographical background of Alma M. KARLIN and the town Celje and concentrates on the analysis of the play. The emphasis on the stage lighting and the structure of dialogues led by the ladies playing cards is quite remarkable. This early work is especially interesting as it shows KARLIN's concepts of culture, humanity and female emancipation. The last one is utopian and asexual; the other two tend towards universality yet without denying regional cultural identity.</t>
  </si>
  <si>
    <t>SLOVANSKY USTAV AKAD CESKE REPUBLIKY</t>
  </si>
  <si>
    <t>PRAGUE 1</t>
  </si>
  <si>
    <t>VALENTINSKA 1, PRAGUE 1, 110 00, CZECH REPUBLIC</t>
  </si>
  <si>
    <t>1210-9029</t>
  </si>
  <si>
    <t>GERMANOSLAVICA</t>
  </si>
  <si>
    <t>Germanoslavica</t>
  </si>
  <si>
    <t>Humanities, Multidisciplinary</t>
  </si>
  <si>
    <t>Arts &amp; Humanities - Other Topics</t>
  </si>
  <si>
    <t>VD1YK</t>
  </si>
  <si>
    <t>WOS:000436276000009</t>
  </si>
  <si>
    <t>[Anonymous]</t>
  </si>
  <si>
    <t>Historic Antarctic Expedition Ship 3D Laser Scanned</t>
  </si>
  <si>
    <t>GIM INTERNATIONAL-THE WORLDWIDE MAGAZINE FOR GEOMATICS</t>
  </si>
  <si>
    <t>News Item</t>
  </si>
  <si>
    <t>REED BUSINESS-GEO</t>
  </si>
  <si>
    <t>LEMMER</t>
  </si>
  <si>
    <t>PO BOX 112, LEMMER, 8530 AC, NETHERLANDS</t>
  </si>
  <si>
    <t>1566-9076</t>
  </si>
  <si>
    <t>GIM INT</t>
  </si>
  <si>
    <t>GIM Int.</t>
  </si>
  <si>
    <t>Remote Sensing</t>
  </si>
  <si>
    <t>VC7QQ</t>
  </si>
  <si>
    <t>WOS:000434592100003</t>
  </si>
  <si>
    <t>Litzow, MA; Mueter, FJ; Hobday, AJ</t>
  </si>
  <si>
    <t>Litzow, Michael A.; Mueter, Franz J.; Hobday, Alistair J.</t>
  </si>
  <si>
    <t>Reassessing regime shifts in the North Pacific: incremental climate change and commercial fishing are necessary for explaining decadal-scale biological variability</t>
  </si>
  <si>
    <t>GLOBAL CHANGE BIOLOGY</t>
  </si>
  <si>
    <t>Alaska; Arctic Oscillation; climate change; fisheries; groundfish; North Pacific Gyre Oscillation; North Pacific Ocean; Pacific Decadal Oscillation; regime shift; salmon</t>
  </si>
  <si>
    <t>POLLOCK THERAGRA-CHALCOGRAMMA; SALMON ONCORHYNCHUS-NERKA; LARGE MARINE ECOSYSTEM; EASTERN BERING-SEA; COMMUNITY REORGANIZATION; PINK SALMON; ALASKA; RECRUITMENT; OCEAN; FISHERIES</t>
  </si>
  <si>
    <t>In areas of the North Pacific that are largely free of overfishing, climate regime shifts - abrupt changes in modes of low-frequency climate variability - are seen as the dominant drivers of decadal-scale ecological variability. We assessed the ability of leading modes of climate variability [Pacific Decadal Oscillation (PDO), North Pacific Gyre Oscillation (NPGO), Arctic Oscillation (AO), Pacific-North American Pattern (PNA), North Pacific Index (NPI), El Nino-Southern Oscillation (ENSO)] to explain decadal-scale (1965-2008) patterns of climatic and biological variability across two North Pacific ecosystems (Gulf of Alaska and Bering Sea). Our response variables were the first principle component (PC1) of four regional climate parameters [sea surface temperature (SST), sea level pressure (SLP), freshwater input, ice cover], and PCs 1-2 of 36 biological time series [production or abundance for populations of salmon (Oncorhynchus spp.), groundfish, herring (Clupea pallasii), shrimp, and jellyfish]. We found that the climate modes alone could not explain ecological variability in the study region. Both linear models (for climate PC1) and generalized additive models (for biology PC1-2) invoking only the climate modes produced residuals with significant temporal trends, indicating that the models failed to capture coherent patterns of ecological variability. However, when the residual climate trend and a time series of commercial fishery catches were used as additional candidate variables, resulting models of biology PC1-2 satisfied assumptions of independent residuals and out-performed models constructed from the climate modes alone in terms of predictive power. As measured by effect size and Akaike weights, the residual climate trend was the most important variable for explaining biology PC1 variability, and commercial catch the most important variable for biology PC2. Patterns of climate sensitivity and exploitation history for taxa strongly associated with biology PC1-2 suggest plausible mechanistic explanations for these modeling results. Our findings suggest that, even in the absence of overfishing and in areas strongly influenced by internal climate variability, climate regime shift effects can only be understood in the context of other ecosystem perturbations.</t>
  </si>
  <si>
    <t>[Litzow, Michael A.] Blue World Res, Anchorage, AK 99508 USA; [Litzow, Michael A.] Univ Tasmania, Inst Marine &amp; Antarctic Studies, Hobart, Tas 7001, Australia; [Mueter, Franz J.] Univ Alaska Fairbanks, Sch Fisheries &amp; Ocean Sci, Juneau, AK 99801 USA; [Hobday, Alistair J.] CSIRO Marine &amp; Atmospher Res, Climate Adaptat Flagship, Hobart, Tas 7001, Australia</t>
  </si>
  <si>
    <t>University of Tasmania; University of Alaska System; University of Alaska Fairbanks; Commonwealth Scientific &amp; Industrial Research Organisation (CSIRO)</t>
  </si>
  <si>
    <t>Litzow, MA (corresponding author), Blue World Res, 2710 E 20th Ave, Anchorage, AK 99508 USA.</t>
  </si>
  <si>
    <t>malitzow@utas.edu.au</t>
  </si>
  <si>
    <t>Hobday, Alistair/A-1460-2012</t>
  </si>
  <si>
    <t>NPRB BSIERP program [B68]; North Pacific Research Board (NPRB) [1024]</t>
  </si>
  <si>
    <t>NPRB BSIERP program; North Pacific Research Board (NPRB)</t>
  </si>
  <si>
    <t>We thank the many scientists who shared biology data sets with us, and we thank the following institutions for making climate data freely available: Georgia Tech University/www.o3d.org, USA (NPGO Index); JISAO, University of Washington, USA (AO, PDO, PNA Indices); NCAR, USA (NPI Index); NOAA/NCDC, USA (ERSST); NOAA/OAR/ESRL PSD, Boulder, Colorado, USA (MEI Index, NCEP Reanalysis). We also thank Stewart Frusher and two anonymous reviewers for comments that greatly improved the article, and Alisa Abookire, Steven Hare, Mary-Anne Lea and Nate Mantua for assistance and discussion. Funding for MAL was provided by the North Pacific Research Board (NPRB; project 1024), funding for FJM was provided by the NPRB BSIERP program (project B68). This is NPRB contribution 442 and BEST-BSIERP Bering Sea Project publication 108.</t>
  </si>
  <si>
    <t>1354-1013</t>
  </si>
  <si>
    <t>1365-2486</t>
  </si>
  <si>
    <t>GLOBAL CHANGE BIOL</t>
  </si>
  <si>
    <t>Glob. Change Biol.</t>
  </si>
  <si>
    <t>10.1111/gcb.12373</t>
  </si>
  <si>
    <t>Biodiversity Conservation; Ecology; Environmental Sciences</t>
  </si>
  <si>
    <t>Biodiversity &amp; Conservation; Environmental Sciences &amp; Ecology</t>
  </si>
  <si>
    <t>266BZ</t>
  </si>
  <si>
    <t>WOS:000327998600005</t>
  </si>
  <si>
    <t>S</t>
  </si>
  <si>
    <t>Rabassa, J</t>
  </si>
  <si>
    <t>Rabassa, J; Ollier, C</t>
  </si>
  <si>
    <t>Rabassa, Jorge</t>
  </si>
  <si>
    <t>Some Concepts on Gondwana Landscapes: Long-Term Landscape Evolution, Genesis, Distribution and Age</t>
  </si>
  <si>
    <t>GONDWANA LANDSCAPES IN SOUTHERN SOUTH AMERICA: ARGENTINA, URUGUAY AND SOUTHERN BRAZIL</t>
  </si>
  <si>
    <t>Springer Earth System Sciences</t>
  </si>
  <si>
    <t>Gondwana; Paleosurfaces; Argentina; Planation surfaces; Etchplains</t>
  </si>
  <si>
    <t>FERRICRETE</t>
  </si>
  <si>
    <t>The concept of Gondwana Landscape was defined by Fairbridge (The encyclopedia of geomorphology. Reinhold Book Corporation, New York, p. 483, 1968) as an ancestral landscape composed of series of once-planed remnants that record traces of older planation episodes during the late Mesozoic (locally Jurassic or Cretaceous). This has been called the Gondwana cyclic land surface in the continents of the southern hemisphere, occurring extensively in Australia, Southern Africa and the cratonic areas of South America. Remnants of these surfaces are found also in India, and it is assumed they have been preserved in Eastern Antarctica, underneath the Antarctic ice sheet which covers that region with an average thickness of 3,000 m. These paleolandscapes were generated when the former Gondwana supercontinent was still in place and similar tectonic conditions in its drifted fragments have allowed their preservation. In Pangaea, remnants of equivalent surfaces, though of very fragmentary condition, have been described in Europe and the United States, south of the Pleistocene glaciation boundary. These Gondwana planation surfaces are characteristic of cratonic regions, which have survived in the landscape without being covered by marine sediments along extremely long periods, having been exposed to long-term subaerial weathering and denudation. Their genesis is related to extremely humid and warm paleoclimates of hyper-tropical nature, with permanently water saturated soils, or perhaps extreme climates, with seasonal and long-term cyclic fluctuations, from extremely wet to extremely dry. Deep chemical weathering is the dominant geomorphological process, with the development of enormously deep weathering profiles, perhaps of up to many hundreds of metres deep. The weathering products are clays, in some cases kaolinite, pure quartz and other silica types sands, elimination of all other minerals and duricrust formation, such as ferricretes (iron), silcretes (silica) and calcretes (calcium carbonate). Mean annual precipitation in these periods would have been perhaps higher than 10,000 mm, with extremely high, mean annual temperatures, such as 25-30 degrees C. These deep weathering processes can be achieved only under extremely stable tectonic and climatic conditions. The geomorphological processes continued with fluvial removal of the weathering products in wet climates and with hydro-eolian deflation in the areas with strong climatic seasonality. The final landform products of these deep weathering systems are planation surfaces, inselbergs, bornhardts, duricrust remnants covering tablelands, associated pediments, granite weathered landscape, etc. Some concepts related of these ancient landform systems were theoretical, developed by Walther Penck in the early twentieth century. The Gondwana Landscapes were studied by Alexander Du Toit and Lester C. King in Africa and more recently, by Timothy Partridge and Rodney Maud in South Africa, C. Rowland Twidale and Cliff Ollier in Australia and Lester C. King and Joao Jose Bigarella in Brazil, among others. Both in Australia and Southern Africa, these landform systems have been identified as formed in the Middle to Late Jurassic, throughout the Cretaceous and, in some cases, extending into the Paleogene, when Gondwanawas still only partially dismembered.</t>
  </si>
  <si>
    <t>[Rabassa, Jorge] CADIC CONICET, Lab Geomorfol &amp; Cuaternario, Ushuaia, Tierra Del Fueg, Argentina; [Rabassa, Jorge] Univ Nacl Tierra del Fuego, Geol, Ushuaia, Tierra Del Fueg, Argentina</t>
  </si>
  <si>
    <t>Consejo Nacional de Investigaciones Cientificas y Tecnicas (CONICET)</t>
  </si>
  <si>
    <t>Rabassa, J (corresponding author), CADIC CONICET, Lab Geomorfol &amp; Cuaternario, Ushuaia, Tierra Del Fueg, Argentina.</t>
  </si>
  <si>
    <t>jrabassa@gmail.com</t>
  </si>
  <si>
    <t>SPRINGER</t>
  </si>
  <si>
    <t>DORDRECHT</t>
  </si>
  <si>
    <t>PO BOX 17, 3300 AA DORDRECHT, NETHERLANDS</t>
  </si>
  <si>
    <t>2197-9596</t>
  </si>
  <si>
    <t>978-94-007-7702-6; 978-94-007-7701-9</t>
  </si>
  <si>
    <t>SPRING EARTH SYST SC</t>
  </si>
  <si>
    <t>10.1007/978-94-007-7702-6_2</t>
  </si>
  <si>
    <t>10.1007/978-94-007-7702-6</t>
  </si>
  <si>
    <t>Geography, Physical; Geology</t>
  </si>
  <si>
    <t>BM1OL</t>
  </si>
  <si>
    <t>WOS:000460341200002</t>
  </si>
  <si>
    <t>Miller, D; Slicer, NM</t>
  </si>
  <si>
    <t>Garcia, SM; Rice, J; Charles, A</t>
  </si>
  <si>
    <t>Miller, D.; Slicer, N. M.</t>
  </si>
  <si>
    <t>CCAMLR and Antarctic conservation: The leader to follow?</t>
  </si>
  <si>
    <t>GOVERNANCE OF MARINE FISHERIES AND BIODIVERSITY CONSERVATION: INTERACTION AND COEVOLUTION</t>
  </si>
  <si>
    <t>CCAMLR performance; ecosystem precautionary management</t>
  </si>
  <si>
    <t>MANAGING FISHERIES; MARINE ECOSYSTEM; MANAGEMENT; KRILL; IMPLEMENTATION</t>
  </si>
  <si>
    <t>The 1980 Convention on the Conservation of Antarctic Marine Living Resources (CAMLR Convention) was the first international agreement to elaborate a definitional distinction between managing marine life exploitation directly and accounting for specificprinciples of conservation expressly. These principles explicitly account for harvested stock sustainability as well as ecological connectivity of dependent and related species in an eco-environmental context. This chapter reappraises the international best practice standing for CCAMLR, using specific developments to highlight the organization's advances, challenges and shortcomings. Not only is CCAMLR perceived as a leader in international best practice, it is seen as delivering ecosystem and precautionary approaches essential for strong fisheries and ecosystems outcomes. It also provides a model for other RFMOs with respect to the structures, processes and innovative thinking required to operationalize ecosystem-directed management approaches and concepts.</t>
  </si>
  <si>
    <t>[Miller, D.] Antarctic Tasmanian &amp; Sci Res Dev, Hobart, Tas, Australia; [Slicer, N. M.] Coalit Legal Toothfish Operators COLTO, Mt Hawthorn, Vic, Australia; [Slicer, N. M.] FAO, Quebec City, PQ, Canada; [Slicer, N. M.] MRAG Ltd, London, England; [Slicer, N. M.] Pew, Washington, DC USA</t>
  </si>
  <si>
    <t>Food &amp; Agriculture Organization of the United Nations (FAO)</t>
  </si>
  <si>
    <t>Miller, D (corresponding author), Antarctic Tasmanian &amp; Sci Res Dev, Hobart, Tas, Australia.</t>
  </si>
  <si>
    <t>denzilgmiller@gmail.com; natashaexel@gmail.com</t>
  </si>
  <si>
    <t>JOHN WILEY &amp; SONS LTD</t>
  </si>
  <si>
    <t>THE ATRIUM, SOUTHERN GATE, CHICHESTER PO19 8SQ, WEST SUSSEX, ENGLAND</t>
  </si>
  <si>
    <t>978-1-118-39260-7; 978-1-118-39264-5</t>
  </si>
  <si>
    <t>10.1002/9781118392607</t>
  </si>
  <si>
    <t>Biodiversity Conservation; Fisheries</t>
  </si>
  <si>
    <t>Biodiversity &amp; Conservation; Fisheries</t>
  </si>
  <si>
    <t>BD7DU</t>
  </si>
  <si>
    <t>WOS:000362910100022</t>
  </si>
  <si>
    <t>Durand, GA; Tremblin, P; Minier, V; Reinert, Y; dos Santos, CL; Rodriguez, L; Joffrin, X; Busso, M; Tosti, G; Nucciarelli, G; Dolci, M; Straniero, O; Valentini, A; Abia, C; Christille, JM; Doumayrou, E; Lortholary, M; Charron, P; Lotrus, P; Walter, C; Ronayette, S; Challita, Z; Fromont, L; Condamin, M; Kwon, MK; Tavagnacco, D</t>
  </si>
  <si>
    <t>Stepp, LM; Gilmozzi, R; Hall, HJ</t>
  </si>
  <si>
    <t>Durand, Gilles A.; Tremblin, Pascal; Minier, Vincent; Reinert, Yann; dos Santos, Christophe Leroy; Rodriguez, Louis; Joffrin, Xavier; Busso, Maurizio; Tosti, Gino; Nucciarelli, Giuliano; Dolci, Mauro; Straniero, Oscar; Valentini, Angelo; Abia, Carlos; Christille, Jean Marc; Doumayrou, Eric; Lortholary, Michel; Charron, Patrice; Lotrus, Paul; Walter, Christian; Ronayette, Samuel; Challita, Zalpha; Fromont, Laurent; Condamin, Mathieu; Kwon, Min Kyong; Tavagnacco, Daniele</t>
  </si>
  <si>
    <t>ANTARCTIC OBSERVATIONS AT LONG WAVELENGTHS WITH THE IRAIT-ITM TELESCOPE AT DOME C</t>
  </si>
  <si>
    <t>GROUND-BASED AND AIRBORNE TELESCOPES V</t>
  </si>
  <si>
    <t>Proceedings of SPIE</t>
  </si>
  <si>
    <t>Conference on Ground-Based and Airborne Telescopes V</t>
  </si>
  <si>
    <t>JUN 22-27, 2014</t>
  </si>
  <si>
    <t>Montreal, CANADA</t>
  </si>
  <si>
    <t>Antarctic; sky noise; solar flares; bolometers; Camistic</t>
  </si>
  <si>
    <t>We illustrate the status of the international infra-red telescope IRAIT-ITM, a project developed thanks to an Italian-Spanish-French collaboration and now sited at the Dome C Antarctic base. The telescope and its subsystems were installed at DomeC by a team of Italian and French scientists. The 80 cm telescope is placed on a small snow hill next to a laboratory of astronomy. The operations started in January 2013, with the Nasmyth focal planes equipped with the mid-infrared camera AMICA for 1.25 to 25 mu m and the sub-millimetre camera CAMISTIC for observation of the sky noise at 200 and 350 mu m using a bolometer camera. During 2013 the two winter-overs worked mainly on technological duties, learning how to operate the telescope, while temperatures decreased down to -80 degrees C. The cryogenic systems could be operated respectively at 0.25K and 4K at all times, with satisfactory use of the heat from the compressors of the cryo-coolers to the warm-up the laboratory through a closed loop glycol system. The lack of tests and reliability in extreme conditions of some components and difficult access to maintenance hampered regular observations below -50 degrees C. Using the lessons of this first winter, the summer team improves the robustness of the failing systems and ease the access to maintenance. The winter 2014 is the first one with programmed observations. Because of power restrictions, the two instruments are used each one at a time by periods of 2 weeks. The Camistic camera continues to observe the stability of the sky at a fixed altitude in chopping mode and performs skydips. The TCS is being upgraded in order to prepare the next summer season with extensive observations of the sun with Camistic.</t>
  </si>
  <si>
    <t>[Durand, Gilles A.; Minier, Vincent; Rodriguez, Louis; Joffrin, Xavier; Doumayrou, Eric; Lortholary, Michel; Ronayette, Samuel] Univ Paris Diderot, CEA Saclay, CNRS INSU, Lab AIM,CEA Irfu, F-91191 Gif Sur Yvette, France; [Tremblin, Pascal] Univ Exeter, Coll Engn Math &amp; Phys Sci, Exeter EX4 4QL, Devon, England; [Reinert, Yann; Charron, Patrice; Lotrus, Paul; Walter, Christian] CE Saclay, CEA DSM Irfu SIS, F-91191 Gif Sur Yvette, France; [dos Santos, Christophe Leroy; Busso, Maurizio; Tosti, Gino; Nucciarelli, Giuliano] Univ Perugia, Dept Phys, I-06123 Perugia, Italy; [dos Santos, Christophe Leroy; Busso, Maurizio; Tosti, Gino; Nucciarelli, Giuliano] Univ Perugia, PHD Sch Sci, I-06123 Perugia, Italy; [Dolci, Mauro; Straniero, Oscar; Valentini, Angelo] Osservatorio Astron Collurania, I-64100 Teramo, Italy; [Abia, Carlos] Univ Granada, Dept Fis Teor &amp; Cosmos, E-18071 Granada, Spain; [Christille, Jean Marc] Astron Observ Autonomous Reg Aosta Valley OAVdA, I-11020 Nus, AO, Italy; [Challita, Zalpha] Lab Astrophys Marseille, F-13388 Marseille 13, France; [Fromont, Laurent; Kwon, Min Kyong] INRA, Agrocampus Rennes UMR 1253, F-35042 Rennes, France; [Condamin, Mathieu] Univ Paris 11, Inst Astrophys Spatiale, F-91405 Orsay, France; [Fromont, Laurent; Kwon, Min Kyong] Observ Paris, F-75014 Paris, France; [Tavagnacco, Daniele] INAF OATs Osservatorio Astron Trieste, I-34131 Trieste, Italy</t>
  </si>
  <si>
    <t>Universite Paris Saclay; Centre National de la Recherche Scientifique (CNRS); CNRS - National Institute for Earth Sciences &amp; Astronomy (INSU); CEA; Universite Paris Cite; University of Exeter; CEA; Universite Paris Saclay; University of Perugia; University of Perugia; Istituto Nazionale Astrofisica (INAF); University of Granada; Aix-Marseille Universite; Institut Agro; Agrocampus Ouest; INRAE; Universite de Rennes; Universite Paris Saclay; Sorbonne Universite; Universite PSL; Observatoire de Paris; Istituto Nazionale Astrofisica (INAF)</t>
  </si>
  <si>
    <t>Durand, GA (corresponding author), Univ Paris Diderot, CEA Saclay, CNRS INSU, Lab AIM,CEA Irfu, F-91191 Gif Sur Yvette, France.</t>
  </si>
  <si>
    <t>Walter, Christian/A-1015-2012; Tosti, Gino/E-9976-2013; Leroy-Dos Santos, Christophe/AAM-6087-2021; SAS, MOsol UMR/M-5051-2013; Walter, Christian/GZG-8888-2022; Abia Ladron De Guevara, Carlos Antonio/O-9585-2017; INRAE, UMR SAS/L-1751-2013; Busso, Maurizio Maria/K-7075-2015</t>
  </si>
  <si>
    <t>Walter, Christian/0000-0002-4395-4942; Tosti, Gino/0000-0002-0839-4126; Leroy-Dos Santos, Christophe/0000-0002-0051-7507; Dolci, Mauro/0000-0001-8000-5642; Abia Ladron De Guevara, Carlos Antonio/0000-0002-5665-2716; INRAE, UMR SAS/0000-0001-6346-7845; Tremblin, Pascal/0000-0001-6172-3403; Christille, Jean Marc/0000-0001-6237-5279; Busso, Maurizio Maria/0000-0001-8944-5820; Straniero, Oscar/0000-0002-5514-6125</t>
  </si>
  <si>
    <t>SPIE-INT SOC OPTICAL ENGINEERING</t>
  </si>
  <si>
    <t>BELLINGHAM</t>
  </si>
  <si>
    <t>1000 20TH ST, PO BOX 10, BELLINGHAM, WA 98227-0010 USA</t>
  </si>
  <si>
    <t>0277-786X</t>
  </si>
  <si>
    <t>978-0-8194-9613-3</t>
  </si>
  <si>
    <t>PROC SPIE</t>
  </si>
  <si>
    <t>91450D</t>
  </si>
  <si>
    <t>10.1117/12.2056562</t>
  </si>
  <si>
    <t>Astronomy &amp; Astrophysics; Instruments &amp; Instrumentation; Optics</t>
  </si>
  <si>
    <t>BC6QE</t>
  </si>
  <si>
    <t>WOS:000354375800012</t>
  </si>
  <si>
    <t>Ma, B; Shang, ZH; Hui, Y; Liu, Q; Wang, LF; Wei, P</t>
  </si>
  <si>
    <t>Holland, AD; Beletic, JW</t>
  </si>
  <si>
    <t>Ma, Bin; Shang, Zhaohui; Hui, Yi; Liu, Qiang; Wang, Lifan; Wei, Peng</t>
  </si>
  <si>
    <t>A new method of CCD dark current correction via extracting the dark information from scientific images</t>
  </si>
  <si>
    <t>HIGH ENERGY, OPTICAL, AND INFRARED DETECTORS FOR ASTRONOMY VI</t>
  </si>
  <si>
    <t>Conference on High Energy, Optical, and Infrared Detectors for Astronomy VI</t>
  </si>
  <si>
    <t>JUN 22-25, 2014</t>
  </si>
  <si>
    <t>CCD; Dark Current Correction; Photometry Precision; Antarctic Astronomy</t>
  </si>
  <si>
    <t>We have developed a new method to correct dark current at relatively high temperatures for Charge-Coupled Device (CCD) images when dark frames cannot be obtained on the telescope. For images taken with the Antarctic Survey Telescopes (AST3) in 2012, due to the low cooling efficiency, the median CCD temperature was -46 degrees C, resulting in a high dark current level of about 3e(-)/pix/sec, even comparable to the sky brightness (10e(-)/pix/sec). If not corrected, the nonuniformity of the dark current could even overweight the photon noise of the sky background. However, dark frames could not be obtained during the observing season because the camera was operated in frame-transfer mode without a shutter, and the telescope was unattended in winter. Here we present an alternative, but simple and effective method to derive the dark current frame from the scientific images. Then we can scale this dark frame to the temperature at which the scientific images were taken, and apply the dark frame corrections to the scientific images. We have applied this method to the AST3 data, and demonstrated that it can reduce the noise to a level roughly as low as the photon noise of the sky brightness, solving the high noise problem and improving the photometric precision. This method will also be helpful for other projects that suffer from similar issues.</t>
  </si>
  <si>
    <t>[Ma, Bin; Shang, Zhaohui; Hui, Yi; Liu, Qiang; Wei, Peng] Chinese Acad Sci, Natl Astron Observ, Beijing, Peoples R China; [Shang, Zhaohui] Tianjin Normal Univ, Tianjin, Peoples R China; [Wang, Lifan] Chinese Acad Sci, Purple Mt Observ, Nanjing, Jiangsu, Peoples R China; [Wang, Lifan] Texas A&amp;M Univ, College Stn, TX USA</t>
  </si>
  <si>
    <t>Chinese Academy of Sciences; National Astronomical Observatory, CAS; Tianjin Normal University; Chinese Academy of Sciences; Nanjing Institute of Astronomical Optics &amp; Technology, NAOC, CAS; Purple Mountain Observatory, CAS; Texas A&amp;M University System; Texas A&amp;M University College Station</t>
  </si>
  <si>
    <t>Ma, B (corresponding author), Chinese Acad Sci, Natl Astron Observ, Beijing, Peoples R China.</t>
  </si>
  <si>
    <t>mabin22@gmail.com</t>
  </si>
  <si>
    <t>wei, peng/IVH-1711-2023</t>
  </si>
  <si>
    <t>hu, yi/0000-0003-3317-4771</t>
  </si>
  <si>
    <t>978-0-8194-9622-5</t>
  </si>
  <si>
    <t>91541T</t>
  </si>
  <si>
    <t>10.1117/12.2055416</t>
  </si>
  <si>
    <t>Astronomy &amp; Astrophysics; Optics</t>
  </si>
  <si>
    <t>BC6WM</t>
  </si>
  <si>
    <t>Green Submitted</t>
  </si>
  <si>
    <t>WOS:000354528900054</t>
  </si>
  <si>
    <t>Kulagin, DN; Stupnikova, AN; Neretina, TV; Mugue, NS</t>
  </si>
  <si>
    <t>Kulagin, Dmitry N.; Stupnikova, Alexandra N.; Neretina, Tatyana V.; Mugue, Nikolai S.</t>
  </si>
  <si>
    <t>Spatial genetic heterogeneity of the cosmopolitan chaetognath Eukrohnia hamata (Mobius, 1875) revealed by mitochondrial DNA</t>
  </si>
  <si>
    <t>HYDROBIOLOGIA</t>
  </si>
  <si>
    <t>Chaetognaths; Eukrohnia hamata; Mitochondrial DNA; Population structure; Phylogeography</t>
  </si>
  <si>
    <t>CALANUS-FINMARCHICUS; ARCTIC-OCEAN; ATLANTIC; SPECIATION; FRONTS; WATER</t>
  </si>
  <si>
    <t>Some holoplanktonic species are cosmopolitan and have continuous distribution in the world's oceans. For most of these species it is not clear whether there is unhampered gene flow between far distant populations or they represent a complex of cryptic species. In the present study we investigated genetic diversity of the cosmopolitan chaetognath Eukrohnia hamata in order to identify its spatial structure. DNA-barcode fragment of the mitochondrial COI gene was determined and analyzed for E. hamata specimens collected in the Arctic Ocean, Atlantic Ocean, and Atlantic sector of the Southern Ocean. Five lineages were determined by the phylogenetic analysis with robust statistical support. Three lineages: Antarctic (Eh-1), Subantarctic (Eh-2), and Arctic (Eh-3) had significant genetic differences and were geographically separated. Two other lineages: Eh-4 and Eh-5, that had the smallest genetic difference, were observed together in tropical waters, but they were geographically separated from the other lineages. We suppose that geographical distribution of most of the E. hamata lineages is shaped by the large-scale oceanic fronts, considered as biogeographic boundaries for numerous zooplankton species. Genetic homogeneity of Arctic, Subantarctic, and Antarctic lineages was also shown, each within its regions of inhabit.</t>
  </si>
  <si>
    <t>[Kulagin, Dmitry N.; Stupnikova, Alexandra N.] Russian Acad Sci, PP Shirshov Oceanol Inst, Moscow 117997, Russia; [Neretina, Tatyana V.] Moscow MV Lomonosov State Univ, NA Pertsov White Sea Biol Stn, Moscow State Univ, Fac Biol, Moscow 119234, Russia; [Mugue, Nikolai S.] Russian Fed Res Inst Fisheries &amp; Oceanog, Moscow 107140, Russia; [Mugue, Nikolai S.] Russian Acad Sci, NK Koltsov Dev Biol Inst, Moscow 117808, Russia</t>
  </si>
  <si>
    <t>Russian Academy of Sciences; Shirshov Institute of Oceanology; Lomonosov Moscow State University; Research lnstitute of Fisheries &amp; Oceanography; Russian Academy of Sciences</t>
  </si>
  <si>
    <t>Kulagin, DN (corresponding author), Russian Acad Sci, PP Shirshov Oceanol Inst, 36 Nahimovsky Prospect, Moscow 117997, Russia.</t>
  </si>
  <si>
    <t>kulagin.dima@gmail.com</t>
  </si>
  <si>
    <t>Neretina, Tatiana Vladimirovna/O-3724-2016; Mugue, Nikolai/H-3959-2015; Kulagin, Dmirty/E-3137-2014; Stupnikova, Alexandra/D-7924-2014</t>
  </si>
  <si>
    <t>Mugue, Nikolai/0000-0001-8957-1931; Kulagin, Dmirty/0000-0002-5521-8598; Stupnikova, Alexandra/0000-0002-7211-0386</t>
  </si>
  <si>
    <t>Ministry of Education and Science of the Russian Federation [11.G34.31.0008]; Presidium of the Russian Academy of Sciences [23]; Russian Foundation for Basic Research [12-04-31718]; Ministry of Education and Science of the Russian Federation</t>
  </si>
  <si>
    <t>Ministry of Education and Science of the Russian Federation(Ministry of Education and Science, Russian Federation); Presidium of the Russian Academy of Sciences(Russian Academy of Sciences); Russian Foundation for Basic Research(Russian Foundation for Basic Research (RFBR)Spanish Government); Ministry of Education and Science of the Russian Federation(Ministry of Education and Science, Russian Federation)</t>
  </si>
  <si>
    <t>We acknowledge the assistance of the Captains and crew of the R/V Akademik Ioffe (AI-30), R/V Akademik Sergey Vavilov (ASV-31, ASV-36), R/V Akademik Mstislav Keldysh (AMK-59), and R/V Polarstern (ANT XXVII/2, ARC-XXVII-3). Some specimens were kindly collected by Carmen David, Elena Rybakova, and Ekaterina Uryupova on their cruises on Polarstern. We are also very grateful for the kind help of Alexander Vereshchaka, Anastasia Lunina, and Vladimir Gagarin in collecting the samples. The laboratory work and analysis was funded by the Ministry of Education and Science of the Russian Federation (grant 11.G34.31.0008). Additional support for that project was provided by Program for Basic Research No. 23 from the Presidium of the Russian Academy of Sciences, by the Russian Foundation for Basic Research (Grant No. 12-04-31718), and by the Ministry of Education and Science of the Russian Federation.</t>
  </si>
  <si>
    <t>VAN GODEWIJCKSTRAAT 30, 3311 GZ DORDRECHT, NETHERLANDS</t>
  </si>
  <si>
    <t>0018-8158</t>
  </si>
  <si>
    <t>1573-5117</t>
  </si>
  <si>
    <t>Hydrobiologia</t>
  </si>
  <si>
    <t>10.1007/s10750-013-1661-z</t>
  </si>
  <si>
    <t>253ZL</t>
  </si>
  <si>
    <t>WOS:000327129300018</t>
  </si>
  <si>
    <t>Manno, C; Pavlov, AK</t>
  </si>
  <si>
    <t>Manno, C.; Pavlov, A. K.</t>
  </si>
  <si>
    <t>Living planktonic foraminifera in the Fram Strait (Arctic): absence of diel vertical migration during the midnight sun</t>
  </si>
  <si>
    <t>Planktonic foraminifera; Arctic; Fram Strait; Multinet; Diel vertical migration; N. pachyderma; T. quinqueloba</t>
  </si>
  <si>
    <t>CARBONATE ION CONCENTRATION; NORTHERN NORTH-ATLANTIC; OCEAN ACIDIFICATION; WATER; ZOOPLANKTON; TEMPERATURE; SEA; CALCIFICATION; IMPACT; CYCLE</t>
  </si>
  <si>
    <t>The timing of vertical migration in planktonic foraminifera (ex. ontogenetic, diel) is still an open debate. This work aims to investigate the diel vertical migration (DVM) of Neogloboquadrina pachyderma (N. pachyderma) and Turborotalita quinqueloba (T. quinqueloba) in the Arctic during the midnight sun. N. pachyderma and T. quinqueloba dominate the total assemblage in the cold Polar Water and warmer North Atlantic Water masses, respectively. Foraminifera were collected at several depths along the Fram Strait. Afterwards sampling was performed at the same station for 24 h at continuous and discrete time intervals. Results show no evidence of planktonic foraminifera DVM since there was no significant variability in the abundance and size distribution during the 24-h collection period. This finding provides information to improve the interpretation of foraminifera in paleoclimatic works. This is especially relevant in the Fram Strait as paleoclimatic studies in this region are fundamental to investigating the history of the Atlantic water inflow into the Arctic Ocean.</t>
  </si>
  <si>
    <t>[Manno, C.] British Antarctic Survey, Nat Environm Res Council, Cambridge CB3 0ET, England; [Pavlov, A. K.] Arctic &amp; Antarctic Res Inst, St Petersburg 199397, Russia; [Pavlov, A. K.] Norwegian Polar Res Inst, Fram Ctr, N-9296 Tromso, Norway</t>
  </si>
  <si>
    <t>UK Research &amp; Innovation (UKRI); Natural Environment Research Council (NERC); NERC British Antarctic Survey; Arctic &amp; Antarctic Research Institute; Norwegian Polar Institute</t>
  </si>
  <si>
    <t>Manno, C (corresponding author), Univ Tromso, Fac Biosci Fisheries &amp; Econ, N-9037 Tromso, Norway.</t>
  </si>
  <si>
    <t>clanno@bas.ac.uk</t>
  </si>
  <si>
    <t>Pavlov, Alexey/0000-0002-1978-5368</t>
  </si>
  <si>
    <t>Research Council of Norway through the project MERCLIM Marine Ecosystem Response to a Changing Climate'' [184860/S30]; NERC [bas0100025] Funding Source: UKRI; Natural Environment Research Council [bas0100025] Funding Source: researchfish</t>
  </si>
  <si>
    <t>Research Council of Norway through the project MERCLIM Marine Ecosystem Response to a Changing Climate''; NERC(UK Research &amp; Innovation (UKRI)Natural Environment Research Council (NERC)); Natural Environment Research Council(UK Research &amp; Innovation (UKRI)Natural Environment Research Council (NERC))</t>
  </si>
  <si>
    <t>Special thanks go to the crew members of the R/V Jan Mayen and R/V G.O Sars, who helped to overcome every practical problem during the sampling collection. We kindly acknowledge H. Hop and A. Wold (Norwegian Polar institute) for providing the multinet facility and K. A. Mork (Institute of Marine Research, Norway) for providing the CTD data. We are very grateful to M. Cioch for his support during the laboratory activity. Finally, thanks to S. Retailleau and an anonymous reviewer for the critical comments. This study was funded by the Research Council of Norway through the project MERCLIM Marine Ecosystem Response to a Changing Climate,'' no. 184860/S30, and is a contribution to the ARCTOS network.</t>
  </si>
  <si>
    <t>10.1007/s10750-013-1669-4</t>
  </si>
  <si>
    <t>WOS:000327129300024</t>
  </si>
  <si>
    <t>Irvine-Fynn, TDL; Hanna, E; Barrand, NE; Porter, PR; Kohler, J; Hodson, AJ</t>
  </si>
  <si>
    <t>Irvine-Fynn, T. D. L.; Hanna, E.; Barrand, N. E.; Porter, P. R.; Kohler, J.; Hodson, A. J.</t>
  </si>
  <si>
    <t>Examination of a physically based, high-resolution, distributed Arctic temperature-index melt model, on Midtre Lovenbreen, Svalbard</t>
  </si>
  <si>
    <t>HYDROLOGICAL PROCESSES</t>
  </si>
  <si>
    <t>High-Arctic; temperature-index melt modelling; lidar data; glacier ablation; parameter transferability</t>
  </si>
  <si>
    <t>SURFACE-ENERGY-BALANCE; GREENLAND ICE-SHEET; HAUT-GLACIER-DAROLLA; MASS-BALANCE; SUPERIMPOSED ICE; RADIATIVE FLUXES; LAPSE RATES; SNOWMELT; RUNOFF; CLIMATE</t>
  </si>
  <si>
    <t>Improvements in our ability to model runoff from glaciers remain an important scientific goal. This paper describes a new temperature-radiation-index glacier melt model specifically enhanced for use in High-Arctic environments, utilising high temporal and spatial resolution datasets while retaining relatively modest data requirements. The model employs several physically constrained parameters and was tuned using a lidar-derived surface elevation model of Midtre Lovenbreen, meteorological data from sites spanning 70% of the glacier's area-altitude distribution and periodic ablation surveys during the 2005 melt season. The model explained 80% of the variance in observed ablation across the glacier, an improvement of 40% on a simplified energy balance model (EBM), yet equivalent to the performance of a full EBM employed at the same location. Model performance was assessed further by comparing potential and measured runoff from the catchment and through application to an earlier (2004) melt season. The additive model form and consideration of a priori parameters for the Arctic locality were shown to be beneficial, with a planimetry correction eliminating systematic errors in potential runoff. Further parameterisations defining modelled incident radiation failed to yield significant improvements to model output. Our results suggest that such enhanced melt models may perform well for singular melt seasons, yet are highly sensitive to the choice of lapse rates, and their transferability to different locations and seasons may be limited. While modelling ablation requires detailed consideration of the transition between snow and ice melt, our study suggests that description of the ratio between radiative and turbulent heat fluxes may provide a useful step towards dynamic parameterisation of melt factors in temperature-index models. Copyright (c) 2012 John Wiley &amp; Sons, Ltd.</t>
  </si>
  <si>
    <t>[Irvine-Fynn, T. D. L.] Aberystwyth Univ, Inst Geog &amp; Earth Sci, Aberystwyth SY23 3DB, Dyfed, Wales; [Hanna, E.; Hodson, A. J.] Univ Sheffield, Dept Geog, Sheffield S10 2TN, S Yorkshire, England; [Barrand, N. E.] British Antarctic Survey, Cambridge CB3 0ET, England; [Porter, P. R.] Univ Hertfordshire, Div Geog &amp; Environm Sci, Hatfield AL10 9AB, Herts, England; [Kohler, J.] Norwegian Polar Res Inst, Polar Environm Ctr, N-9296 Tromso, Norway; [Hodson, A. J.] Univ Ctr Svalbard UNIS, Dept Arctic Geol, N-9171 Longyearbyen, Norway</t>
  </si>
  <si>
    <t>Aberystwyth University; University of Sheffield; UK Research &amp; Innovation (UKRI); Natural Environment Research Council (NERC); NERC British Antarctic Survey; University of Hertfordshire; Norwegian Polar Institute; University Centre Svalbard (UNIS)</t>
  </si>
  <si>
    <t>Irvine-Fynn, TDL (corresponding author), Aberystwyth Univ, Inst Geog &amp; Earth Sci, Aberystwyth SY23 3DB, Dyfed, Wales.</t>
  </si>
  <si>
    <t>t.irvine-fynn@aber.ac.uk</t>
  </si>
  <si>
    <t>Hanna, Edward/W-5927-2019; Hanna, Edward/H-2219-2016</t>
  </si>
  <si>
    <t>Hanna, Edward/0000-0002-8683-182X; Hanna, Edward/0000-0002-8683-182X; Kohler, Jack/0000-0003-1963-054X; Irvine-Fynn, Tristram/0000-0003-3157-6646; Barrand, Nicholas/0000-0003-4428-1863; Hodson, Andrew/0000-0002-1255-7987</t>
  </si>
  <si>
    <t>NERC [NE/G006253/1, NER/S/A/2003/11279, NE/B505203/1]; Geological Society; WG Fearnsides Fund; Earth and Space Foundation; University of Sheffield; University of Sheffield (Department of Geography); Gino Watkins Memorial Fund; Dudley Stamp Memorial Trust; Nick Cox and Steve Marshall (NERC Arctic Research Station); NERC [NE/G006253/1, bas0100027] Funding Source: UKRI; Natural Environment Research Council [bas0100027, NE/G006253/1] Funding Source: researchfish</t>
  </si>
  <si>
    <t>NERC(UK Research &amp; Innovation (UKRI)Natural Environment Research Council (NERC)); Geological Society; WG Fearnsides Fund; Earth and Space Foundation; University of Sheffield; University of Sheffield (Department of Geography); Gino Watkins Memorial Fund; Dudley Stamp Memorial Trust; Nick Cox and Steve Marshall (NERC Arctic Research Station); NERC(UK Research &amp; Innovation (UKRI)Natural Environment Research Council (NERC)); Natural Environment Research Council(UK Research &amp; Innovation (UKRI)Natural Environment Research Council (NERC))</t>
  </si>
  <si>
    <t>TIF and AJH acknowledge NERC Grant NE/G006253/1, Geological Society, WG Fearnsides Fund, Earth and Space Foundation and University of Sheffield (a Knowledge Transfer Fund grant and the Department of Geography), the Gino Watkins Memorial Fund, the Dudley Stamp Memorial Trust; TIF further recognises the Climate Change Consortium of Wales (C3W) for enabling completion of this manuscript; NEB acknowledges support from NERC Studentship NER/S/A/2003/11279, NERC Grant NE/B505203/1 (awarded to Prof. T Murray) and NERC's ARSF group. Logistical support in Ny Alesund was gratefully received from Nick Cox and Steve Marshall (NERC Arctic Research Station), and field assistants Anita Asadullah, Fiona Hunter and Emma Goodfellow. Insightful comments from Chris Clark, Doug Benn and Alun Hubbard were greatly appreciated. The reviews from two anonymous reviewers improved the final form of this paper.</t>
  </si>
  <si>
    <t>0885-6087</t>
  </si>
  <si>
    <t>1099-1085</t>
  </si>
  <si>
    <t>HYDROL PROCESS</t>
  </si>
  <si>
    <t>Hydrol. Process.</t>
  </si>
  <si>
    <t>10.1002/hyp.9526</t>
  </si>
  <si>
    <t>Water Resources</t>
  </si>
  <si>
    <t>273XO</t>
  </si>
  <si>
    <t>WOS:000328569800013</t>
  </si>
  <si>
    <t>Amaretti, A; Simone, M; Quartieri, A; Masino, F; Raimondi, S; Leonardi, A; Rossi, M</t>
  </si>
  <si>
    <t>Bardone, E; Bravi, M; Keshavarz, T</t>
  </si>
  <si>
    <t>Amaretti, Alberto; Simone, Marta; Quartieri, Andrea; Masino, Francesca; Raimondi, Stefano; Leonardi, Alan; Rossi, Maddalena</t>
  </si>
  <si>
    <t>Isolation of Carotenoid-producing Yeasts from an Alpine Glacier</t>
  </si>
  <si>
    <t>IBIC2014: 4TH INTERNATIONAL CONFERENCE ON INDUSTRIAL BIOTECHNOLOGY</t>
  </si>
  <si>
    <t>Chemical Engineering Transactions</t>
  </si>
  <si>
    <t>4th International Conference on Industrial Biotechnology (IBIC2014)</t>
  </si>
  <si>
    <t>JUN 08-11, 2014</t>
  </si>
  <si>
    <t>Rome, ITALY</t>
  </si>
  <si>
    <t>RHODOTORULA; BIOSYNTHESIS; PIGMENTS; FUNGI</t>
  </si>
  <si>
    <t>Cold-adapted yeasts are increasingly being isolated from glacial environments, including Arctic, Antarctic, and mountain glaciers. Psychrophilic yeast isolates mostly belong to Basidiomycota phylum, such as Cryptococcus, Mrakia, and Rhodotorula, and represent an understudied source of biodiversity for potential biotechnological applications. Since some basidiomycetous yeast genera (e.g. Rhodotorula, Phaffia, etc.) were demonstrated to produce commercially important carotenoids (e.g. beta-carotene, torulene, torularhodin and astaxanthin), the present study aimed to obtain psychrophilic yeast isolates from the surface ice of an Italian glacier to identify new pigment-producers. 23 yeast isolates were obtained. Among them, three isolates giving pigmented colonies were subjected to ITS1/ITS2 sequencing and were attributed to the Basidiomycetous yeasts Dioszegia sp., Rhodotorula mucilaginosa, and Rhodotorula latyngis. The strains were cultured batch-wise in a carbon-rich medium at 15 degrees C until the stationary phase was reached, then the pigments were extracted from freeze-dried biomass using a DMSO:acetone mixture. Visible absorption spectrum and HPLC-DAD analysis revealed the presence of carotenoid pigments. In batch cultures of Dioszegia sp., carotenoid production was growth-associated and yielded up to 3.4 mg/L of a molecule exhibiting an m/z ratio (568) consistent with the molecular weight of xanthophylls bearing 2 OH groups.</t>
  </si>
  <si>
    <t>[Amaretti, Alberto; Simone, Marta; Quartieri, Andrea; Masino, Francesca; Raimondi, Stefano; Leonardi, Alan; Rossi, Maddalena] Univ Modena &amp; Reggio Emilia, Dept Life Sci, I-4100 Modena, MO, Italy</t>
  </si>
  <si>
    <t>Universita di Modena e Reggio Emilia</t>
  </si>
  <si>
    <t>Amaretti, A (corresponding author), Univ Modena &amp; Reggio Emilia, Dept Life Sci, Via Campi 183, I-4100 Modena, MO, Italy.</t>
  </si>
  <si>
    <t>alberto.amaretti@unimore.it</t>
  </si>
  <si>
    <t>Amaretti, Alberto/C-9281-2015; Amaretti, Alberto/N-3261-2019; Masino, Francesca/AAV-5671-2021; Raimondi, Stefano/T-5933-2019; Rossi, Maddalena/F-1351-2015</t>
  </si>
  <si>
    <t>Amaretti, Alberto/0000-0002-2350-8902; Amaretti, Alberto/0000-0002-2350-8902; Masino, Francesca/0000-0002-1206-7267; Raimondi, Stefano/0000-0003-0944-6677; Leonardi, Alan/0000-0002-6147-1047; Rossi, Maddalena/0000-0002-5342-3950</t>
  </si>
  <si>
    <t>AIDIC SERVIZI SRL</t>
  </si>
  <si>
    <t>MILANO</t>
  </si>
  <si>
    <t>VIA GIUSEPPE COLOMBO 81/A, MILANO, MI 20133, ITALY</t>
  </si>
  <si>
    <t>2283-9216</t>
  </si>
  <si>
    <t>978-88-95608-29-7</t>
  </si>
  <si>
    <t>CHEM ENGINEER TRANS</t>
  </si>
  <si>
    <t>10.3303/CET1438037</t>
  </si>
  <si>
    <t>Biotechnology &amp; Applied Microbiology; Engineering, Chemical</t>
  </si>
  <si>
    <t>Biotechnology &amp; Applied Microbiology; Engineering</t>
  </si>
  <si>
    <t>BB8GK</t>
  </si>
  <si>
    <t>WOS:000346539600038</t>
  </si>
  <si>
    <t>Dann, P; Sidhu, LA; Jessop, R; Renwick, L; Healy, M; Dettmann, B; Baker, B; Catchpole, EA</t>
  </si>
  <si>
    <t>Dann, Peter; Sidhu, Leesa A.; Jessop, Roz; Renwick, Leanne; Healy, Margaret; Dettmann, Belinda; Baker, Barry; Catchpole, Edward A.</t>
  </si>
  <si>
    <t>Effects of flipper bands and injected transponders on the survival of adult Little Penguins Eudyptula minor</t>
  </si>
  <si>
    <t>IBIS</t>
  </si>
  <si>
    <t>apparent survival; marking and tagging techniques; seabirds; southeastern Australia; tag loss</t>
  </si>
  <si>
    <t>MARK-RECAPTURE; PHILLIP-ISLAND; NECK BANDS; VICTORIA; MORTALITY; RECOVERY; BEHAVIOR; RELIABILITY; PERFORMANCE; POPULATION</t>
  </si>
  <si>
    <t>Tagging is essential for many types of ecological and behavioural studies, and it is generally assumed that it does not affect the fitness of the individuals being examined. However, the tagging of birds has been shown to have negative effects on some aspects of their lives. Here we investigate the influence of tagging on apparent survival. We examined the effects of flipper bands and injected transponders on the apparent survival of adult Little Penguins by comparing the survival probabilities of 2483 Little Penguins marked at Phillip Island, Australia, between 1995 and 2001 in one of three ways: with bands, with transponders or with both. The design of the study and our method of analysis allowed us to estimate tag loss and ensured that tag loss did not bias the survival estimates. Birds marked with flipper bands had lower survival probabilities than those marked with transponders (with apparent survival probabilities in the first year after tagging of 75% for banded birds and 80% for birds fitted with transponders, and in subsequent years of 87% for banded birds and 91% for birds fitted with transponders). We estimated both band and transponder loss probabilities for the first time, and found that transponder loss probabilities were substantially higher than band loss probabilities, particularly in the first year after marking when the tag loss probability was 5% for transponders and 0.7% for bands. Survival probabilities were lower in the first year after marking than in subsequent years for all birds. Studies of penguins that have used flipper bands to identify individuals may have underestimated annual adult survival probabilities, as banded penguins were likely to have lower than average survival probabilities than those of unbanded birds. The higher annual survival probabilities of individuals marked with transponders indicate that this should be the preferred marking technique for Little Penguins. However, future studies will, like ours, need to consider the higher rates of transponder loss when estimating survival, possibly by double-tagging some birds.</t>
  </si>
  <si>
    <t>[Dann, Peter; Jessop, Roz; Renwick, Leanne; Healy, Margaret] Phillip Isl Nat Pk, Res Grp, Phillip Isl, Vic, Australia; [Dann, Peter; Sidhu, Leesa A.] Univ New S Wales, Sch Phys Environm &amp; Math Sci, Canberra, ACT, Australia; [Baker, Barry] Univ Tasmania, Sch Govt, Hobart, Tas, Australia; [Baker, Barry] Univ Tasmania, Antarctic Climate Ecosyst Cooperat Res Ctr, Hobart, Tas, Australia</t>
  </si>
  <si>
    <t>University of New South Wales Sydney; Australian Defense Force Academy; University of Tasmania; Antarctic Climate &amp; Ecosystems Cooperative Research Centre (ACE CRC); University of Tasmania</t>
  </si>
  <si>
    <t>Dann, P (corresponding author), Phillip Isl Nat Pk, Res Grp, Phillip Isl, Vic, Australia.</t>
  </si>
  <si>
    <t>pdann@penguins.org.au</t>
  </si>
  <si>
    <t>Australian Bird and Bat Banding Scheme (Department of Environment and Heritage); UNSW Early Career Researcher grant; School of Physical, Environmental and Mathematical Sciences, University of New South Wales at Canberra</t>
  </si>
  <si>
    <t>We thank Richard Norman, Judy Clarke, Jenny Hibble, Moragh Mackay, Katie Dugger, Stu Murphy, David Ainley, Peter Collins, the late Ron Thoday and the late Mike Cullen for assistance of various kinds. David Drynan and the Australian Bird and Bat Banding Scheme (Department of Environment and Heritage) for the supply of flipper bands, co-ordination of the information on banded birds, and some funding for the project. Travel grants for P. D. were supplied by the School of Physical, Environmental and Mathematical Sciences, University of New South Wales at Canberra. P. D. would also like to acknowledge the stimulating discussions and hospitality of Chris Lalas and Hiltrun Ratz while the paper was in its formative stages. L. A. S. is grateful for the support of a UNSW Early Career Researcher grant. Ethics permits were obtained from the Phillip Island Nature Parks ethics committee and scientific permits to work on Little Penguins were supplied by the Department of Sustainability and Environment in Victoria. We would also like to acknowledge the considerable efforts of the Penguin Study Group members in the collection of some of the data used in this analysis. Finally, we would like to thank David Ainley and Richard Phillips for providing helpful reviews.</t>
  </si>
  <si>
    <t>0019-1019</t>
  </si>
  <si>
    <t>1474-919X</t>
  </si>
  <si>
    <t>Ibis</t>
  </si>
  <si>
    <t>10.1111/ibi.12122</t>
  </si>
  <si>
    <t>273OT</t>
  </si>
  <si>
    <t>WOS:000328545700006</t>
  </si>
  <si>
    <t>Grevsmühl, SV</t>
  </si>
  <si>
    <t>Schneider, B; Nocke, T</t>
  </si>
  <si>
    <t>Grevsmuehl, Sebastian Vincent</t>
  </si>
  <si>
    <t>The Creation of Global Imaginaries: The Antarctic Ozone Hole and the Isoline Tradition in the Atmospheric Sciences</t>
  </si>
  <si>
    <t>IMAGE POLITICS OF CLIMATE CHANGE: VISUALIZATIONS, IMAGINATIONS, DOCUMENTATIONS</t>
  </si>
  <si>
    <t>Image-Series</t>
  </si>
  <si>
    <t>SATELLITE MEASUREMENTS</t>
  </si>
  <si>
    <t>This historical essay retraces from the perspective of visual and material culture how ways of analyzing and visualizing atmospheric data dramatically affect how scientific phenomena arc perceived. The article first describes how the idea of an ozone hole moved in the 1930s from a hypothetical, theoretical construct within the astronomical community to a description of one of the most important global environmental problems of the late twentieth century. The chapter then explains in detail how NASA scientists refrained the local phenomenon of ozone depletion as a global environmental risk through their use of contour maps, displaying large quantities of global satellite data in synoptic form, coupled with the introduction of a new powerful metaphor the ozone hole.</t>
  </si>
  <si>
    <t>Grevsmuhl, Sebastian Vincent/0000-0002-4861-6336</t>
  </si>
  <si>
    <t>TRANSCRIPT VERLAG</t>
  </si>
  <si>
    <t>BIELEFELD</t>
  </si>
  <si>
    <t>HERMANNSTR 26, BIELEFELD, 33602, GERMANY</t>
  </si>
  <si>
    <t>2365-1806</t>
  </si>
  <si>
    <t>978-3-8394-2610-4; 978-3-8376-2610-0</t>
  </si>
  <si>
    <t>IMAGE-SER</t>
  </si>
  <si>
    <t>10.14361/transcript.9783839426104</t>
  </si>
  <si>
    <t>Communication; Environmental Studies</t>
  </si>
  <si>
    <t>Book Citation Index – Social Sciences &amp; Humanities (BKCI-SSH)</t>
  </si>
  <si>
    <t>Communication; Environmental Sciences &amp; Ecology</t>
  </si>
  <si>
    <t>BJ3ZC</t>
  </si>
  <si>
    <t>WOS:000424510800002</t>
  </si>
  <si>
    <t>Xiao, Q; Xia, JH; Zhang, XJ; Li, Z; Wang, Y; Zhou, L; Gui, JF</t>
  </si>
  <si>
    <t>Xiao, Qing; Xia, Jian-Hong; Zhang, Xiao-Juan; Li, Zhi; Wang, Yang; Zhou, Li; Gui, Jian-Fang</t>
  </si>
  <si>
    <t>Type-IV Antifreeze Proteins are Essential for Epiboly and Convergence in Gastrulation of Zebrafish Embryos</t>
  </si>
  <si>
    <t>INTERNATIONAL JOURNAL OF BIOLOGICAL SCIENCES</t>
  </si>
  <si>
    <t>antifreeze protein; yolk syncytial layer; epiboly; convergence; morphogenesis</t>
  </si>
  <si>
    <t>YOLK SYNCYTIAL LAYER; CARASSIUS-AURATUS-GIBELIO; EXTENSION MOVEMENTS; EXPRESSION PATTERN; LONGHORN SCULPIN; CELL MOVEMENTS; EMBRYOGENESIS; ORGANIZATION; REPRODUCTION; REQUIREMENT</t>
  </si>
  <si>
    <t>Many organisms in extremely cold environments such as the Antarctic Pole have evolved antifreeze molecules to prevent ice formation. There are four types of antifreeze proteins (AFPs). Type-IV antifreeze proteins (AFP4s) are present also in certain temperate and even tropical fish, which has raised a question as to whether these AFP4s have important functions in addition to antifreeze activity. Here we report the identification and functional analyses of AFP4s in cyprinid fish. Two genes, namely afp4a and afp4b coding for AFP4s, were identified in gibel carp (Carassius auratus gibelio) and zebrafish (Danio rerio). In both species, afp4a and afp4b display a head-to-tail tandem arrangement and share a common 4-exonic gene structure. In zebrafish, both afp4a and afp4b were found to express specifically in the yolk syncytial layer (YSL). Interestingly, afp4a expression continues in YSL and digestive system from early embryos to adults, whereas afp4b expression is restricted to embryogenesis. Importantly, we have shown by using afp4a-specific and afp4b-specifc morpholino knockdown and cell lineage tracing approaches that AFP4a participates in epiboly progression by stabilizing yolk cytoplasmic layer microtubules, and AFP4b is primarily related to convergence movement. Therefore, both AFP4 proteins are essential for gastrulation of zebrafish embryos. Our current results provide first evidence that AFP such as AFP4 has important roles in regulating developmental processes besides its well-known function as antifreeze factors.</t>
  </si>
  <si>
    <t>[Xiao, Qing; Xia, Jian-Hong; Zhang, Xiao-Juan; Li, Zhi; Wang, Yang; Zhou, Li; Gui, Jian-Fang] Univ Chinese Acad Sci, Chinese Acad Sci, Inst Hydrobiol, State Key Lab Freshwater Ecol &amp; Biotechnol, Wuhan 430072, Peoples R China</t>
  </si>
  <si>
    <t>Chinese Academy of Sciences; University of Chinese Academy of Sciences, CAS; Institute of Hydrobiology, CAS</t>
  </si>
  <si>
    <t>Gui, JF (corresponding author), Univ Chinese Acad Sci, Chinese Acad Sci, Inst Hydrobiol, State Key Lab Freshwater Ecol &amp; Biotechnol, Wuhan 430072, Peoples R China.</t>
  </si>
  <si>
    <t>jfgui@ihb.ac.cn</t>
  </si>
  <si>
    <t>Xia, Jianhong/E-7938-2016; Zhou, Li/HMO-8674-2023</t>
  </si>
  <si>
    <t>Xia, Jianhong/0000-0002-2593-9423;</t>
  </si>
  <si>
    <t>National Key Basic Research Program of China [2010CB126301]; Strategic Priority Research Program of the Chinese Academy of Sciences [XDA08030201]; earmarked fund for Modern Agro-industry Technology Research System [NYCYTX-49]; Innovation Project of Chinese Academy of Sciences [KSCX3-EW-N-04]; Autonomous Project of the State Key Laboratory of Freshwater Ecology and Biotechnology [2011FBZ17]</t>
  </si>
  <si>
    <t>National Key Basic Research Program of China(National Basic Research Program of China); Strategic Priority Research Program of the Chinese Academy of Sciences(Chinese Academy of Sciences); earmarked fund for Modern Agro-industry Technology Research System; Innovation Project of Chinese Academy of Sciences(Knowledge Innovation Program of the Chinese Academy of Sciences); Autonomous Project of the State Key Laboratory of Freshwater Ecology and Biotechnology</t>
  </si>
  <si>
    <t>This work was funded by the National Key Basic Research Program of China (2010CB126301), the Strategic Priority Research Program of the Chinese Academy of Sciences (XDA08030201), the earmarked fund for Modern Agro-industry Technology Research System (NYCYTX-49), the Innovation Project of Chinese Academy of Sciences (KSCX3-EW-N-04), and the Autonomous Project of the State Key Laboratory of Freshwater Ecology and Biotechnology (2011FBZ17).</t>
  </si>
  <si>
    <t>IVYSPRING INT PUBL</t>
  </si>
  <si>
    <t>LAKE HAVEN</t>
  </si>
  <si>
    <t>PO BOX 4546, LAKE HAVEN, NSW 2263, AUSTRALIA</t>
  </si>
  <si>
    <t>1449-2288</t>
  </si>
  <si>
    <t>INT J BIOL SCI</t>
  </si>
  <si>
    <t>Int. J. Biol. Sci.</t>
  </si>
  <si>
    <t>10.7150/ijbs.9126</t>
  </si>
  <si>
    <t>Biochemistry &amp; Molecular Biology; Biology</t>
  </si>
  <si>
    <t>Biochemistry &amp; Molecular Biology; Life Sciences &amp; Biomedicine - Other Topics</t>
  </si>
  <si>
    <t>AL7ME</t>
  </si>
  <si>
    <t>Green Published, gold, Green Submitted</t>
  </si>
  <si>
    <t>WOS:000339317100006</t>
  </si>
  <si>
    <t>Fox-Hughes, P; Harris, R; Lee, G; Grose, M; Bindoff, N</t>
  </si>
  <si>
    <t>Fox-Hughes, Paul; Harris, Rebecca; Lee, Greg; Grose, Michael; Bindoff, Nathan</t>
  </si>
  <si>
    <t>Future fire danger climatology for Tasmania, Australia, using a dynamically downscaled regional climate model</t>
  </si>
  <si>
    <t>INTERNATIONAL JOURNAL OF WILDLAND FIRE</t>
  </si>
  <si>
    <t>climate change; FFDI; fire weather</t>
  </si>
  <si>
    <t>ATMOSPHERIC INTERACTIONS; FOREST; WEATHER; IMPACT; VARIABILITY; BUSHFIRES; RAINFALL; BEHAVIOR; TRENDS; RISK</t>
  </si>
  <si>
    <t>Daily values of McArthur Forest Fire Danger Index were generated at similar to 10-km resolution over Tasmania, Australia, from six dynamically downscaled CMIP3 climate models for 1961-2100, using a high (A2) emissions scenario. Multi-model mean fire danger validated well against observations for 2002-2012, with 99th percentile fire dangers having the same distribution and largely similar values to those observed over the same time. Model projections showed a broad increase in fire danger across Tasmania, but with substantial regional variation - the increase was smaller in western Tasmania (district mean cumulative fire danger increasing at 1.07 per year) compared with parts of the east (1.79 per year), for example. There was also noticeable seasonal variation, with little change occurring in autumn, but a steady increase in area subject to springtime 99th percentile fire danger from 6% in 1961-1980 to 21% by 2081-2100, again consistent with observations. In general, annually accumulated fire danger behaved similarly. Regional mean sea level pressure patterns resembled observed patterns often associated with days of dangerous fire weather. Days of elevated fire danger displaying these patterns increased in frequency during the simulated twenty-first century: in south-east Tasmania, for example, the number of such events detected rose from 101 (across all models) in 1961-1980 to 169 by 2081-2100. Correspondence of model output with observations and the regional detail available suggest that these dynamically downscaled model data are useful projections of future fire danger for landscape managers and the community.</t>
  </si>
  <si>
    <t>[Fox-Hughes, Paul; Harris, Rebecca; Lee, Greg; Bindoff, Nathan] Antarctic Climate &amp; Ecosyst Cooperat Res Ctr, Hobart, Tas 7001, Australia; [Grose, Michael] CSIRO Marine &amp; Atmospher Res, Aspendale, Vic 3195, Australia; [Fox-Hughes, Paul] Bur Meteorol, Hobart, Tas 7001, Australia; [Fox-Hughes, Paul; Bindoff, Nathan] Univ Tasmania, Inst Marine &amp; Antarctic Studies, Hobart, Tas 7001, Australia; [Bindoff, Nathan] CSIRO Marine &amp; Atmospher Res, CAWCR, Hobart, Tas 7000, Australia</t>
  </si>
  <si>
    <t>Antarctic Climate &amp; Ecosystems Cooperative Research Centre (ACE CRC); Commonwealth Scientific &amp; Industrial Research Organisation (CSIRO); Bureau of Meteorology - Australia; University of Tasmania; Commonwealth Scientific &amp; Industrial Research Organisation (CSIRO)</t>
  </si>
  <si>
    <t>Fox-Hughes, P (corresponding author), Antarctic Climate &amp; Ecosyst Cooperat Res Ctr, Private Bag 80, Hobart, Tas 7001, Australia.</t>
  </si>
  <si>
    <t>paul.foxhughes@acecrc.org.au</t>
  </si>
  <si>
    <t>Bindoff, Nathaniel Lee/IVV-0333-2023; Grose, Michael/AAV-1119-2021; Bindoff, Nathaniel Lee/C-8050-2011; Fox-Hughes, Paul D/G-8731-2013; Harris, Rebecca/N-2790-2013</t>
  </si>
  <si>
    <t>Bindoff, Nathaniel Lee/0000-0001-5662-9519; Bindoff, Nathaniel Lee/0000-0001-5662-9519; Harris, Rebecca/0000-0002-6426-2179</t>
  </si>
  <si>
    <t>Australian Government's Cooperative Research Centres Program through the ACE CRC; Office of Science, US Department of Energy</t>
  </si>
  <si>
    <t>Australian Government's Cooperative Research Centres Program through the ACE CRC(Australian GovernmentDepartment of Industry, Innovation and ScienceCooperative Research Centres (CRC) Programme); Office of Science, US Department of Energy(United States Department of Energy (DOE))</t>
  </si>
  <si>
    <t>Graham Mills and Mark Chladil provided helpful comments on drafts of this paper, and the anonymous reviewers suggested useful additions and clarifications. The work was enabled by a National Disaster Resilience Program grant administered through the Tasmanian State Emergency Service, and was supported by the Australian Government's Cooperative Research Centres Program through the ACE CRC. The work builds upon the Climate Futures for Tasmania project. We acknowledge the modelling groups, the Program for Climate Model Diagnosis and Intercomparison and the WCRP's Working Group on Coupled Modelling for their roles in making available the WCRP CMIP3 multi-model dataset. Support for this dataset is provided by the Office of Science, US Department of Energy. Downscaled model outputs were provided by Stuart Corney, Jack Katzfey and John McGregor.</t>
  </si>
  <si>
    <t>1049-8001</t>
  </si>
  <si>
    <t>1448-5516</t>
  </si>
  <si>
    <t>INT J WILDLAND FIRE</t>
  </si>
  <si>
    <t>Int. J. Wildland Fire</t>
  </si>
  <si>
    <t>10.1071/WF13126</t>
  </si>
  <si>
    <t>Forestry</t>
  </si>
  <si>
    <t>AG5OJ</t>
  </si>
  <si>
    <t>WOS:000335468000002</t>
  </si>
  <si>
    <t>Bieler, R; Mikkelsen, PM; Collins, TM; Glover, EA; González, VL; Graf, DL; Harper, EM; Healy, J; Kawauchi, GY; Sharma, PP; Staubach, S; Strong, EE; Taylor, JD; Tëmkin, I; Zardus, JD; Clark, S; Guzmán, A; McIntyre, E; Sharp, P; Giribet, G</t>
  </si>
  <si>
    <t>Bieler, Ruediger; Mikkelsen, Paula M.; Collins, Timothy M.; Glover, Emily A.; Gonzalez, Vanessa L.; Graf, Daniel L.; Harper, Elizabeth M.; Healy, John; Kawauchi, Gisele Y.; Sharma, Prashant P.; Staubach, Sid; Strong, Ellen E.; Taylor, John D.; Temkin, Ilya; Zardus, John D.; Clark, Stephanie; Guzman, Alejandra; McIntyre, Erin; Sharp, Paul; Giribet, Gonzalo</t>
  </si>
  <si>
    <t>Investigating the Bivalve Tree of Life - an exemplar-based approach combining molecular and novel morphological characters</t>
  </si>
  <si>
    <t>INVERTEBRATE SYSTEMATICS</t>
  </si>
  <si>
    <t>Bivalvia, evolution, gills, labial palps, Mollusca, phylogeny, shell microstructure, sperm ultrastructure, stomach.</t>
  </si>
  <si>
    <t>COMPLETE MITOCHONDRIAL GENOME; MULTIPLE SEQUENCE ALIGNMENT; SOLEMYA-VELUM MOLLUSCA; RADIAL MANTLE GLANDS; OXIDASE SUBUNIT-I; PHYLOGENETIC ANALYSIS; FUNCTIONAL-MORPHOLOGY; ANOMALODESMATA MOLLUSCA; 18S RDNA; EVOLUTIONARY RELATIONSHIPS</t>
  </si>
  <si>
    <t>To re-evaluate the relationships of the major bivalve lineages, we amassed detailed morpho-anatomical, ultrastructural and molecular sequence data for a targeted selection of exemplar bivalves spanning the phylogenetic diversity of the class. We included molecular data for 103 bivalve species (up to five markers) and also analysed a subset of taxa with four additional nuclear protein-encoding genes. Novel as well as historically employed morphological characters were explored, and we systematically disassembled widely used descriptors such as gill and stomach 'types'. Phylogenetic analyses, conducted using parsimony direct optimisation and probabilistic methods on static alignments (maximum likelihood and Bayesian inference) of the molecular data, both alone and in combination with morphological characters, offer a robust test of bivalve relationships. A calibrated phylogeny also provided insights into the tempo of bivalve evolution. Finally, an analysis of the informativeness of morphological characters showed that sperm ultrastructure characters are among the best morphological features to diagnose bivalve clades, followed by characters of the shell, including its microstructure. Our study found support for monophyly of most broadly recognised higher bivalve taxa, although support was not uniform for Protobranchia. However, monophyly of the bivalves with protobranchiate gills was the best-supported hypothesis with incremental morphological and/or molecular sequence data. Autobranchia, Pteriomorphia, Heteroconchia, Palaeoheterodonta, Archiheterodonta, Euheterodonta, Anomalodesmata and Imparidentia new clade ( = Euheterodonta excluding Anomalodesmata) were recovered across analyses, irrespective of data treatment or analytical framework. Another clade supported by our analyses but not formally recognised in the literature includes Palaeoheterodonta and Archiheterodonta, which emerged under multiple analytical conditions. The origin and diversification of each of these major clades is Cambrian or Ordovician, except for Archiheterodonta, which diverged from Palaeoheterodonta during the Cambrian, but diversified during the Mesozoic. Although the radiation of some lineages was shifted towards the Palaeozoic (Pteriomorphia, Anomalodesmata), or presented a gap between origin and diversification (Archiheterodonta, Unionida), Imparidentia showed steady diversification through the Palaeozoic and Mesozoic. Finally, a classification system with six major monophyletic lineages is proposed to comprise modern Bivalvia: Protobranchia, Pteriomorphia, Palaeoheterodonta, Archiheterodonta, Anomalodesmata and Imparidentia.</t>
  </si>
  <si>
    <t>[Bieler, Ruediger; Healy, John; Staubach, Sid; Clark, Stephanie] Field Museum Nat Hist, Chicago, IL 60605 USA; [Mikkelsen, Paula M.] Cornell Univ, Paleontol Res Inst, Ithaca, NY 14850 USA; [Mikkelsen, Paula M.] Cornell Univ, Dept Ecol &amp; Evolutionary Biol, Ithaca, NY 14850 USA; [Collins, Timothy M.; Sharp, Paul] Florida Int Univ, Dept Biol Sci, Miami, FL 33199 USA; [Glover, Emily A.; Taylor, John D.] Nat Hist Museum, Dept Life Sci, London SW7 5BD, England; [Gonzalez, Vanessa L.; Kawauchi, Gisele Y.; Guzman, Alejandra; McIntyre, Erin; Giribet, Gonzalo] Harvard Univ, Museum Comparat Zool, Cambridge, MA 02138 USA; [Gonzalez, Vanessa L.; Kawauchi, Gisele Y.; Guzman, Alejandra; McIntyre, Erin; Giribet, Gonzalo] Harvard Univ, Dept Organism &amp; Evolutionary Biol, Cambridge, MA 02138 USA; [Sharma, Prashant P.] Amer Museum Nat Hist, Div Invertebrate Zool, New York, NY 10024 USA; [Graf, Daniel L.] Univ Wisconsin, Dept Biol, Stevens Point, WI 54481 USA; [Harper, Elizabeth M.] Univ Cambridge, Dept Earth Sci, Cambridge CB2 3EQ, England; [Healy, John] Queensland Museum, South Brisbane, Qld 4101, Australia; [Strong, Ellen E.; Temkin, Ilya] Smithsonian Inst, Natl Museum Nat Hist, Dept Invertebrate Zool, Washington, DC 20013 USA; [Temkin, Ilya] No Virginia Community Coll, Dept Biol, Annandale, VA 22003 USA; [Zardus, John D.] The Citadel, Dept Biol, Charleston, SC 29409 USA; [Guzman, Alejandra] Stanford Univ, Stanford, CA 94305 USA</t>
  </si>
  <si>
    <t>Field Museum of Natural History (Chicago); Cornell University; Cornell University; State University System of Florida; Florida International University; Natural History Museum London; Harvard University; Harvard University; American Museum of Natural History (AMNH); University of Wisconsin System; University of Wisconsin Stevens Point; University of Cambridge; Queensland Museum; Smithsonian Institution; Smithsonian National Museum of Natural History; Stanford University</t>
  </si>
  <si>
    <t>Bieler, R (corresponding author), Field Museum Nat Hist, 1400 South Lake Shore Dr, Chicago, IL 60605 USA.</t>
  </si>
  <si>
    <t>rbieler@fieldmuseum.org</t>
  </si>
  <si>
    <t>Zardus, John/V-4470-2019; Harper, Elizabeth M/B-3890-2008; Bieler, Rudiger/F-3280-2010; Kawauchi, Gisele Y/N-7464-2013; Giribet, Gonzalo/P-1086-2015</t>
  </si>
  <si>
    <t>Bieler, Rudiger/0000-0002-9554-1947; Giribet, Gonzalo/0000-0002-5467-8429; Gonzalez, Vanessa Liz/0000-0002-1593-4469; Strong, Ellen/0000-0001-7181-4114; Graf, Daniel Laurids/0000-0002-6104-9823; Kawauchi, Gisele Yukimi/0000-0002-9574-1754</t>
  </si>
  <si>
    <t>USA National Science Foundation (NSF) Assembling the Tree of Life (AToL) program [DEB-0732854 / 0732903 / 0732860]; Ministerio de Educacion y Ciencia, Spain [SAB2006-0124]; NSF [DEB-0918982]; UC Ship Funds Panel; National Science Foundation [OCE-0726382]; Bangor University; National Museum of Wales; [NSF EF-0334932]; [EF-0531757]; [NSF-0542575]; Direct For Biological Sciences; Div Of Biological Infrastructure [1202751] Funding Source: National Science Foundation; Directorate For Geosciences; Division Of Ocean Sciences [1130541] Funding Source: National Science Foundation</t>
  </si>
  <si>
    <t>USA National Science Foundation (NSF) Assembling the Tree of Life (AToL) program; Ministerio de Educacion y Ciencia, Spain(Spanish Government); NSF(National Science Foundation (NSF)); UC Ship Funds Panel; National Science Foundation(National Science Foundation (NSF)); Bangor University; National Museum of Wales; ; ; ; Direct For Biological Sciences; Div Of Biological Infrastructure(National Science Foundation (NSF)NSF - Directorate for Biological Sciences (BIO)); Directorate For Geosciences; Division Of Ocean Sciences(National Science Foundation (NSF)NSF - Directorate for Geosciences (GEO))</t>
  </si>
  <si>
    <t>The Bivalve Assembling the Tree-of-Life project (http://www.bivatol.org) is supported by the USA National Science Foundation (NSF) Assembling the Tree of Life (AToL) program (DEB-0732854 / 0732903 / 0732860). Fieldwork and specimen acquisition in Florida was partly supported by the Comer Science and Education Foundation, the Negaunee Foundation Ltd, the Grainger Foundation, and Field Museum's (FMNH) Department of Zoology's Marshall Field Fund. Specimen collecting in the protected waters of the Florida Keys was conducted under Florida Keys National Marine Sanctuary Research Permit FKNMS-2009-024 and USA Fish &amp; Wildlife Service Special Use Permit 41580-2010-20 (and earlier issues of these permits) for work in the National Wildlife Refuges. Collecting in the Moreton Bay Marine Park was permitted under Permit number QS2005/CVL588 from Queensland Parks and Wildlife Service. Collecting in Spain was primarily supported by a sabbatical fellowship from the Ministerio de Educacion y Ciencia, Spain (SAB2006-0124) to G. Giribet in 2007 to work in the Centre d'Estudis Avancats de Blanes (CEAB, CSIC), sponsored by Iosune Uriz, to whom we are indebted. Collecting was done under a general collecting permit from the CEAB. Additional specimens came from the Protostome Tree of Life project (NSF EF-0334932 and EF-0531757 to GG). Work on Cardiidae and Veneridae was supported, in part, by NSF award DEB-0918982 to RB and PMM. We acknowledge a grant from UC Ship Funds Panel to N.G. Wilson for a collecting trip with the R/V Robert Gordon Sproul, in the Santa Rosa-Cortes Ridge of the southern California continental borderland at depths to ca. 400 m. Nucinella specimens were obtained with the help of the Panglao Marine Biodiversity Project, a joint project of Museum National d'Histoire Naturelle, Paris (Philippe Bouchet, PI) and University of San Carlos, Cebu City (Danilo Largo, PI), funded by grants from the Total Foundation, the French Ministry of Foreign Affairs, and the Asean Regional Center for Biodiversity Conservation (ARCBC), and operating under a permit from the Philippine Bureau of Fisheries and Aquatic Resources (BFAR). We thank the Captain and crew of the R/V Endeavour, George Hampson and Steve Aubrey for help in collecting deep-sea specimens from the Gay Head-Bermuda transect and for the invitation to participate from PI Ron Etter (University of Massachusetts, Boston), supported by the National Science Foundation (OCE-0726382). The specimens from deep-water off of Mozambique were collected by R/V Vizconde de Eza during the MAINBAZA cruise in April 2009. The cruise, under PI Philippe Bouchet, was operated by Museum National d'Histoire Naturelle (MNHN) and Instituto Espanol de Oceanografia (IOE), as part of a cluster of Mozambique-Madagascar expeditions funded by the Total Foundation, Prince Albert II of Monaco Foundation, and Stavros Niarchos Foundation, and conducted by MNHN and Pro-Natura International (PNI). Dredging off of the coast of western Scotland aboard the R/V Prince Madog was jointly sponsored by Bangor University and the National Museum of Wales and organised by Chris Richardson and Graham Oliver. Collecting in Salcombe-Kingsbridge estuary, a local nature preserve and SSI (Site of Special Scientific Interest) in Devon, UK, was arranged under permit 1/2009. Collecting at Tjarno, Sweden, was carried out during a marine biological workshop organised by Per Sundberg, Malin Strand, and Christer Erseus for the Swedish Taxonomy Initiative.; Bill Anderson (South Carolina Department of Natural Resources, Charleston) made possible and provided assistance collecting coastal species in South Carolina. Logistical support was kindly provided by the Mote Marine Laboratory's Tropical Research Laboratory (Summerland Key, Florida), the Smithsonian Marine Station (Ft. Pierce, Florida), the Moreton Bay Research Station (Stradbroke Island, Queensland), Swire Institute of Marine Sciences (Hong Kong), Sven Loven Centre for Marine Sciences, Fiskeb ckskil and Tjarno (Sweden). Freshwater sampling in Australia was supported by NSF-0542575, facilitated by Hugh Jones of the New South Wales Department of Environment, Climate Change and Water, and exported under permit WT2010-8037. Freshwater sampling in Zambia was supported by NSF-0542575, facilitated by Alex Chilala of the Zambian Department of Fisheries, Ministry of Agriculture and Cooperatives, and collected under permit DFH/8/3/3. For assistance during fieldwork, we thank Brian Gollands (Paleontological Research Institution, Ithaca, NY), Sherry Reed (Smithsonian Marine Station, Ft. Pierce, FL), Petra Sierwald and Jochen Gerber (FMNH), Tan Koh Siang (University of Singapore), Martin Taylor (Bangor University), Peter Middelfart (Australian Museum, Sydney), Lisa Kirkendale (Western Australian Museum, Perth), and Anthony Geneva (Academy of Natural Sciences of Philadelphia). Although the majority of the material studied here was collected anew, we greatly appreciate the help of numerous colleagues and friends who provided additional specimens and tissues. These include David Duggins (Friday Harbor Laboratories, University of Washington, WA, USA), Anders Waren (Naturhistoriska Riksmuseet, Stockholm, Sweden), Lloyd Peck and Melody Clark (British Antarctic Survey, Cambridge, UK), Paul Valentich-Scott (Santa Barbara Museum of Natural History, CA, USA), Janet Voight (FMNH), Stacy Galleher (Oregon Department of Fish and Wildlife, Salem, OR, USA), Antonio Checa (Universidad de Granada, Spain), David Roberts (Queens University, Belfast, UK), Chris Richardson (School of Ocean Sciences, Bangor University, UK), Tan Koh Siang (University of Singapore, Singapore), Serge Gofas (Universidad de M~laga, Spain), Judith Fuchs (University of Goteborg, Sweden), and Alexandra Zieritz (University of Cambridge, UK). Thomas Waller (National Museum of Natural History, Washington, DC) is thanked for his identification of Propeamussiidae species, and Cleo Oliviera (Universidade Federal do Rio de Janeiro) advised on cuspidariid taxonomy. All processing, sectioning and photography for sperm ultrastructure (TEM and SEM) was carried out by BivAToL EM technician Erica Lovas (Queensland Museum) at the Australian Microscopy &amp; Microanalysis Research Facility at the Centre for Microscopy and Microanalysis, University of Queensland (staff here thanked for access to facilities and technical assistance). The Department of Earth Sciences, University of Cambridge and the Natural History Museum (London) are thanked for the free use of their SEM facilities for shell microstructural work. Janeen Jones (FMNH) helped with specimen and data management. Participants in Field Museum's REU student internship program (supported by NSF DBI-084995 to Petra Sierwald), Emily Rudick (Temple University) and Hannah Wirtshafter (Carnegie Mellon University), assisted with SEM investigations. BivAToL illustrator Lisa Kanellos and research assistant Gracen Brilmyer (both FMNH) assisted with photography and artwork.; The MorphoBank team, especially Maureen O'Leary, facilitated the morphological research, helped develop tools, and accommodated our many requests to incorporate new features. PPS was supported by NSF Postdoctoral Research Fellowship in Biology Grant No. DBI-1202751. The very constructive input on an earlier draft by Carmen Salas (University of Malaga) and an anonymous reviewer are greatly appreciated.</t>
  </si>
  <si>
    <t>1445-5226</t>
  </si>
  <si>
    <t>1447-2600</t>
  </si>
  <si>
    <t>INVERTEBR SYST</t>
  </si>
  <si>
    <t>Invertebr. Syst.</t>
  </si>
  <si>
    <t>10.1071/IS13010</t>
  </si>
  <si>
    <t>Evolutionary Biology; Zoology</t>
  </si>
  <si>
    <t>AD2DJ</t>
  </si>
  <si>
    <t>Green Submitted, hybrid</t>
  </si>
  <si>
    <t>WOS:000333043200003</t>
  </si>
  <si>
    <t>Lagkouvardos, I; Weinmaier, T; Lauro, FM; Cavicchioli, R; Rattei, T; Horn, M</t>
  </si>
  <si>
    <t>Lagkouvardos, Ilias; Weinmaier, Thomas; Lauro, Federico M.; Cavicchioli, Ricardo; Rattei, Thomas; Horn, Matthias</t>
  </si>
  <si>
    <t>Integrating metagenomic and amplicon databases to resolve the phylogenetic and ecological diversity of the Chlamydiae</t>
  </si>
  <si>
    <t>ISME JOURNAL</t>
  </si>
  <si>
    <t>16S rRNA; next-generation sequencing; amplicon sequencing; metagenomics</t>
  </si>
  <si>
    <t>RIBOSOMAL-RNA SEQUENCES; SINGLE-CELL GENOMICS; ORDER CHLAMYDIALES; INTRACELLULAR BACTERIUM; ENVIRONMENTAL CHLAMYDIAE; FAMILY CHLAMYDIACEAE; MICROBIAL GENOMES; LIFE-STYLE; HOST-RANGE; FAM. NOV.</t>
  </si>
  <si>
    <t>In the era of metagenomics and amplicon sequencing, comprehensive analyses of available sequence data remain a challenge. Here we describe an approach exploiting metagenomic and amplicon data sets from public databases to elucidate phylogenetic diversity of defined microbial taxa. We investigated the phylum Chlamydiae whose known members are obligate intracellular bacteria that represent important pathogens of humans and animals, as well as symbionts of protists. Despite their medical relevance, our knowledge about chlamydial diversity is still scarce. Most of the nine known families are represented by only a few isolates, while previous clone library-based surveys suggested the existence of yet uncharacterized members of this phylum. Here we identified more than 22 000 high quality, non-redundant chlamydial 16S rRNA gene sequences in diverse databases, as well as 1900 putative chlamydial protein-encoding genes. Even when applying the most conservative approach, clustering of chlamydial 16S rRNA gene sequences into operational taxonomic units revealed an unexpectedly high species, genus and family-level diversity within the Chlamydiae, including 181 putative families. These in silico findings were verified experimentally in one Antarctic sample, which contained a high diversity of novel Chlamydiae. In our analysis, the Rhabdochlamydiaceae, whose known members infect arthropods, represents the most diverse and species-rich chlamydial family, followed by the protist-associated Parachlamydiaceae, and a putative new family (PCF8) with unknown host specificity. Available information on the origin of metagenomic samples indicated that marine environments contain the majority of the newly discovered chlamydial lineages, highlighting this environment as an important chlamydial reservoir.</t>
  </si>
  <si>
    <t>[Lagkouvardos, Ilias; Horn, Matthias] Univ Vienna, Dept Microbiol &amp; Ecosyst Sci, Div Microbial Ecol, A-1090 Vienna, Austria; [Weinmaier, Thomas; Rattei, Thomas] Univ Vienna, Dept Microbiol &amp; Ecosyst Sci, Div Computat Syst Biol, A-1090 Vienna, Austria; [Lauro, Federico M.; Cavicchioli, Ricardo] Univ New S Wales, Sch Biotechnol &amp; Biomol Sci, Sydney, NSW, Australia</t>
  </si>
  <si>
    <t>University of Vienna; University of Vienna; University of New South Wales Sydney</t>
  </si>
  <si>
    <t>Horn, M (corresponding author), Univ Vienna, Dept Microbia, Div Microbial Ecol, Althan St 14, A-1090 Vienna, Austria.</t>
  </si>
  <si>
    <t>horn@microbial-ecology.net</t>
  </si>
  <si>
    <t>Horn, Matthias/G-1136-2011; Weinmaier, Thomas/K-5780-2013; Rattei, Thomas/AFT-1776-2022; Lagkouvardos, Ilias/AAV-1857-2020; Lauro, Federico/X-2420-2019; Cavicchioli, Ricardo/D-4341-2013</t>
  </si>
  <si>
    <t>Horn, Matthias/0000-0002-8309-5855; Weinmaier, Thomas/0000-0002-9552-3220; Rattei, Thomas/0000-0002-0592-7791; Lagkouvardos, Ilias/0000-0001-9337-4033; Lauro, Federico/0000-0002-8373-1014; Cavicchioli, Ricardo/0000-0001-8989-6402</t>
  </si>
  <si>
    <t>Austrian Science Fund (FWF) [Y277-B03]; University of Vienna (Graduate School 'Symbiotic Interactions'); European Research Council (ERC StG 'EvoChlamy'); Australian Research Council; Australian Antarctic Science Program; Austrian Science Fund (FWF) [Y 277] Funding Source: researchfish; Austrian Science Fund (FWF) [Y277] Funding Source: Austrian Science Fund (FWF)</t>
  </si>
  <si>
    <t>Austrian Science Fund (FWF)(Austrian Science Fund (FWF)); University of Vienna (Graduate School 'Symbiotic Interactions'); European Research Council (ERC StG 'EvoChlamy'); Australian Research Council(Australian Research Council); Australian Antarctic Science Program; Austrian Science Fund (FWF)(Austrian Science Fund (FWF)); Austrian Science Fund (FWF)(Austrian Science Fund (FWF))</t>
  </si>
  <si>
    <t>This work was funded by Austrian Science Fund (FWF) Grant Y277-B03 and the University of Vienna (Graduate School 'Symbiotic Interactions'). Matthias Horn acknowledges support from the European Research Council (ERC StG 'EvoChlamy'). Research in RC's laboratory is supported by the Australian Research Council and the Australian Antarctic Science Program.</t>
  </si>
  <si>
    <t>NATURE PUBLISHING GROUP</t>
  </si>
  <si>
    <t>MACMILLAN BUILDING, 4 CRINAN ST, LONDON N1 9XW, ENGLAND</t>
  </si>
  <si>
    <t>1751-7362</t>
  </si>
  <si>
    <t>1751-7370</t>
  </si>
  <si>
    <t>ISME J</t>
  </si>
  <si>
    <t>ISME J.</t>
  </si>
  <si>
    <t>10.1038/ismej.2013.142</t>
  </si>
  <si>
    <t>Ecology; Microbiology</t>
  </si>
  <si>
    <t>Environmental Sciences &amp; Ecology; Microbiology</t>
  </si>
  <si>
    <t>274KM</t>
  </si>
  <si>
    <t>Green Published, Bronze</t>
  </si>
  <si>
    <t>WOS:000328605200012</t>
  </si>
  <si>
    <t>Bothale, RV; Rao, PVN; Dutt, CBS; Dadhwal, VK</t>
  </si>
  <si>
    <t>Dadhwal, VK; Diwakar, PG; Seshasai, MVR; Raju, PLN; Hakeem, A</t>
  </si>
  <si>
    <t>Bothale, Rajashree V.; Rao, P. V. N.; Dutt, C. B. S.; Dadhwal, V. K.</t>
  </si>
  <si>
    <t>DYNAMICS OF SURFACE MELTING OVER AMERY AND ROSS ICE SHELF IN ANTARCTIC USING OSCAT DATA</t>
  </si>
  <si>
    <t>ISPRS TECHNICAL COMMISSION VIII SYMPOSIUM</t>
  </si>
  <si>
    <t>International Archives of the Photogrammetry Remote Sensing and Spatial Information Sciences</t>
  </si>
  <si>
    <t>ISPRS Technical Commission VIII Symposium</t>
  </si>
  <si>
    <t>DEC 09-12, 2014</t>
  </si>
  <si>
    <t>Hyderabad, INDIA</t>
  </si>
  <si>
    <t>Antarctic ice shelf; Amery; Ross; OSCAT; Melt; Freeze</t>
  </si>
  <si>
    <t>Antarctic sea ice sheets play an important role in modulating the climate system. The present study investigates the dynamics of melt/freeze over Amery and Ross ice shelf located in Eastern and Southern part of continent using OSCAT, the microwave scatterometer data from OCEANSAT2. The study utilizes the sensitivity of backscatter coefficient values of scatterometer data to presence of liquid water in the snow caused due to melt conditions. The analysis carried out for four austral winters from 2010-2013 and five austral summer from 2009-2014 showed spatial and temporal variations in average backscatter coefficient over Amery and Ross shelf areas. A dynamic threshold based on the austral winter mean and standard deviation of HH polarization is considered for pixel by pixel analysis for the shelf area. There is significant spatio-temporal variability in melt extent, duration and melt index as observed in the analysis. Spatially, the melt over Amery shelf moves from South to North along coast and West towards inner shelf area. Maximum mean melt occurs on 9th January with January1-15 fortnight accounting for 80% of the melt. Extreme low melt conditions were observed during summer 2010-11 and 2011-12 indicating cold summer. Summer 2012-13 and 2013-14 were warm summer. Year 2014 experienced melt only in the month of January with entire shelf under melt conditions. Practically no melt was observed over Ross ice shelf.</t>
  </si>
  <si>
    <t>[Bothale, Rajashree V.; Rao, P. V. N.; Dutt, C. B. S.; Dadhwal, V. K.] ISRO, Natl Remote Sensing Ctr, Hyderabad, Andhra Pradesh, India</t>
  </si>
  <si>
    <t>Department of Space (DoS), Government of India; Indian Space Research Organisation (ISRO); National Remote Sensing Centre (NRSC)</t>
  </si>
  <si>
    <t>Bothale, RV (corresponding author), ISRO, Natl Remote Sensing Ctr, Hyderabad, Andhra Pradesh, India.</t>
  </si>
  <si>
    <t>rajashree_vb@nrsc.gov.in</t>
  </si>
  <si>
    <t>Dadhwal, Vinay K/F-9825-2010</t>
  </si>
  <si>
    <t>BAHNHOFSALLE 1E, GOTTINGEN, 37081, GERMANY</t>
  </si>
  <si>
    <t>2194-9034</t>
  </si>
  <si>
    <t>INT ARCH PHOTOGRAMM</t>
  </si>
  <si>
    <t>40-8</t>
  </si>
  <si>
    <t>10.5194/isprsarchives-XL-8-505-2014</t>
  </si>
  <si>
    <t>Geography, Physical; Remote Sensing; Imaging Science &amp; Photographic Technology</t>
  </si>
  <si>
    <t>Physical Geography; Remote Sensing; Imaging Science &amp; Photographic Technology</t>
  </si>
  <si>
    <t>BE1RK</t>
  </si>
  <si>
    <t>WOS:000368425300079</t>
  </si>
  <si>
    <t>Jawak, SD; Luis, AJ</t>
  </si>
  <si>
    <t>Jawak, S. D.; Luis, A. J.</t>
  </si>
  <si>
    <t>SYNERGETIC MERGING OF CARTOSAT-1 AND RAMP TO GENERATE IMPROVED DIGITAL ELEVATION MODEL OF SCHIRMACHER OASIS, EAST ANTARCTICA</t>
  </si>
  <si>
    <t>Cartosat-1; RAMPv2; DEM; interpolation methods</t>
  </si>
  <si>
    <t>LIDAR-DERIVED ELEVATION; DEM; ACCURACY; SLOPE</t>
  </si>
  <si>
    <t>Available digital elevation models (DEMs) of Antarctic region generated by using radar altimetry and the Antarctic digital database (ADD) indicate elevation variations of up to hundreds of meters, which necessitates the generation of local DEM and its validation by using ground reference. An enhanced digital elevation model (eDEM) of the Schirmacher oasis region, east Antarctica, is generated synergistically by using Cartosat-1 stereo pair-derived photogrammetric DEM (CartoDEM)-based point elevation dataset and multitemporal radarsat Antarctic mapping project version 2 (RAMPv2) DEM-based point elevation dataset. In this study, we analyzed suite of interpolation techniques for constructing a DEM from RAMPv2 and CartoDEM-based point elevation datasets, in order to determine the level of confidence with which the interpolation techniques can generate a better interpolated continuous surface, and eventually improves the elevation accuracy of DEM from synergistically fused RAMPv2 and CartoDEM point elevation datasets. RAMPv2 points and CartoDEM points were used as primary data for various interpolation techniques such as ordinary kriging (OK), simple kriging (SK), universal kriging (UK), disjunctive kriging (DK) techniques, inverse distance weighted (IDW), global polynomial (GP) with power 1 and 2, local polynomial (LP) and radial basis functions (RBF). Cokriging of 2 variables with second dataset was used for ordinary cokriging (OCoK), simple cokriging (SCoK), universal cokriging (UCoK) and disjunctive cokriging (DCoK). The IDW, GP, LP, RBF, and kriging methods were applied to one variable, while Cokriging experiments were employed on two variables. The experiment of dataset and its combination produced two types of point elevation map categorized as (1) one variable (RAMPv2 Point maps and CartoDEM Point maps) and (2) two variables (RAMPv2 Point maps + CartoDEM Point maps). Interpolated surfaces were evaluated with the help of differential global positioning system (DGPS) points collected from study area during the Indian Scientific Expedition to Antarctic (ISEA). Accuracy assessment of the RAMPv2 DEM, CartoDEM, and combined eDEM (RAMPv2 + CartoDEM) by using DGPS as ground reference data shows that eDEM achieves much better accuracy (average elevation error 8.44 m) than that of existing DEM constructed by using only CartoDEM (13.57 m) or RAMPv2 (41.44 m) alone. The newly constructed eDEM achieves a vertical accuracy of about 7 times better than RAMPv2 DEM and 1.5 times better than CartoDEM. After using accurate DGPS data for accuracy assessment, the approximation to the actual surface of the eDEM extracted here is much more accurate with least mean root mean square error (RMSE) of 9.22 m than that constructed by using only CartoDEM (RMSE=14.15 m) point elevation data and RAMPv2 (RMSE=69.48 m) point elevation data. Our results indicate that, the overall trend of accuracy for the interpolation methods for generating continuous elevation surface from CartoDEM + RAMPv2 point elevation data, based on RMSE, is as follows: GP1 &gt; IDW &gt; GP2 &gt; OK &gt; LP2 &gt; DK &gt; LP1 &gt; RBF &gt; SK &gt; UK. In case of cokriging interpolation methods, OCoK yields more accurate eDEM with the least RMSE of 8.16 m, which can be utilized to generate a highly accurate DEM of the research area.. Based on this work, it is inferred that GP2 and OCok interpolation methods and synergistic use of RAMPv2 and CartoDEM-based point elevation datasets lead to a highly accurate DEM of the study region. This research experiment demonstrates the stability (w.r. t multi-temporal datasets), performance (w.r.t best interpolation technique) and consistency (w.r.t all the experimented interpolation techniques) of synergistically fused eDEM. On the basis of average elevation difference and RMSE mentioned in present research, the newly constructed eDEM may serve as a benchmark for future elevation models such as from the ICESAT-II mission to spatially monitor ice sheet elevation.</t>
  </si>
  <si>
    <t>[Jawak, S. D.; Luis, A. J.] Govt India, Minist Earth Sci, Earth Syst Sci Org, Natl Ctr Antarctic &amp; Ocean Res, Vasco Da Gama 403804, Goa, India</t>
  </si>
  <si>
    <t>Ministry of Earth Sciences (MoES) - India; National Centre for Polar and Ocean Research (NCPOR); Earth System Science Organization (ESSO)</t>
  </si>
  <si>
    <t>Jawak, SD (corresponding author), Govt India, Minist Earth Sci, Earth Syst Sci Org, Natl Ctr Antarctic &amp; Ocean Res, Vasco Da Gama 403804, Goa, India.</t>
  </si>
  <si>
    <t>shridhar.jawak@ncaor.gov.in</t>
  </si>
  <si>
    <t>Jawak, Shridhar/G-9678-2012</t>
  </si>
  <si>
    <t>Jawak, Shridhar/0000-0002-0648-3109; Luis, Dr Alvarinho J./0000-0002-3425-8048</t>
  </si>
  <si>
    <t>10.5194/isprsarchives-XL-8-517-2014</t>
  </si>
  <si>
    <t>WOS:000368425300081</t>
  </si>
  <si>
    <t>Jayaprasad, P; Rajak, DR; Singh, RK; Oza, SR; Sharma, R; Kumar, R</t>
  </si>
  <si>
    <t>Jayaprasad, P.; Rajak, D. Ram; Singh, Rajkumar Kamaljit; Oza, Sandip R.; Sharma, Rashmi; Kumar, Raj</t>
  </si>
  <si>
    <t>ICE CALVING AND DEFORMATION FROM ANTARCTIC ICE MARGINS USING RISAT-1 CIRCULAR POLARIZATION SAR DATA</t>
  </si>
  <si>
    <t>SAR; Ice Calving; change detection; RISAT-1; ISEA</t>
  </si>
  <si>
    <t>EAST ANTARCTICA; SHELF; DYNAMICS; GLACIERS</t>
  </si>
  <si>
    <t>In the present study, quantification of spatial and temporal changes has been carried out between Indian Antarctic Research station Bharati and Amery ice shelf by monitoring the ice margins using RISAT-1 Synthetic Aperture Radar (SAR) data. Spatio-temporal change detection was carried out by comparing the feature's geographic locations from geometrically rectified SAR data from RISAT-1 (Dec. 2013), Radarsat-2 (Feb. 2013), and Antarctic Mapping Mission products of Radarsat-1 (1997 &amp; 2000). We report large scale disintegrations at two prominent glacier tongues namely Polar Record Glacier (PRG) and Polar Times Glacier(PTG). The results are verified against in-situ ground observations made during Summer period of 33rd ISEA (Dec. 2013 - Feb. 2014) and MODIS images from NSIDC archive. Polar Record Glacier Tongue (PRGT) was drastically deformed by 135.8 km(2) and Polar Times Glacier Tongue (PTGT) was partly calved by similar to 195.6 km(2) and moved away by similar to 23 km especially between February and December 2013.</t>
  </si>
  <si>
    <t>[Jayaprasad, P.; Rajak, D. Ram; Singh, Rajkumar Kamaljit; Oza, Sandip R.; Sharma, Rashmi; Kumar, Raj] Space Applicat Ctr ISRO, EPSA, Atmospher &amp; Ocean Sci Grp, Ahmadabad 380015, Gujarat, India</t>
  </si>
  <si>
    <t>Department of Space (DoS), Government of India; Indian Space Research Organisation (ISRO); Space Applications Centre (SAC)</t>
  </si>
  <si>
    <t>Jayaprasad, P (corresponding author), Space Applicat Ctr ISRO, EPSA, Atmospher &amp; Ocean Sci Grp, Ahmadabad 380015, Gujarat, India.</t>
  </si>
  <si>
    <t>jayaprasadp@sac.isro.gov.in; rajakdr@sac.isro.gov.in; rksingh@sac.isro.gov.in; sandipoza@sac.isro.gov.in; rashmi@sac.isro.gov.in; rksharma@sac.isro.gov.in</t>
  </si>
  <si>
    <t>kumar, Raj/JFS-5911-2023; Rajkumar, Kamaljit/I-8045-2013; Kumar, Rajendra/KCK-1621-2024</t>
  </si>
  <si>
    <t>Rajkumar, Kamaljit/0000-0001-8864-3526;</t>
  </si>
  <si>
    <t>10.5194/isprsarchives-XL-8-525-2014</t>
  </si>
  <si>
    <t>WOS:000368425300082</t>
  </si>
  <si>
    <t>Jawak, SD; Panditrao, SN; Luis, AJ</t>
  </si>
  <si>
    <t>Jawak, S. D.; Panditrao, S. N.; Luis, A. J.</t>
  </si>
  <si>
    <t>AIRBORNE LIDAR AND HIGH RESOLUTION SATELLITE DATA FOR RAPID 3D FEATURE EXTRACTION</t>
  </si>
  <si>
    <t>LiDAR; Feature Extraction; Canopy Height Model (CHM); Accuracy</t>
  </si>
  <si>
    <t>SMALL-FOOTPRINT; SAMPLING DENSITY; FOREST; TREES; HEIGHT</t>
  </si>
  <si>
    <t>This work uses the canopy height model (CHM) based workflow for individual tree crown delineation and 3D feature extraction approach (Overwatch Geospatial's proprietary algorithm) for building feature delineation from high-density light detection and ranging (LiDAR) point cloud data in an urban environment and evaluates its accuracy by using very high-resolution panchromatic (PAN) (spatial) and 8-band (multispectral) WorldView-2 (WV-2) imagery. LiDAR point cloud data over San Francisco, California, USA, recorded in June 2010, was used to detect tree and building features by classifying point elevation values. The workflow employed includes resampling of LiDAR point cloud to generate a raster surface or digital terrain model (DTM), generation of a hill-shade image and an intensity image, extraction of digital surface model, generation of bare earth digital elevation model (DEM) and extraction of tree and building features. First, the optical WV-2 data and the LiDAR intensity image were co-registered using ground control points (GCPs). The WV-2 rational polynomial coefficients model (RPC) was executed in ERDAS Leica Photogrammetry Suite (LPS) using supplementary *.RPB file. In the second stage, ortho-rectification was carried out using ERDAS LPS by incorporating well-distributed GCPs. The root mean square error (RMSE) for the WV-2 was estimated to be 0.25 m by using more than 10 well-distributed GCPs. In the second stage, we generated the bare earth DEM from LiDAR point cloud data. In most of the cases, bare earth DEM does not represent true ground elevation. Hence, the model was edited to get the most accurate DEM/DTM possible and normalized the LiDAR point cloud data based on DTM in order to reduce the effect of undulating terrain. We normalized the vegetation point cloud values by subtracting the ground points (DEM) from the LiDAR point cloud. A normalized digital surface model (nDSM) or CHM was calculated from the LiDAR data by subtracting the DEM from the DSM. The CHM or the normalized DSM represents the absolute height of all aboveground urban features relative to the ground. After normalization, the elevation value of a point indicates the height from the ground to the point. The above-ground points were used for tree feature and building footprint extraction. In individual tree extraction, first and last return point clouds were used along with the bare earth and building footprint models discussed above. In this study, scene dependent extraction criteria were employed to improve the 3D feature extraction process. LiDAR-based refining/filtering techniques used for bare earth layer extraction were crucial for improving the subsequent 3D features (tree and building) feature extraction. The PAN-sharpened WV-2 image (with 0.5 m spatial resolution) was used to assess the accuracy of LiDAR-based 3D feature extraction. Our analysis provided an accuracy of 98% for tree feature extraction and 96% for building feature extraction from LiDAR data. This study could extract total of 15143 tree features using CHM method, out of which total of 14841 were visually interpreted on PAN-sharpened WV-2 image data. The extracted tree features included both shadowed (total 13830) and non-shadowed (total 1011). We note that CHM method could overestimate total of 302 tree features, which were not observed on the WV-2 image. One of the potential sources for tree feature overestimation was observed in case of those tree features which were adjacent to buildings. In case of building feature extraction, the algorithm could extract total of 6117 building features which were interpreted on WV-2 image, even capturing buildings under the trees (total 605) and buildings under shadow (total 112). Overestimation of tree and building features was observed to be limiting factor in 3D feature extraction process. This is due to the incorrect filtering of point cloud in these areas. One of the potential sources of overestimation was the man-made structures, including skyscrapers and bridges, which were confounded and extracted as buildings. This can be attributed to low point density at building edges and on flat roofs or occlusions due to which LiDAR cannot give as much precise planimetric accuracy as photogrammetric techniques (in segmentation) and lack of optimum use of textural information as well as contextual information (especially at walls which are away from roof) in automatic extraction algorithm. In addition, there were no separate classes for bridges or the features lying inside the water and multiple water height levels were also not considered. Based on these inferences, we conclude that the LiDAR-based 3D feature extraction supplemented by high resolution satellite data is a potential application which can be used for understanding and characterization of urban setup.</t>
  </si>
  <si>
    <t>[Jawak, S. D.; Luis, A. J.] Govt India, Minist Earth Sci, Natl Ctr Antarctic &amp; Ocean Res, Vasco Da Gama 403804, Goa, India; [Panditrao, S. N.] Govt India, Minist Earth Sci, Indian Natl Ctr Ocean Informat Serv, Hyderabad 500090, Andhra Pradesh, India</t>
  </si>
  <si>
    <t>Ministry of Earth Sciences (MoES) - India; National Centre for Polar and Ocean Research (NCPOR); Ministry of Earth Sciences (MoES) - India; Indian National Centre for Ocean Information Services (INCOIS)</t>
  </si>
  <si>
    <t>Jawak, SD (corresponding author), Govt India, Minist Earth Sci, Natl Ctr Antarctic &amp; Ocean Res, Vasco Da Gama 403804, Goa, India.</t>
  </si>
  <si>
    <t>shridhar.jawak@gmail.com; satej.panditrao@gmail.com; alvluis1@gmail.com</t>
  </si>
  <si>
    <t>10.5194/isprsarchives-XL-8-573-2014</t>
  </si>
  <si>
    <t>WOS:000368425300090</t>
  </si>
  <si>
    <t>ENHANCED URBAN LANDCOVER CLASSIFICATION FOR OPERATIONAL CHANGE DETECTION STUDY USING VERY HIGH RESOLUTION REMOTE SENSING DATA</t>
  </si>
  <si>
    <t>WorldView-2; QuickBird; Support Vector Machine; Change Detection</t>
  </si>
  <si>
    <t>This study presents an operational case of advancements in urban land cover classification and change detection by using very high resolution spatial and multispectral information from 4-band QuickBird (QB) and 8-band WorldView-2 (WV-2) image sequence. Our study accentuates quantitative, pixel based, image difference approach for operational change detection using very high resolution pansharpened QB and WV-2 images captured over San Francisco city, California, USA (37 degrees 44 '' 30N', 122 degrees 31 '' 30' W and 37 degrees 41 '' 30' N,122 degrees 20 '' 30' W). In addition to standard QB image, we compiled three multiband images from eight pansharpened WV-2 bands: (1) multiband image from four traditional spectral bands, i.e., Blue, Green, Red and near-infrared 1 (NIR1) (henceforth referred as QB equivalent WV-2), (2) multiband image from four new spectral bands, i.e., Coastal, Yellow, Red Edge and NIR2 (henceforth referred as new band WV-2), and (3) multiband image consisting of four traditional and four new bands (henceforth referred as standard WV-2). All the four multiband images were classified using support vector machine (SVM) classifier into four most abundant land cover classes, viz, hard surface, vegetation, water and shadow. The assessment of classification accuracy was performed using random selection of 356 test points. Land cover classifications on standard QB image (kappa coeffiecient, kappa = 0.93), QB equivalent WV-2 image (kappa = 0.97), and new band WV-2 image (kappa = 0.97) yielded overall accuracies of 96.31%, 98.03% and 98.31%, respectively, while standard WV-2 image (kappa = 0.99) yielded an improved overall accuracy of 99.18%. It is concluded that the addition of four new spectral bands to the existing four traditional bands improved the discrimination of land cover targets, due to increase in the spectral characteristics of WV-2 satellite. Consequently, to test the validity of improvement in classification process for implementation in operational change detection application, comparative assessment of transition of various landcover classes in three WV-2 images with respect to standard QB image was carried out using image difference method. As far as waterbody class is concerned, there was no significant transition observed in all the three WorldView-2 Images, whereas, hard surface class showed lowest transition in standard WV-2 image and highest in case of new band WV-2. The most significant transition was occurred in vegetation class in all of the three images, showing positive change (increase) in standard WV-2 image (0.31 Sq. Km) and negative change (decrease) in other two images (-0.12 Sq. Km for QB equivalent WV-2 image and -31.15 Sq. Km in new band WV-2 image) with considerable amount. Similar case was observed with the shadow class, but the difference is, transition from shadow to other classes was negative in all the three WV-2 images which can be attributed to the fact that, standard QB image had more shadow area (based on acquisition time and sun position) than WV-2, that means all the band combinations of WV-2 succeeded in extracting the features hidden below the shadow in  standard QB image. These trends indicate that the overall bandwise transition in landcover classes in case of standard WV-2 is more precise than other two images. We note that QB equivalent WV-2 image had narrower band widths than those of standard QB image but the observed vegetation change is not prominent as in case of other two images, but at the same time, transition in hard surface and waterbody was discerned more efficiently than new band WV-2 image. The addition of new bands in WV-2 enabled more effective vegetation analysis, so the vegetation transition results shown by new band WV-2 image were at par with the standard WV-2 image, showing the importance of these newly added bands in the WV-2 imagery, with comparatively lower transitions in other classes. In a nutshell, it can be claimed that incorporation of new bands along with even narrower Red, Green, Blue and Near Infrared-1 bands in WV-2 image holds remarkable importance which leads to enhancement in the potential of WV-2 imagery in change detection and other feature extraction studies.</t>
  </si>
  <si>
    <t>Jawak, Shridhar/0000-0002-0648-3109</t>
  </si>
  <si>
    <t>10.5194/isprsarchives-XL-8-773-2014</t>
  </si>
  <si>
    <t>WOS:000368425300120</t>
  </si>
  <si>
    <t>Bazzano, A; Grotti, M</t>
  </si>
  <si>
    <t>Bazzano, Andrea; Grotti, Marco</t>
  </si>
  <si>
    <t>Determination of lead isotope ratios in environmental matrices by quadrupole ICP-MS working at low sample consumption rates</t>
  </si>
  <si>
    <t>JOURNAL OF ANALYTICAL ATOMIC SPECTROMETRY</t>
  </si>
  <si>
    <t>DYNAMIC REACTION CELL; PLASMA-MASS SPECTROMETRY; ATMOSPHERIC LEAD; SHEATHING GAS; OPTIMIZATION; MICROSAMPLES; CAVITY; FIELD; SNOW</t>
  </si>
  <si>
    <t>Measurement of lead isotope ratios in environmental matrices using inductively coupled plasma-dynamic reaction cell-mass spectrometry at low sample consumption rates was investigated. Two micro-sample introduction systems were evaluated, namely the PFA micronebuliser associated with a low-volume spray chamber, working at 150 mu L min(-1) and the total-consumption sample introduction system TISIS, operating at 20 mu L min(-1). In both cases, the dynamic reaction cell pressurised with ammonia was applied to improve the precision by collisional damping. Under optimal operating conditions, Pb-208/Pb-207 and Pb-206/Pb-207 ratios were accurately determined with an internal precision of 0.12-0.13% and 0.17-0.18% (%RSD, n = 10, c = 10 mu g L-1; t = 10 s). The sample consumption for the assessed sample introduction systems was less than 1.5 mL and 200 mu L, allowing the precise analysis of limited-size samples and pre-concentrates. The developed method was characterised in terms of the analytical working range, in-cell interference, and uncertainty estimation. The applicability of the analytical method was demonstrated by the analysis of the lichen reference material CRM 482, as well as those of several environmental samples collected from polar regions, including atmospheric particulate, snow, marine suspended particulate matter and sediment. In particular, by combining a simple pre-concentration procedure with the application of TISIS, it was possible to perform the lead isotope analysis of Antarctic snow samples at the pg g(-1) concentration level.</t>
  </si>
  <si>
    <t>[Bazzano, Andrea; Grotti, Marco] Univ Genoa, Dept Chem &amp; Ind Chem, I-16146 Genoa, Italy</t>
  </si>
  <si>
    <t>University of Genoa</t>
  </si>
  <si>
    <t>Grotti, M (corresponding author), Univ Genoa, Dept Chem &amp; Ind Chem, Via Dodecaneso 31, I-16146 Genoa, Italy.</t>
  </si>
  <si>
    <t>grotti@chimica.unige.it</t>
  </si>
  <si>
    <t>Bazzano, Andrea/O-2879-2019; Grotti, Marco/HGU-3949-2022; Bazzano, Andrea/B-9574-2016</t>
  </si>
  <si>
    <t>Bazzano, Andrea/0000-0002-9353-3919; Grotti, Marco/0000-0001-6956-5761; Bazzano, Andrea/0000-0002-9353-3919</t>
  </si>
  <si>
    <t>Italian Ministry of University and Research [PRIN-20092C7KRC]; Italian National Program for Research in Antarctica [2009/A2.11-PNRA]</t>
  </si>
  <si>
    <t>Italian Ministry of University and Research(Ministry of Education, Universities and Research (MIUR)); Italian National Program for Research in Antarctica(Ministry of Education, Universities and Research (MIUR))</t>
  </si>
  <si>
    <t>This study was.financially supported by the Italian Ministry of University and Research (project PRIN-20092C7KRC) and by the Italian National Program for Research in Antarctica (project 2009/A2.11-PNRA).</t>
  </si>
  <si>
    <t>ROYAL SOC CHEMISTRY</t>
  </si>
  <si>
    <t>CAMBRIDGE</t>
  </si>
  <si>
    <t>THOMAS GRAHAM HOUSE, SCIENCE PARK, MILTON RD, CAMBRIDGE CB4 0WF, CAMBS, ENGLAND</t>
  </si>
  <si>
    <t>0267-9477</t>
  </si>
  <si>
    <t>1364-5544</t>
  </si>
  <si>
    <t>J ANAL ATOM SPECTROM</t>
  </si>
  <si>
    <t>J. Anal. At. Spectrom.</t>
  </si>
  <si>
    <t>10.1039/c3ja50388g</t>
  </si>
  <si>
    <t>Chemistry, Analytical; Spectroscopy</t>
  </si>
  <si>
    <t>Chemistry; Spectroscopy</t>
  </si>
  <si>
    <t>AF5ER</t>
  </si>
  <si>
    <t>WOS:000334737300016</t>
  </si>
  <si>
    <t>Zhang, JL</t>
  </si>
  <si>
    <t>Zhang, Jinlun</t>
  </si>
  <si>
    <t>Modeling the Impact of Wind Intensification on Antarctic Sea Ice Volume</t>
  </si>
  <si>
    <t>JOURNAL OF CLIMATE</t>
  </si>
  <si>
    <t>Atmosphere-ocean interaction; Climate variability; Ice thickness; Numerical analysis; modeling; Wind effects</t>
  </si>
  <si>
    <t>SOUTHERN ANNULAR MODE; THICKNESS DISTRIBUTION; HEMISPHERE; VARIABILITY; OCEAN; CLIMATE; TRENDS; TEMPERATURE; REANALYSES</t>
  </si>
  <si>
    <t>A global sea ice-ocean model is used to examine the impact of wind intensification on Antarctic sea ice volume. Based on the NCEP-NCAR reanalysis data, there are increases in surface wind speed (0.13% yr(-1)) and convergence (0.66% yr(-1)) over the ice-covered areas of the Southern Ocean during the period 1979-2010. Driven by the intensifying winds, the model simulates an increase in sea ice speed, convergence, and shear deformation rate, which produces an increase in ridge ice production in the Southern Ocean (1.1% yr(-1)). The increased ridged ice production is mostly in the Weddell, Bellingshausen, Amundsen, and Ross Seas where an increase in wind convergence dominates. The increase in ridging production contributes to an increase in the volume of thick ice (thickness &gt; 2m) in the Southern Ocean, while the volumes of thin ice (thickness 1m) and medium thick ice (1m &lt; thickness 2m) remain unchanged over the period 1979-2010. The increase in thick ice leads to an increase in ice volume in the Southern Ocean, particularly in the southern Weddell Sea where a significant increase in ice concentration is observed. The simulated increase in either the thick ice volume (0.91% yr(-1)) or total ice volume (0.46% yr(-1)) is significantly greater than other ice parameters (simulated or observed) such as ice extent (0.14-0.21% yr(-1)) or ice area fraction (0.24%-0.28% yr(-1)), suggesting that ice volume is a potentially strong measure of change.</t>
  </si>
  <si>
    <t>Univ Washington, Polar Sci Ctr, Appl Phys Lab, Seattle, WA 98105 USA</t>
  </si>
  <si>
    <t>University of Washington; University of Washington Seattle</t>
  </si>
  <si>
    <t>Zhang, JL (corresponding author), Univ Washington, Polar Sci Ctr, Appl Phys Lab, 1013 NE 40th St, Seattle, WA 98105 USA.</t>
  </si>
  <si>
    <t>zhang@apl.washington.edu</t>
  </si>
  <si>
    <t>National Science Foundation Office of Polar Programs [ANT-0838769]</t>
  </si>
  <si>
    <t>National Science Foundation Office of Polar Programs(National Science Foundation (NSF)NSF - Directorate for Geosciences (GEO))</t>
  </si>
  <si>
    <t>This work was supported by the National Science Foundation Office of Polar Programs (Grant ANT-0838769). The author thanks Dr. J. Comiso for providing the satellite observed ice extent trend and Dr. R. Kwok and three anonymous reviewers for constructive comments. The buoy drift data are from the International Programme for Antarctic Buoys, available at the NSIDC, and the satellite ice concentration data are from the Met Office Hadley Centre.</t>
  </si>
  <si>
    <t>AMER METEOROLOGICAL SOC</t>
  </si>
  <si>
    <t>BOSTON</t>
  </si>
  <si>
    <t>45 BEACON ST, BOSTON, MA 02108-3693 USA</t>
  </si>
  <si>
    <t>0894-8755</t>
  </si>
  <si>
    <t>1520-0442</t>
  </si>
  <si>
    <t>J CLIMATE</t>
  </si>
  <si>
    <t>J. Clim.</t>
  </si>
  <si>
    <t>10.1175/JCLI-D-12-00139.1</t>
  </si>
  <si>
    <t>Meteorology &amp; Atmospheric Sciences</t>
  </si>
  <si>
    <t>283VV</t>
  </si>
  <si>
    <t>WOS:000329276000013</t>
  </si>
  <si>
    <t>Bryan, FO; Gent, PR; Tomas, R</t>
  </si>
  <si>
    <t>Bryan, Frank O.; Gent, Peter R.; Tomas, Robert</t>
  </si>
  <si>
    <t>Can Southern Ocean Eddy Effects Be Parameterized in Climate Models?</t>
  </si>
  <si>
    <t>Climate models; Model evaluation; performance; Parameterization</t>
  </si>
  <si>
    <t>MERIDIONAL HEAT-TRANSPORT; GENERAL-CIRCULATION MODEL; SEA-ICE; CCSM4; SENSITIVITY; MECHANISMS; SIMULATION; EDDIES; IMPACT; WINDS</t>
  </si>
  <si>
    <t>Present-day control and 1% yr(-1) increasing carbon dioxide runs have been made using two versions of the Community Climate System Model, version 3.5. One uses the standard versions of the ocean and sea ice components where the horizontal resolution is 1 degrees and the effects of mesoscale eddies are parameterized, and the second uses a resolution of 1/10 degrees where the eddies are resolved. This is the first time the parameterization has been tested in a climate change run compared to an eddy-resolving run. The comparison is made not straightforward by the fact that the two control run climates are not the same, especially in their sea ice distributions. The focus is on the Antarctic Circumpolar Current region, where the effects of eddies are of leading order. The conclusions are that many of the differences in the two carbon dioxide transient forcing runs can be explained by the different control run sea ice distributions around Antarctica, but there are some quantitative differences in the meridional overturning circulation, poleward heat transport, and zonally averaged heat uptake when the eddies are parameterized rather than resolved.</t>
  </si>
  <si>
    <t>[Bryan, Frank O.; Gent, Peter R.; Tomas, Robert] NCAR, Boulder, CO 80307 USA</t>
  </si>
  <si>
    <t>National Center Atmospheric Research (NCAR) - USA</t>
  </si>
  <si>
    <t>Bryan, FO (corresponding author), NCAR, POB 3000, Boulder, CO 80307 USA.</t>
  </si>
  <si>
    <t>bryan@ucar.edu</t>
  </si>
  <si>
    <t>Gent, Peter/HGB-9457-2022; Bryan, Frank/I-1309-2016</t>
  </si>
  <si>
    <t>Bryan, Frank/0000-0003-1672-8330</t>
  </si>
  <si>
    <t>PetaApps project; National Science Foundation; NSF</t>
  </si>
  <si>
    <t>PetaApps project; National Science Foundation(National Science Foundation (NSF)); NSF(National Science Foundation (NSF))</t>
  </si>
  <si>
    <t>The authors thank Cecilia Bitz and Ryan Abernathey for illuminating discussions on sea ice and Southern Ocean dynamics, respectively. The control runs were completed under the auspices of the PetaApps project. All integrations were performed on the Kraken Cray XT5, which is located at the Oak Ridge National Laboratory and funded by the National Science Foundation. NCAR is also supported by the NSF.</t>
  </si>
  <si>
    <t>10.1175/JCLI-D-12-00759.1</t>
  </si>
  <si>
    <t>WOS:000329276000027</t>
  </si>
  <si>
    <t>Peck, LS; Morley, SA; Richard, J; Clark, MS</t>
  </si>
  <si>
    <t>Peck, Lloyd S.; Morley, Simon A.; Richard, Joelle; Clark, Melody S.</t>
  </si>
  <si>
    <t>Acclimation and thermal tolerance in Antarctic marine ectotherms</t>
  </si>
  <si>
    <t>JOURNAL OF EXPERIMENTAL BIOLOGY</t>
  </si>
  <si>
    <t>Climate change; Warming; CTmax; Invertebrate; Fish; Polar</t>
  </si>
  <si>
    <t>UPPER TEMPERATURE TOLERANCES; CLIMATE-CHANGE; ADAPTATION; LIMITS; METABOLISM; STRESS; FISH; PERFORMANCE; DEPENDENCE; PHYSIOLOGY</t>
  </si>
  <si>
    <t>Antarctic marine species have evolved in one of the coldest and most temperature-stable marine environments on Earth. They have long been classified as being stenothermal, or having a poor capacity to resist warming. Here we show that their ability to acclimate their physiology to elevated temperatures is poor compared with species from temperate latitudes, and similar to those from the tropics. Those species that have been demonstrated to acclimate take a very long time to do so, with Antarctic fish requiring up to 21-36 days to acclimate, which is 2-4 times as long as temperate species, and invertebrates requiring between 2 and 5 months to complete whole-animal acclimation. Investigations of upper thermal tolerance (CTmax) in Antarctic marine species have shown that as the rate of warming is reduced in experiments, CTmax declines markedly, ranging from 8 to 17.5 degrees C across 13 species at a rate of warming of 1 degrees C day(-1), and from 1 to 6 degrees C at a rate of 1 degrees C month(-1). This effect of the rate of warming on CTmax also appears to be present at all latitudes. A macrophysiological analysis of long-term CTmax across latitudes for marine benthic groups showed that both Antarctic and tropical species were less resistant to elevated temperatures in experiments and thus had lower warming allowances (measured as the difference between long-term CTmax and experienced environmental temperature), or warming resistance, than temperate species. This makes them more at risk from warming than species from intermediate latitudes. This suggests that the variability of environmental temperature may be a major factor in dictating an organism's responses to environmental change.</t>
  </si>
  <si>
    <t>[Peck, Lloyd S.; Morley, Simon A.; Clark, Melody S.] British Antarctic Survey, Cambridge CB3 0ET, England; [Richard, Joelle] European Inst Marine Studies, Marine Environm Sci Lab, LEMAR UMR6539, F-29280 Plouzane, France</t>
  </si>
  <si>
    <t>UK Research &amp; Innovation (UKRI); Natural Environment Research Council (NERC); NERC British Antarctic Survey; Universite de Bretagne Occidentale; Institut Universitaire Europeen de la Mer (IUEM); Centre National de la Recherche Scientifique (CNRS); CNRS - Institute of Ecology &amp; Environment (INEE); Ifremer; Institut de Recherche pour le Developpement (IRD)</t>
  </si>
  <si>
    <t>Peck, LS (corresponding author), British Antarctic Survey, High Cross,Madingley Rd, Cambridge CB3 0ET, England.</t>
  </si>
  <si>
    <t>l.peck@bas.ac.uk</t>
  </si>
  <si>
    <t>Clark, Melody/D-7371-2014</t>
  </si>
  <si>
    <t>Clark, Melody/0000-0002-3442-3824</t>
  </si>
  <si>
    <t>Natural Environment Research Council (NERC); NERC [NE/G018]; NERC [NE/J007501/1, bas0100025, NE/G000018/1, dml011000] Funding Source: UKRI; Natural Environment Research Council [bas0100025, NE/J007501/1, NE/G000018/1, dml011000] Funding Source: researchfish</t>
  </si>
  <si>
    <t>Natural Environment Research Council (NERC)(UK Research &amp; Innovation (UKRI)Natural Environment Research Council (NERC)); NERC(UK Research &amp; Innovation (UKRI)Natural Environment Research Council (NERC)); NERC(UK Research &amp; Innovation (UKRI)Natural Environment Research Council (NERC)); Natural Environment Research Council(UK Research &amp; Innovation (UKRI)Natural Environment Research Council (NERC))</t>
  </si>
  <si>
    <t>L.S.P., S.A.M. and M.S.C. were funded by core support from the Natural Environment Research Council (NERC) to the British Antarctic Survey. J.R. and L.S.P. were funded by NERC grant NE/G018.</t>
  </si>
  <si>
    <t>COMPANY BIOLOGISTS LTD</t>
  </si>
  <si>
    <t>BIDDER BUILDING, STATION RD, HISTON, CAMBRIDGE CB24 9LF, ENGLAND</t>
  </si>
  <si>
    <t>0022-0949</t>
  </si>
  <si>
    <t>1477-9145</t>
  </si>
  <si>
    <t>J EXP BIOL</t>
  </si>
  <si>
    <t>J. Exp. Biol.</t>
  </si>
  <si>
    <t>10.1242/jeb.089946</t>
  </si>
  <si>
    <t>Biology</t>
  </si>
  <si>
    <t>Life Sciences &amp; Biomedicine - Other Topics</t>
  </si>
  <si>
    <t>278LO</t>
  </si>
  <si>
    <t>Bronze, Green Accepted</t>
  </si>
  <si>
    <t>WOS:000328892000004</t>
  </si>
  <si>
    <t>Teets, NM; Denlinger, DL</t>
  </si>
  <si>
    <t>Teets, Nicholas M.; Denlinger, David L.</t>
  </si>
  <si>
    <t>Surviving in a frozen desert: environmental stress physiology of terrestrial Antarctic arthropods</t>
  </si>
  <si>
    <t>Antarctica; Cold tolerance; Dehydration; Environmental stress; Physiology</t>
  </si>
  <si>
    <t>MIDGE BELGICA-ANTARCTICA; GOLDENROD GALL FLY; COLD TOLERANCE; CRYOPROTECTIVE DEHYDRATION; FREEZE TOLERANCE; HEAT-SHOCK; OVERWINTERING STRATEGIES; SUBZERO TEMPERATURES; DROUGHT ACCLIMATION; GENE-EXPRESSION</t>
  </si>
  <si>
    <t>Abiotic stress is one of the primary constraints limiting the range and success of arthropods, and nowhere is this more apparent than Antarctica. Antarctic arthropods have evolved a suite of adaptations to cope with extremes in temperature and water availability. Here, we review the current state of knowledge regarding the environmental physiology of terrestrial arthropods in Antarctica. To survive low temperatures, mites and Collembola are freeze-intolerant and rely on deep supercooling, in some cases supercooling below -30 degrees C. Also, some of these microarthropods are capable of cryoprotective dehydration to extend their supercooling capacity and reduce the risk of freezing. In contrast, the two best-studied Antarctic insects, the midges Belgica antarctica and Eretmoptera murphyi, are freeze-tolerant year-round and rely on both seasonal and rapid cold-hardening to cope with decreases in temperature. A common theme among Antarctic arthropods is extreme tolerance of dehydration; some accomplish this by cuticular mechanisms to minimize water loss across their cuticle, while a majority have highly permeable cuticles but tolerate upwards of 50-70% loss of body water. Molecular studies of Antarctic arthropod stress physiology are still in their infancy, but several recent studies are beginning to shed light on the underlying mechanisms that govern extreme stress tolerance. Some common themes that are emerging include the importance of cuticular and cytoskeletal rearrangements, heat shock proteins, metabolic restructuring and cell recycling pathways as key mediators of cold and water stress in the Antarctic.</t>
  </si>
  <si>
    <t>Ohio State Univ, Dept Entomol, Columbus, OH 43210 USA; Ohio State Univ, Dept Evolut Ecol &amp; Organismal Biol, Columbus, OH 43210 USA</t>
  </si>
  <si>
    <t>University System of Ohio; Ohio State University; University System of Ohio; Ohio State University</t>
  </si>
  <si>
    <t>Teets, NM (corresponding author), Univ Florida, Dept Entomol &amp; Nematol, Gainesville, FL 32611 USA.</t>
  </si>
  <si>
    <t>teets.23@osu.edu</t>
  </si>
  <si>
    <t>Teets, Nicholas/IQT-5328-2023; Teets, Nicholas/H-7386-2013</t>
  </si>
  <si>
    <t>Teets, Nicholas/0000-0003-0963-7457</t>
  </si>
  <si>
    <t>National Science Foundation [OPP-ANT-0837613]</t>
  </si>
  <si>
    <t>National Science Foundation(National Science Foundation (NSF))</t>
  </si>
  <si>
    <t>This work was supported in part by a grant from the National Science Foundation (OPP-ANT-0837613).</t>
  </si>
  <si>
    <t>10.1242/jeb.089490</t>
  </si>
  <si>
    <t>WOS:000328892000011</t>
  </si>
  <si>
    <t>Weimerskirch, H; Cherel, Y; Delord, K; Jaeger, A; Patrick, SC; Riotte-Lambert, L</t>
  </si>
  <si>
    <t>Weimerskirch, Henri; Cherel, Yves; Delord, Karine; Jaeger, Audrey; Patrick, Samantha C.; Riotte-Lambert, Louise</t>
  </si>
  <si>
    <t>Lifetime foraging patterns of the wandering albatross: Life on the move!</t>
  </si>
  <si>
    <t>JOURNAL OF EXPERIMENTAL MARINE BIOLOGY AND ECOLOGY</t>
  </si>
  <si>
    <t>Diomedea exulans; Foraging movements; Lifetime distribution</t>
  </si>
  <si>
    <t>DIOMEDEA-EXULANS; POPULATION-DYNAMICS; SATELLITE TRACKING; LONGLINE FISHERY; SEASONAL-CHANGES; MARINE PREDATOR; INDIAN-OCEAN; SEABIRD; DISPERSAL; MORTALITY</t>
  </si>
  <si>
    <t>Wandering albatrosses are large long-lived seabirds that inhabit the Southern Ocean. This species uses wind to move at low energetic costs and probably represents one of the best studied life-history models in animals. Here, using both tracking and isotopic data, we report on the lifetime distribution of wandering albatrosses at sea, constructing a synthesis about how their distribution, foraging movements and feeding ecology change throughout all life-history stages (i.e. juvenile, immature, pre breeding adults, breeding adults, sabbatical adults and senescent birds). Males and females exhibit different foraging strategies that change throughout their life. For instance, as males mature from young to old stages, they progressively move from subtropical waters to Antarctic waters. In comparison, females remain in subtropical waters throughout their lives, but increase their speed of travel with age. For both sexes, the first year at sea is a critical period, when the highest mortality occurs. At this stage, juveniles have already fledged and are able to use the wind optimally to maximise movement, but require several months to reach the travelling speed of adults. Immature albatrosses remain in warm subtropical waters, before returning to their birth place and future breeding grounds from where they move as central place foragers. When recruited into the breeding population, they breed every other year. In one year they invest in one long breeding season when males and females use separate foraging zones in the subtropics and sub-Antarctic, respectively. In the subsequent year (termed sabbatical year), both sexes disperse across the Southern Ocean, with reduced segregation between sexes. In total, throughout the approximate 50 year lifetime of a wandering albatross, an individual is estimated to travel a mere 8.5 million km. We show that the changes in habitats and foraging strategies observed though the life time of wandering albatrosses are the results of behavioural adjustment to the successive constraints encountered, such as learning processes, breeding or ageing, and have profound consequences on survival and nesting success. (C) 2013 Elsevier B.V. All rights reserved.</t>
  </si>
  <si>
    <t>[Weimerskirch, Henri; Cherel, Yves; Delord, Karine; Jaeger, Audrey; Patrick, Samantha C.; Riotte-Lambert, Louise] CNRS, Ctr Etud Biol Chize, F-79360 Villiers En Bois, France</t>
  </si>
  <si>
    <t>Centre National de la Recherche Scientifique (CNRS)</t>
  </si>
  <si>
    <t>Weimerskirch, H (corresponding author), CNRS, Ctr Etud Biol Chize, F-79360 Villiers En Bois, France.</t>
  </si>
  <si>
    <t>Henri.WEIMERSKIRCH@cebc.cnrs.fr</t>
  </si>
  <si>
    <t>Weimerskirch, Henri/F-5562-2013; Weimerskirch, Henri/K-7306-2019; Jaeger, Audrey/HMD-6340-2023</t>
  </si>
  <si>
    <t>Weimerskirch, Henri/0000-0002-0457-586X; Jaeger, Audrey/0000-0002-5649-0315; Riotte-Lambert, Louise/0000-0002-6715-9898</t>
  </si>
  <si>
    <t>French Polar Institute IPEV [109]; Prince Albert II de Monaco Foundation; Program ANR Biodiversite REMIGE; European Research Council Advanced Grant under the European Community's Seven Framework Program [ERC-2012-ADG_20120314]</t>
  </si>
  <si>
    <t>French Polar Institute IPEV; Prince Albert II de Monaco Foundation; Program ANR Biodiversite REMIGE(Agence Nationale de la Recherche (ANR)); European Research Council Advanced Grant under the European Community's Seven Framework Program(European Research Council (ERC))</t>
  </si>
  <si>
    <t>The Ethics Committee of IPEV and Comite Environnement Polaire approved the field procedures. The study of wandering albatrosses at the Crozet and Kerguelen Islands was supported by the French Polar Institute IPEV (programme No 109), with additional funding from the Prince Albert II de Monaco Foundation and by the Program ANR Biodiversite 2005-11 REMIGE. We thank the many field workers involved in the Crozet and Kerguelen tracking programmes since 1989 and those whose helped with collecting blood and feather samples, G. Guillou and P. Richard for running stable isotope analyses and Dominique Besson for help with the management of the demographic database. We also thank deeply two reviewers for their extensive and very constructive comments on an earlier version of the manuscript, and Graeme Hays for inviting us to participate to this special issue. The study is a contribution to the Program EARLYLIFE funded by a European Research Council Advanced Grant under the European Community's Seven Framework Program FP7/2007-2013 (Grant Agreement ERC-2012-ADG_20120314 to Henri Weimerskirch).</t>
  </si>
  <si>
    <t>0022-0981</t>
  </si>
  <si>
    <t>1879-1697</t>
  </si>
  <si>
    <t>J EXP MAR BIOL ECOL</t>
  </si>
  <si>
    <t>J. Exp. Mar. Biol. Ecol.</t>
  </si>
  <si>
    <t>10.1016/j.jembe.2013.10.021</t>
  </si>
  <si>
    <t>Ecology; Marine &amp; Freshwater Biology</t>
  </si>
  <si>
    <t>294XR</t>
  </si>
  <si>
    <t>WOS:000330081700009</t>
  </si>
  <si>
    <t>Rosier, SHR; Green, JAM; Scourse, JD; Winkelmann, R</t>
  </si>
  <si>
    <t>Rosier, S. H. R.; Green, J. A. M.; Scourse, J. D.; Winkelmann, R.</t>
  </si>
  <si>
    <t>Modeling Antarctic tides in response to ice shelf thinning and retreat</t>
  </si>
  <si>
    <t>JOURNAL OF GEOPHYSICAL RESEARCH-OCEANS</t>
  </si>
  <si>
    <t>tide; feedback; ice shelf</t>
  </si>
  <si>
    <t>LAST GLACIAL MAXIMUM; OCEAN TIDES; TIDAL DISSIPATION; PISM-PIK; STREAM; SHEET; DISCHARGE; COLLAPSE</t>
  </si>
  <si>
    <t>Tides play an important role in ice sheet dynamics by modulating ice stream velocity, fracturing, and moving ice shelves and mixing water beneath them. Any changes in ice shelf extent or thickness will alter the tidal dynamics through modification of water column thickness and coastal topography but these will in turn feed back onto the overall ice shelf stability. Here, we show that removal or reduction in extent and/or thickness of the Ross and Ronne-Filchner ice shelves would have a significant impact on the tides around Antarctica. The Ronne-Filchner appears particularly vulnerable, with an increase in M-2 amplitude of over 0.5 m beneath much of the ice shelf potentially leading to tidally induced feedbacks on ice shelf/sheet dynamics. These results highlight the importance of understanding tidal feedbacks on ice shelves/streams due to their influence on ice sheet dynamics.</t>
  </si>
  <si>
    <t>[Rosier, S. H. R.; Green, J. A. M.; Scourse, J. D.] Bangor Univ, Sch Ocean Sci, Coll Nat Sci, Bangor LL59 5AB, Gwynedd, Wales; [Rosier, S. H. R.] British Antarctic Survey, Cambridge CB3 0ET, England; [Winkelmann, R.] Potsdam Inst Climate Impact Res, Potsdam, Germany</t>
  </si>
  <si>
    <t>Bangor University; UK Research &amp; Innovation (UKRI); Natural Environment Research Council (NERC); NERC British Antarctic Survey; Potsdam Institut fur Klimafolgenforschung</t>
  </si>
  <si>
    <t>Rosier, SHR (corresponding author), Bangor Univ, Sch Ocean Sci, Bangor LL59 5AB, Gwynedd, Wales.</t>
  </si>
  <si>
    <t>Winkelmann, Ricarda/0000-0003-1248-3217; Rosier, Sebastian/0000-0003-3047-9908</t>
  </si>
  <si>
    <t>Natural Environmental Research Council [NE/J/500203/1, NE/F/014821/1]; Climate Change Consortium of Wales (C3W); German Federal Ministry of Education and Research (BMBF) [01LP1171A]; NERC [bas0100027, NE/F014821/1, NE/J007579/1] Funding Source: UKRI; Natural Environment Research Council [NE/F014821/1, NE/J007579/1, bas0100027] Funding Source: researchfish</t>
  </si>
  <si>
    <t>Natural Environmental Research Council(UK Research &amp; Innovation (UKRI)Natural Environment Research Council (NERC)); Climate Change Consortium of Wales (C3W); German Federal Ministry of Education and Research (BMBF)(Federal Ministry of Education &amp; Research (BMBF)); NERC(UK Research &amp; Innovation (UKRI)Natural Environment Research Council (NERC)); Natural Environment Research Council(UK Research &amp; Innovation (UKRI)Natural Environment Research Council (NERC))</t>
  </si>
  <si>
    <t>Funding was provided by the Natural Environmental Research Council through grants NE/J/500203/1 (SHRR PhD studentship) and NE/F/014821/1 (JAMG Advanced Fellowship). J.A.M.G. and J.D.S. acknowledge funding from the Climate Change Consortium of Wales (C3W), and R. W. received support from the German Federal Ministry of Education and Research (BMBF grant 01LP1171A). Comments from Paul Holland and three anonymous reviewers greatly improved the manuscript.</t>
  </si>
  <si>
    <t>AMER GEOPHYSICAL UNION</t>
  </si>
  <si>
    <t>2000 FLORIDA AVE NW, WASHINGTON, DC 20009 USA</t>
  </si>
  <si>
    <t>2169-9275</t>
  </si>
  <si>
    <t>2169-9291</t>
  </si>
  <si>
    <t>J GEOPHYS RES-OCEANS</t>
  </si>
  <si>
    <t>J. Geophys. Res.-Oceans</t>
  </si>
  <si>
    <t>10.1002/2013JC009240</t>
  </si>
  <si>
    <t>Oceanography</t>
  </si>
  <si>
    <t>AB6DZ</t>
  </si>
  <si>
    <t>WOS:000331879100006</t>
  </si>
  <si>
    <t>Young, EF; Thorpe, SE; Banglawala, N; Murphy, EJ</t>
  </si>
  <si>
    <t>Young, Emma F.; Thorpe, Sally E.; Banglawala, Neelofer; Murphy, Eugene J.</t>
  </si>
  <si>
    <t>Variability in transport pathways on and around the South Georgia shelf, Southern Ocean: Implications for recruitment and retention</t>
  </si>
  <si>
    <t>hydrodynamic model; Lagrangian model; Scotia Sea; zooplankton; ocean circulation; krill</t>
  </si>
  <si>
    <t>ANTARCTIC CIRCUMPOLAR CURRENT; KRILL EUPHAUSIA-SUPERBA; SCOTIA SEA; INTERANNUAL VARIABILITY; CURRENT FRONT; ECOSYSTEM; MODEL; GROWTH; TEMPERATURE; POPULATIONS</t>
  </si>
  <si>
    <t>The waters around South Georgia are among the most productive in the Southern Ocean, with zooplankton populations close to the island, in particular Antarctic krill, supporting vast colonies of higher predators. However, our understanding of the processes governing variability in the supply of these food resources is limited by the poor spatial and temporal resolution of available data. Here, we use a numerical modeling approach to examine the underlying physical processes driving the recruitment and retention of zooplankton to the South Georgia shelf. Variability in the magnitude and spatial distribution of recruitment was dominated by the proximity and orientation of the southern Antarctic Circumpolar Current front to the shelf edge. Shelf retention was highest for source sites on the southwest shelf, with the main transport routes off the shelf to the north and northwest. Retention was lowest in the austral summer and winter; in summer increased glacial melt drives stronger off-shelf near-surface currents, while in winter, stronger winds lead to an increase in off-shelf transport. Of particular note was the prediction of a significant increase in retention for particles released throughout the shelf in April and July 2000. This period coincided with the development of pronounced anticlockwise shelf flows, associated with horizontal density gradients due to reduced wind mixing of shelf waters, and differences between shelf and oceanic waters, which significantly reduced off-shelf transport rates. Such findings are crucial for understanding the influence of variability in physical processes on the ecosystem at South Georgia. Key Points Recruitment and retention simulated using high-resolution modeling Southern Antarctic Circumpolar Current front impacts recruitment to the shelf Retention influenced by local winds and seasonal horizontal density gradients</t>
  </si>
  <si>
    <t>[Young, Emma F.; Thorpe, Sally E.; Banglawala, Neelofer; Murphy, Eugene J.] British Antarctic Survey, Nat Environm Res Council, Cambridge CB3 0ET, England</t>
  </si>
  <si>
    <t>Young, EF (corresponding author), British Antarctic Survey, Nat Environm Res Council, Madingley Rd, Cambridge CB3 0ET, England.</t>
  </si>
  <si>
    <t>eyoung@bas.ac.uk</t>
  </si>
  <si>
    <t>murphy, eugene/GZL-1620-2022</t>
  </si>
  <si>
    <t>Thorpe, Sally/0000-0002-5193-6955; Young, Emma/0000-0002-7069-6109</t>
  </si>
  <si>
    <t>Natural Environment Research Council [bas0100025] Funding Source: researchfish; NERC [bas0100025] Funding Source: UKRI</t>
  </si>
  <si>
    <t>Natural Environment Research Council(UK Research &amp; Innovation (UKRI)Natural Environment Research Council (NERC)); NERC(UK Research &amp; Innovation (UKRI)Natural Environment Research Council (NERC))</t>
  </si>
  <si>
    <t>10.1002/2013JC009348</t>
  </si>
  <si>
    <t>Green Accepted, Bronze</t>
  </si>
  <si>
    <t>WOS:000331879100018</t>
  </si>
  <si>
    <t>Holzer, M; Primeau, FW; DeVries, T; Matear, R</t>
  </si>
  <si>
    <t>Holzer, Mark; Primeau, Francois W.; DeVries, Timothy; Matear, Richard</t>
  </si>
  <si>
    <t>The Southern Ocean silicon trap: Data-constrained estimates of regenerated silicic acid, trapping efficiencies, and global transport paths</t>
  </si>
  <si>
    <t>ocean silicon cycle; silicic acid; Southern Ocean; nutrient trapping; Green-function methods</t>
  </si>
  <si>
    <t>BIOGENIC SILICA; MODEL; DISSOLUTION; DENSITY; EXPORT; CYCLE; DEEP; SI</t>
  </si>
  <si>
    <t>We analyze an optimized model of the global silicon cycle embedded in a data-assimilated steady ocean circulation. Biological uptake is modeled by conditionally restoring silicic acid in the euphotic zone to observed concentrations where the modeled concentrations exceed the observational climatology. An equivalent linear model is formulated to which Green-function-based transport diagnostics are applied. We find that the models' opal export through 133 m depth is 16624 Tmol Si/yr, with the Southern Ocean (SO) providing approximate to 70% of this export, approximate to 50% of which dissolves above 2000 m depth. The global-scale gradients of the opal dissolution rate are primarily meridional, while the global-scale gradients of phosphate remineralization are primarily vertical. The mean depth of the temperature-dependent silicic-acid regeneration reaches 2300 m in the SO, compared to 600 m for phosphate remineralization. Silicic acid is stripped out of the euphotic zone far more efficiently than phosphate, with only (345)% of the global silicic-acid inventory being preformed, compared to (617)% for phosphate. Subantarctic and tropical waters contribute most of the ocean's regenerated silicic acid, while Antarctic waters provide most of the preformed silicic acid. About half of the global silicic-acid inventory is trapped in transport paths connecting successive SO utilizations, with silicic acid last utilized in the SO having only a (52)% chance of being next utilized outside the SO. This trapping depletes subantarctic mode waters of silicic acid relative to phosphate, which has a (44 +/- 2)% probability of escaping successive SO utilization. Key Points A data-constrained model quantifies opal export and silicic acid transport paths Preformed and regenerated components from key source regions are estimated Silicic acid undergoes 20$\pm$8 successive S.-Ocean utilization on average</t>
  </si>
  <si>
    <t>[Holzer, Mark] Univ New S Wales, Sch Math &amp; Stat, Dept Appl Math, Sydney, NSW 2052, Australia; [Holzer, Mark] Columbia Univ, Dept Appl Phys &amp; Appl Math, New York, NY USA; [Primeau, Francois W.] Univ Calif Irvine, Dept Earth Syst Sci, Irvine, CA USA; [DeVries, Timothy] Univ Calif Los Angeles, Dept Atmospher &amp; Ocean Sci, Los Angeles, CA USA; [Matear, Richard] CSIRO Marine &amp; Atmospher Res, Hobart, Tas, Australia</t>
  </si>
  <si>
    <t>University of New South Wales Sydney; Columbia University; University of California System; University of California Irvine; University of California System; University of California Los Angeles; Commonwealth Scientific &amp; Industrial Research Organisation (CSIRO)</t>
  </si>
  <si>
    <t>Holzer, M (corresponding author), Univ New S Wales, Sch Math &amp; Stat, Dept Appl Math, Sydney, NSW 2052, Australia.</t>
  </si>
  <si>
    <t>mholzer@unsw.edu.au</t>
  </si>
  <si>
    <t>Holzer, Mark/E-8735-2011; matear, richard/C-5133-2011; Primeau, Francois/A-7310-2011</t>
  </si>
  <si>
    <t>Holzer, Mark/0000-0002-9568-1763; matear, richard/0000-0002-3225-0800; DeVries, Tim/0000-0002-7771-9430; Primeau, Francois/0000-0001-7452-9415</t>
  </si>
  <si>
    <t>ARC [DP120100674]; NSF [ATM-0854711, OCE-1131768]; Directorate For Geosciences [1131768] Funding Source: National Science Foundation; Division Of Ocean Sciences [1131768] Funding Source: National Science Foundation</t>
  </si>
  <si>
    <t>ARC(Australian Research Council); NSF(National Science Foundation (NSF)); Directorate For Geosciences(National Science Foundation (NSF)NSF - Directorate for Geosciences (GEO)); Division Of Ocean Sciences(National Science Foundation (NSF)NSF - Directorate for Geosciences (GEO))</t>
  </si>
  <si>
    <t>This work was supported by ARC grant DP120100674 and NSF grant ATM-0854711 (M. H.) and by NSF grant OCE-1131768 (F. P.). We thank Anand Gnanadesikan, Benoit Pasquier, and Marina Frants for discussions.</t>
  </si>
  <si>
    <t>10.1002/2013JC009356</t>
  </si>
  <si>
    <t>Bronze, Green Published</t>
  </si>
  <si>
    <t>WOS:000331879100024</t>
  </si>
  <si>
    <t>Lei, RB; Li, N; Heil, P; Cheng, B; Zhang, ZH; Sun, B</t>
  </si>
  <si>
    <t>Lei, Ruibo; Li, Na; Heil, Petra; Cheng, Bin; Zhang, Zhanhai; Sun, Bo</t>
  </si>
  <si>
    <t>Multiyear sea ice thermal regimes and oceanic heat flux derived from an ice mass balance buoy in the Arctic Ocean</t>
  </si>
  <si>
    <t>Arctic; sea ice; mass balance; oceanic heat flux; conductive heat flux</t>
  </si>
  <si>
    <t>THICKNESS; EVOLUTION; SALINITY; GROWTH; COVER; MODEL; MELT</t>
  </si>
  <si>
    <t>The conductive and oceanic heat fluxes and the mass balance of sea ice were investigated utilizing an ice mass balance buoy (IMB) deployed in the Arctic Ocean. After IMB deployment, the ice thinned from 1.95 m in late August to 1.46 m by mid-October 2008. From then on, ice growth until mid-June 2009 increased the ice thickness to 3.12 m. The ice temperature and consequently the conductive heat flux at the ice surface exhibited persistent high-frequency variations due to diurnal and synoptic-scale atmospheric forcing. These signals propagated downward with damped magnitude and temporal lag. The competition of oceanic and conductive heat flux dominated the low-frequency variations of ice growth. However, high-frequency variations in ice growth were controlled largely by the oceanic heat flux. From mid-November 2008 to mid-June 2009, the average oceanic heat flux along a track from 86.2 degrees N, 115.2 degrees W to 84.6 degrees N, 33.9 degrees W was 7.1 W/m(2). This was in agreement with that derived from an IMB deployed in 2005, about 1.5 degrees to the north of our buoy. We attributed the relatively high oceanic heat flux (10-15 W/m(2)) observed during autumn and early winter to summer warming of the surface ocean. Upward mixing of warm deep water, as observed when our buoy drifted over the shallow region of the Lomonosov Ridge (85.4 degrees-85.9 degrees N, 52.2 degrees-66.4 degrees W), demonstrated the impact of bathymetry on the oceanic heat flux under ice cover, and consequently on the basal ice mass balance. Key Points Seasonalities of conductive heat flux through ice cover Energy balance at ice base Impacts on oceanic heat flux</t>
  </si>
  <si>
    <t>[Lei, Ruibo; Li, Na; Zhang, Zhanhai; Sun, Bo] Polar Res Inst China, SOA Key Lab Polar Sci, Shanghai 200136, Peoples R China; [Heil, Petra] Australian Antarctic Div, Hobart, Tas, Australia; [Heil, Petra] Univ Tasmania, Antarctic Climate &amp; Ecosyst Cooperat Res Ctr, Hobart, Tas, Australia; [Cheng, Bin] Finnish Meteorol Inst, FIN-00101 Helsinki, Finland</t>
  </si>
  <si>
    <t>Polar Research Institute of China; Australian Antarctic Division; University of Tasmania; Antarctic Climate &amp; Ecosystems Cooperative Research Centre (ACE CRC); Finnish Meteorological Institute</t>
  </si>
  <si>
    <t>Lei, RB (corresponding author), Polar Res Inst China, SOA Key Lab Polar Sci, 451 Jinqiao Rd, Shanghai 200136, Peoples R China.</t>
  </si>
  <si>
    <t>leiruibo@pric.gov.cn</t>
  </si>
  <si>
    <t>sun, bo/JFA-9978-2023</t>
  </si>
  <si>
    <t>Heil, Petra/0000-0003-2078-0342</t>
  </si>
  <si>
    <t>National Natural Science Foundation of China [41106160, 40930848]; Chinese Polar Environment Comprehensive Investigation and Assessment Programs [CHINARE2013-04-03, CHINARE2013-04-04]; Australian Governmental Cooperative Research Centre Program through the Antarctic Climate and Ecosystems Cooperative Research Centre; AAD through AAS [3328, 4072]</t>
  </si>
  <si>
    <t>National Natural Science Foundation of China(National Natural Science Foundation of China (NSFC)); Chinese Polar Environment Comprehensive Investigation and Assessment Programs; Australian Governmental Cooperative Research Centre Program through the Antarctic Climate and Ecosystems Cooperative Research Centre(Australian GovernmentDepartment of Industry, Innovation and ScienceCooperative Research Centres (CRC) Programme); AAD through AAS</t>
  </si>
  <si>
    <t>This work was supported by grants from the National Natural Science Foundation of China (41106160 and 40930848) and Chinese Polar Environment Comprehensive Investigation and Assessment Programs (CHINARE2013-04-03 and CHINARE2013-04-04). PH's contributions to this project were supported by the Australian Governmental Cooperative Research Centre Program through the Antarctic Climate and Ecosystems Cooperative Research Centre, and by AAD through AAS grants 3328 and 4072. We thank S. E. Lake for grammatical checks. We also thank the anonymous reviewers for their comments, which enabled us to greatly improve this publication.</t>
  </si>
  <si>
    <t>10.1002/2012JC008731</t>
  </si>
  <si>
    <t>Bronze, Green Accepted, Green Published</t>
  </si>
  <si>
    <t>WOS:000331879100038</t>
  </si>
  <si>
    <t>Cape, MR; Vernet, M; Kahru, M; Spreen, G</t>
  </si>
  <si>
    <t>Cape, Mattias R.; Vernet, Maria; Kahru, Mati; Spreen, Gunnar</t>
  </si>
  <si>
    <t>Polynya dynamics drive primary production in the Larsen A and B embayments following ice shelf collapse</t>
  </si>
  <si>
    <t>primary production; sea ice; Larsen; polynya; phytoplankton; Antarctica</t>
  </si>
  <si>
    <t>WESTERN ANTARCTIC PENINSULA; HEMISPHERE ANNULAR MODE; MELTING GLACIERS FUELS; MCMURDO DRY VALLEYS; SOUTHERN-OCEAN; SEA-ICE; CLIMATE-CHANGE; ROSS SEA; PHYTOPLANKTON BIOMASS; AMUNDSEN SEA</t>
  </si>
  <si>
    <t>The climate-driven collapses of the Larsen A and B ice shelves have opened up new regions of the coastal Antarctic to the influence of sea ice resulting in increases in seasonal primary production. In this study, passive microwave remote sensing of sea ice concentration and satellite imagery of ocean color are employed to quantify the magnitude of and variability in open water area and net primary productivity (NPP) in the Larsen embayments between 1997 and 2011. Numerical model output provides context to analyze atmospheric forcing on the coastal ocean. Following ice shelf disintegration the embayments function as coastal, sensible heat polynyas. The Larsen A and B are as productive as other Antarctic shelf regions, with seasonally averaged daily NPP rates reaching 1232 and 1127 mg C m(-2) d(-1) and annual rates reaching 200 and 184 g C m(-2) yr(-1), respectively. A persistent cross-shelf gradient in NPP is present with higher productivity rates offshore, contrasting with patterns observed along the West Antarctic Peninsula. Embayment productivity is intimately tied to sea ice dynamics, with large interannual variability in NPP rates driven by open water area and the timing of embayment opening. Opening of the embayment is linked to periods of positive Southern Annular Mode and stronger westerlies, which lead to the vertical deflection of warm, maritime air over the peninsula and down the leeward side causing increases in surface air temperature and wind velocity. High productivity in these new polynyas is likely to have ramifications for organic matter export and marine ecosystem evolution. Key Points Primary production and sea ice dynamics after ice shelf disintegration Larsen embayments function as productive coastal sensible heat polynyas High sea ice interannual variability affects total production</t>
  </si>
  <si>
    <t>[Cape, Mattias R.; Vernet, Maria; Kahru, Mati] Univ Calif San Diego, Scripps Inst Oceanog, La Jolla, CA 92093 USA; [Spreen, Gunnar] Norwegian Polar Res Inst, Fram Ctr, Tromso, Norway</t>
  </si>
  <si>
    <t>University of California System; University of California San Diego; Scripps Institution of Oceanography; Norwegian Polar Institute</t>
  </si>
  <si>
    <t>Cape, MR (corresponding author), Univ Calif San Diego, Scripps Inst Oceanog, 9500 Gilman Dr MC 0218, La Jolla, CA 92093 USA.</t>
  </si>
  <si>
    <t>mcape@ucsd.edu</t>
  </si>
  <si>
    <t>Spreen, Gunnar/A-4533-2010; Cape, Mattias/KCK-4444-2024</t>
  </si>
  <si>
    <t>Spreen, Gunnar/0000-0003-0165-8448; Cape, Mattias/0000-0002-5621-1128</t>
  </si>
  <si>
    <t>National Science Foundation Office of Polar Programs [ANT-0732983]; NSF Graduate Research Fellowship [DGE-1144086]; NASA Headquarters under the NASA Earth and Space Science Fellowship Program [NNX12AN48H]</t>
  </si>
  <si>
    <t>National Science Foundation Office of Polar Programs(National Science Foundation (NSF)NSF - Directorate for Geosciences (GEO)); NSF Graduate Research Fellowship(National Science Foundation (NSF)); NASA Headquarters under the NASA Earth and Space Science Fellowship Program(National Aeronautics &amp; Space Administration (NASA))</t>
  </si>
  <si>
    <t>The authors thank the collaborators of the LARISSA project, particularly Arnold Gordon for thoughtful comments on polynya dynamics and Ted Scambos for discussions of fohn winds, Alison Cook for providing the historical ice shelf extent data set, the ocean color community for providing insight into data processing and analysis, and two reviewers for helpful comments on the manuscript. This work was supported by the National Science Foundation Office of Polar Programs under NSF grant ANT-0732983. MRC was also supported by the NSF Graduate Research Fellowship under grant DGE-1144086 and by NASA Headquarters under the NASA Earth and Space Science Fellowship Program-grant NNX12AN48H.</t>
  </si>
  <si>
    <t>10.1002/2013JC009441</t>
  </si>
  <si>
    <t>WOS:000331879100041</t>
  </si>
  <si>
    <t>Glauert, SA; Horne, RB; Meredith, NP</t>
  </si>
  <si>
    <t>Glauert, Sarah A.; Horne, Richard B.; Meredith, Nigel P.</t>
  </si>
  <si>
    <t>Three-dimensional electron radiation belt simulations using the BAS Radiation Belt Model with new diffusionmodels for chorus, plasmaspheric hiss, and lightning-generated whistlers</t>
  </si>
  <si>
    <t>JOURNAL OF GEOPHYSICAL RESEARCH-SPACE PHYSICS</t>
  </si>
  <si>
    <t>chorus; hiss; diffusion; acceleration; loss; simulation</t>
  </si>
  <si>
    <t>QUASI-LINEAR DIFFUSION; PITCH-ANGLE DIFFUSION; EARTHS INNER MAGNETOSPHERE; GEOMAGNETIC STORMS; RELATIVISTIC ELECTRONS; GEOSYNCHRONOUS ORBIT; RESONANT DIFFUSION; SCATTERING LOSS; ACCELERATION; WAVES</t>
  </si>
  <si>
    <t>The flux of relativistic electrons in the Earth's radiation belts is highly variable and can change by orders of magnitude on timescales of a few hours. Understanding the drivers for these changes is important as energetic electrons can damage satellites. We present results from a new code, the British Antarctic Survey (BAS) Radiation Belt model, which solves a 3-D Fokker-Planck equation, following a similar approach to the Versatile Electron Radiation Belt (VERB) code, incorporating the effects of radial diffusion, wave-particle interactions, and collisions. Whistler mode chorus waves, plasmaspheric hiss, and lightning-generated whistlers (LGW) are modeled using new diffusion coefficients, calculated by the Pitch Angle and Energy Diffusion of Ions and Electrons (PADIE) code, with new wave models based on satellite data that have been parameterized by both the AE and Kp indices. The model for plasmaspheric hiss and LGW includes variation in the wave-normal angle distribution of the waves with latitude. Simulations of 100 days from the CRRES mission demonstrate that the inclusion of chorus waves in the model is needed to reproduce the observed increase in MeV flux during disturbed conditions. The model reproduces the variation of the radiation belts best when AE, rather than Kp, is used to determine the diffusion rates. Losses due to plasmaspheric hiss depend critically on the the wave-normal angle distribution; a model where the peak of the wave-normal angle distribution depends on latitude best reproduces the observed decay rates. Higher frequency waves (approximate to 1-2 kHz) only make a significant contribution to losses for L&lt;3 and the highest frequencies (2-5 kHz), representing LGW, have a limited effect on MeV electrons for 2&lt;5.5.</t>
  </si>
  <si>
    <t>[Glauert, Sarah A.; Horne, Richard B.; Meredith, Nigel P.] NERC, British Antarctic Survey, Cambridge, England</t>
  </si>
  <si>
    <t>Glauert, SA (corresponding author), NERC, British Antarctic Survey, Cambridge, England.</t>
  </si>
  <si>
    <t>sagl@bas.ac.uk</t>
  </si>
  <si>
    <t>Meredith, Nigel P/C-5806-2018; Horne, Richard B/U-3764-2019</t>
  </si>
  <si>
    <t>Horne, Richard B/0000-0002-0412-6407; Meredith, Nigel/0000-0001-5032-3463</t>
  </si>
  <si>
    <t>European Union [262468]; Natural Environment Research Council; NERC [bas0100023] Funding Source: UKRI; Natural Environment Research Council [bas0100023] Funding Source: researchfish</t>
  </si>
  <si>
    <t>European Union(European Union (EU));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</si>
  <si>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We would like to thank Roger Anderson for provision of the CRRES plasma wave data and the NSSDC Omniweb for providing the geomagnetic indices. The research leading to these results has received funding from the European Union Seventh Framework Programme (FP7/2007-2013) under grant agreement 262468 and the Natural Environment Research Council.</t>
  </si>
  <si>
    <t>2169-9380</t>
  </si>
  <si>
    <t>2169-9402</t>
  </si>
  <si>
    <t>J GEOPHYS RES-SPACE</t>
  </si>
  <si>
    <t>J. Geophys. Res-Space Phys.</t>
  </si>
  <si>
    <t>10.1002/2013JA019281</t>
  </si>
  <si>
    <t>Astronomy &amp; Astrophysics</t>
  </si>
  <si>
    <t>AD1YC</t>
  </si>
  <si>
    <t>Green Accepted, hybrid</t>
  </si>
  <si>
    <t>WOS:000333028600025</t>
  </si>
  <si>
    <t>Ligtenberg, SRM; Lenaerts, JTM; van den Broeke, MR; Scambos, TA</t>
  </si>
  <si>
    <t>Ligtenberg, S. R. M.; Lenaerts, J. T. M.; van den Broeke, M. R.; Scambos, T. A.</t>
  </si>
  <si>
    <t>On the formation of blue ice on Byrd Glacier, Antarctica</t>
  </si>
  <si>
    <t>JOURNAL OF GLACIOLOGY</t>
  </si>
  <si>
    <t>blue ice; glacier ablation phenomena; polar firn; snow/ice-surface processes; surface mass budget</t>
  </si>
  <si>
    <t>SURFACE MASS-BALANCE; ATMOSPHERIC CLIMATE MODEL; EAST ANTARCTICA; FIRN-DENSIFICATION; GRAIN-SIZE; AREAS; SNOW; SHEET; WIND; ACCUMULATION</t>
  </si>
  <si>
    <t>Blue-ice areas (BIAs) cover similar to 1% of the East Antarctic ice sheet and are visual evidence of persistent ablation. In these regions, more snow is sublimated and/or eroded than is accumulated. The physical processes driving the formation of BIAs are poorly understood. Here we combine a firn-densification model with high-resolution (5.5 km) maps of surface mass balance and ice velocity to simulate the build-up and removal of a firn layer along an ice flowline passing Byrd Glacier. A BIA is formed once the complete firn layer is removed. Feedback processes, which enhance blue-ice formation through the difference in surface characteristics of snow and ice, are examined using sensitivity simulations. The presence of blue ice on Byrd Glacier is found to be mainly determined by (1) ice velocity, (2) surface mass balance and (3) the characteristics (thickness, mass) of the firn layer prior to entering the ablation area. With a moderate decrease of the surface mass balance, the location and extent of the simulated BIA on Byrd Glacier is found to be in good qualitative agreement with MODIS optical imagery.</t>
  </si>
  <si>
    <t>[Ligtenberg, S. R. M.; Lenaerts, J. T. M.; van den Broeke, M. R.] Univ Utrecht, Inst Marine &amp; Atmospher Res Utrecht IMAU, Utrecht, Netherlands; [Scambos, T. A.] Univ Colorado, CIRES, Natl Snow &amp; Ice Data Ctr NSIDC, Boulder, CO 80309 USA</t>
  </si>
  <si>
    <t>Utrecht University; University of Colorado System; University of Colorado Boulder</t>
  </si>
  <si>
    <t>Ligtenberg, SRM (corresponding author), Univ Utrecht, Inst Marine &amp; Atmospher Res Utrecht IMAU, Utrecht, Netherlands.</t>
  </si>
  <si>
    <t>S.R.M.Ligtenberg@uu.nl</t>
  </si>
  <si>
    <t>Ligtenberg, Stefan/AAF-8290-2020; Van den Broeke, Michiel R./F-7867-2011; Lenaerts, Jan/D-9423-2012</t>
  </si>
  <si>
    <t>Van den Broeke, Michiel R./0000-0003-4662-7565; Lenaerts, Jan/0000-0003-4309-4011; SCAMBOS, Ted A./0000-0003-4268-6322</t>
  </si>
  <si>
    <t>European Commission [226375]</t>
  </si>
  <si>
    <t>European Commission(European Union (EU)European Commission Joint Research Centre)</t>
  </si>
  <si>
    <t>We acknowledge the Netherlands Polar Program of NWO/ALW and the ice2sea project, funded by the European Commission's 7th Framework Programme through grant No. 226375, ice2sea manuscript No. 163.</t>
  </si>
  <si>
    <t>INT GLACIOL SOC</t>
  </si>
  <si>
    <t>LENSFIELD RD, CAMBRIDGE CB2 1ER, ENGLAND</t>
  </si>
  <si>
    <t>0022-1430</t>
  </si>
  <si>
    <t>1727-5652</t>
  </si>
  <si>
    <t>J GLACIOL</t>
  </si>
  <si>
    <t>J. Glaciol.</t>
  </si>
  <si>
    <t>10.3189/2014JoG13J116</t>
  </si>
  <si>
    <t>AC8VM</t>
  </si>
  <si>
    <t>Green Submitted, Bronze</t>
  </si>
  <si>
    <t>WOS:000332813200004</t>
  </si>
  <si>
    <t>Martín, C; Gudmundsson, GH; King, EC</t>
  </si>
  <si>
    <t>Martin, Carlos; Gudmundsson, G. Hilmar; King, Edward C.</t>
  </si>
  <si>
    <t>Modelling of Kealey Ice Rise, Antarctica, reveals stable ice-flow conditions in East Ellsworth Land over millennia</t>
  </si>
  <si>
    <t>anisotropic ice flow; glacial rheology; ice-sheet modelling</t>
  </si>
  <si>
    <t>ANISOTROPIC ICE; CARLSON INLET; GROUNDED ICE; POLAR ICE; STREAM; TEXTURE; FABRICS; RECRYSTALLIZATION; APPROXIMATION; DEFORMATION</t>
  </si>
  <si>
    <t>Flow at ice divides, their shape, size and internal structure depend not only on local conditions, but also on the flow regimes and past histories of the surrounding ice masses. Here we use field data from Kealey Ice Rise, Ellsworth Land, West Antarctica, in combination with flow modelling to investigate any possible signs of transients in the flow of the surrounding ice masses. Kealey Ice Rise shows linear surface features running parallel to its ridge in satellite imagery and a conspicuous layering in the ground-penetrating radar data known as double-peaked Raymond bumps. Through numerical modelling, by using an anisotropic full-Stokes thermomechanical flow solver, we analyse the evolution of Kealey Ice Rise and the timescales involved. We conclude that the features observed in the stratigraphy of Kealey Ice Rise require at least 3 ka of near-stationary flow conditions. However, we cannot exclude the possibility of a recent flow reorganization in the last century. We stress that the signs of stationary flow in radar stratigraphy observed in Kealey Ice Rise have been observed in other ice divides in the East Ellsworth Land area, suggesting stationary flow conditions over a millennial timescale in the region.</t>
  </si>
  <si>
    <t>[Martin, Carlos; Gudmundsson, G. Hilmar; King, Edward C.] British Antarctic Survey, Nat Environm Res Council, Cambridge CB3 0ET, England</t>
  </si>
  <si>
    <t>Martín, C (corresponding author), British Antarctic Survey, Nat Environm Res Council, Cambridge CB3 0ET, England.</t>
  </si>
  <si>
    <t>cama@bas.ac.uk</t>
  </si>
  <si>
    <t>Gudmundsson, Gudmundur Hilmar/F-6499-2012; Gudmundsson, Gudmundur Hilmar/AAU-5987-2020; Martin, Carlos/S-2778-2018</t>
  </si>
  <si>
    <t>Gudmundsson, Gudmundur Hilmar/0000-0003-4236-5369; Gudmundsson, Gudmundur Hilmar/0000-0003-4236-5369; Martin, Carlos/0000-0002-2661-169X</t>
  </si>
  <si>
    <t>NERC [bas0100027] Funding Source: UKRI; Natural Environment Research Council [bas0100027] Funding Source: researchfish</t>
  </si>
  <si>
    <t>NERC(UK Research &amp; Innovation (UKRI)Natural Environment Research Council (NERC)); Natural Environment Research Council(UK Research &amp; Innovation (UKRI)Natural Environment Research Council (NERC))</t>
  </si>
  <si>
    <t>CAMBRIDGE UNIV PRESS</t>
  </si>
  <si>
    <t>EDINBURGH BLDG, SHAFTESBURY RD, CB2 8RU CAMBRIDGE, ENGLAND</t>
  </si>
  <si>
    <t>10.3189/2014JoG13J089</t>
  </si>
  <si>
    <t>WOS:000332813200013</t>
  </si>
  <si>
    <t>Munneke, PK; Ligtenberg, SRM; van den Broeke, MR; Vaughan, DG</t>
  </si>
  <si>
    <t>Kuipers Munneke, Peter; Ligtenberg, Stefan R. M.; van den Broeke, Michiel R.; Vaughan, David G.</t>
  </si>
  <si>
    <t>Firn air depletion as a precursor of Antarctic ice-shelf collapse</t>
  </si>
  <si>
    <t>ice/atmosphere interactions; ice-shelf break-up; ice shelves; polar firn; surface melt</t>
  </si>
  <si>
    <t>MASS-BALANCE; BREAK-UP; PENINSULA; CLIMATE; SURFACE; SHEET; DISINTEGRATION; MODEL; SNOW</t>
  </si>
  <si>
    <t>Since the 1970s, the sudden, rapid collapse of similar to 20% of ice shelves on the Antarctic Peninsula has led to large-scale thinning and acceleration of its tributary glaciers. The leading hypothesis for the collapse of most of these ice shelves is the process of hydrofracturing, whereby a water-filled crevasse is opened by the hydrostatic pressure acting at the crevasse tip. This process has been linked to observed atmospheric warming through the increased supply of meltwater. Importantly, the low-density firn layer near the ice-shelf surface, providing a porous medium in which meltwater can percolate and refreeze, has to be filled in with refrozen meltwater first, before hydrofracturing can occur at all. Here we build upon this notion of firn air depletion as a precursor of ice-shelf collapse, by using a firn model to show that pore space was depleted in the firn layer on former ice shelves, which enabled their collapse due to hydrofracturing. Two climate scenario runs with the same model indicate that during the 21st century most Antarctic Peninsula ice shelves, and some minor ice shelves elsewhere, are more likely to become susceptible to collapse following firn air depletion. If warming continues into the 22nd century, similar depletion will become widespread on ice shelves around East Antarctica. Our model further suggests that a projected increase in snowfall will protect the Ross and Filchner-Ronne Ice Shelves from hydrofracturing in the coming two centuries.</t>
  </si>
  <si>
    <t>[Kuipers Munneke, Peter; Ligtenberg, Stefan R. M.; van den Broeke, Michiel R.] Univ Utrecht, Inst Marine &amp; Atmospher Res, Utrecht, Netherlands; [Vaughan, David G.] British Antarctic Survey, Nat Environm Res Council, Cambridge CB3 0ET, England</t>
  </si>
  <si>
    <t>Utrecht University; UK Research &amp; Innovation (UKRI); Natural Environment Research Council (NERC); NERC British Antarctic Survey</t>
  </si>
  <si>
    <t>Munneke, PK (corresponding author), Univ Utrecht, Inst Marine &amp; Atmospher Res, Utrecht, Netherlands.</t>
  </si>
  <si>
    <t>p.kuipersmunneke@uu.nl</t>
  </si>
  <si>
    <t>Van den Broeke, Michiel R./F-7867-2011; Ligtenberg, Stefan/AAF-8290-2020; Vaughan, David/C-8348-2011</t>
  </si>
  <si>
    <t>Van den Broeke, Michiel R./0000-0003-4662-7565; Kuipers Munneke, Peter/0000-0001-5555-3831; Vaughan, David/0000-0002-9065-0570</t>
  </si>
  <si>
    <t>NWO/ALW (Netherlands Organization of Scientific Research, Earth and Life Sciences section) [818.01.016]; ice2sea programme of the European Union 7th Framework Programme [226375]; NERC [bas0100027] Funding Source: UKRI; Natural Environment Research Council [bas0100027] Funding Source: researchfish</t>
  </si>
  <si>
    <t>NWO/ALW (Netherlands Organization of Scientific Research, Earth and Life Sciences section); ice2sea programme of the European Union 7th Framework Programme; NERC(UK Research &amp; Innovation (UKRI)Natural Environment Research Council (NERC)); Natural Environment Research Council(UK Research &amp; Innovation (UKRI)Natural Environment Research Council (NERC))</t>
  </si>
  <si>
    <t>We thank Andrew Monaghan (US National Center for Atmospheric Research (NCAR), Boulder, CO) for providing his Antarctic temperature reconstruction, and Paul Holland (British Antarctic Survey) for providing firn air thickness data over the Larsen ice shelves. Comments from two anonymous reviewers greatly helped to improve this paper. All the figures were plotted using the NCAR Command Language (version 6.1.3) (2013). This research was partly funded by NWO/ALW (Netherlands Organization of Scientific Research, Earth and Life Sciences section) grant 818.01.016, and partly supported by funding from the ice2sea programme of the European Union 7th Framework Programme, grant No. 226375. This is ice2sea contribution No. 123.</t>
  </si>
  <si>
    <t>10.3189/2014JoG13J183</t>
  </si>
  <si>
    <t>AH5VB</t>
  </si>
  <si>
    <t>hybrid, Green Submitted, Green Accepted</t>
  </si>
  <si>
    <t>WOS:000336198100001</t>
  </si>
  <si>
    <t>Williams, CR; Hindmarsh, RCA; Arthern, RJ</t>
  </si>
  <si>
    <t>Williams, C. Rosie; Hindmarsh, Richard C. A.; Arthern, Robert J.</t>
  </si>
  <si>
    <t>Calculating balance velocities with a membrane stress correction</t>
  </si>
  <si>
    <t>Antarctic glaciology; ice dynamics; ice-sheet modelling</t>
  </si>
  <si>
    <t>ANTARCTIC ICE-SHEET; BASAL PROPERTIES; GLACIER FLOW; SURFACE; INITIALIZATION; THICKNESS; MASS</t>
  </si>
  <si>
    <t>Inverse methods, where surface data are 'inverted' in order to quantify basal properties of ice sheets, play a major role in initializations. The balance-velocity method is a unique linear initialization, in which accumulation, surface elevation and thickness data are used to calculate the velocities and basal conditions required to maintain the observed ice-sheet altimetric signal, resulting in an estimate of the basal sliding viscosity that is guaranteed to be non-negative. We examine the observation that balance velocities based on the shallow-ice approximation (SIA) are extremely dependent on grid size, showing that Antarctic balance velocities on a 1 km grid are excessively over-channelized. Incorporating the membrane-stress approximation into balance-velocity calculations and comparing them with a simplified analytical solution shows that numerical error monotonically decreases with grid resolution and over-channelization is eliminated for Newtonian and non-Newtonian rheology. In contrast, for the SIA reducing grid size below the membrane-stress coupling length fails to improve accuracy. However, since this approach is nonlinear, a unique viscosity solution is not guaranteed, and in practice 'sliding viscosity' estimates are noisy. This raises problems of the sensitivity of these estimates to data and model errors, which may mean using inverse or smoothing techniques in association with balance-velocity methods in many, if not all, practical applications.</t>
  </si>
  <si>
    <t>[Williams, C. Rosie; Hindmarsh, Richard C. A.; Arthern, Robert J.] British Antarctic Survey, NERC, Cambridge, England</t>
  </si>
  <si>
    <t>Williams, CR (corresponding author), British Antarctic Survey, NERC, Cambridge, England.</t>
  </si>
  <si>
    <t>chll1@bas.ac.uk</t>
  </si>
  <si>
    <t>Hindmarsh, Richard/N-1195-2019</t>
  </si>
  <si>
    <t>Hindmarsh, Richard/0000-0003-1633-2416</t>
  </si>
  <si>
    <t>ice2sea programme from the European Union 7th Framework Programme [226375]; NERC British Antarctic Survey 'Polar Science For Planet Earth' programme; NERC [NE/J008087/1, bas0100027] Funding Source: UKRI; Natural Environment Research Council [bas0100027] Funding Source: researchfish</t>
  </si>
  <si>
    <t>ice2sea programme from the European Union 7th Framework Programme; NERC British Antarctic Survey 'Polar Science For Planet Earth' programme; NERC(UK Research &amp; Innovation (UKRI)Natural Environment Research Council (NERC)); Natural Environment Research Council(UK Research &amp; Innovation (UKRI)Natural Environment Research Council (NERC))</t>
  </si>
  <si>
    <t>This work was supported by funding from the ice2sea programme from the European Union 7th Framework Programme, grant No. 226375, ice2sea contribution No. 149, and the NERC British Antarctic Survey 'Polar Science For Planet Earth' programme. We are grateful to Gwendolyn Leysinger Vieli and an anonymous reviewer for detailed and knowledgeable comments and for suggesting improvements to the manuscript.</t>
  </si>
  <si>
    <t>10.3189/2014JoG13J092</t>
  </si>
  <si>
    <t>WOS:000336198100009</t>
  </si>
  <si>
    <t>Docquier, D; Pollard, D; Pattyn, F</t>
  </si>
  <si>
    <t>Docquier, David; Pollard, David; Pattyn, Frank</t>
  </si>
  <si>
    <t>Thwaites Glacier grounding-line retreat: influence of width and buttressing parameterizations</t>
  </si>
  <si>
    <t>glacier flow; ice dynamics; ice-sheet modelling</t>
  </si>
  <si>
    <t>ANTARCTIC ICE-SHEET; PINE ISLAND; SATELLITE; SURFACE; FLOW; STABILITY; MIGRATION; MODELS; RADAR; BED</t>
  </si>
  <si>
    <t>Major ice loss has recently been observed along coastal outlet glaciers of the West Antarctic ice sheet, mainly due to increased melting below the ice shelves. However, the behavior of this marine ice sheet is poorly understood, leading to significant shortcomings in ice-sheet models attempting to predict future sea-level rise. The stability of a marine ice sheet is controlled by the dynamics at the grounding line, the boundary between the grounded ice stream and the floating ice shelf. One of the largest contributors to current sea-level rise is the fast-flowing Thwaites Glacier, which flows into the Amundsen Sea. Here we use an ice-stream/ice-shelf model and perform a number of experiments along a central flowline to analyze the sensitivity of its grounding line on centennial timescales. In the absence of width and buttressing effects, we find that the grounding line retreats by similar to 300 km in 200 years from the present day (rate of 1.5 km a(-1)). With variable glacier width implemented in the model, flow convergence slows the retreat of Thwaites grounding line at 0.3-1.2 km a(-1). The parameterization of ice-shelf buttressing according to different observed scenarios further reduces the glacier retreat and can even lead to a slight advance in the most buttressed case.</t>
  </si>
  <si>
    <t>[Docquier, David; Pattyn, Frank] Univ Libre Bruxelles, Lab Glaciol, Brussels, Belgium; [Pollard, David] Penn State Univ, Earth &amp; Environm Syst Inst, University Pk, PA 16802 USA</t>
  </si>
  <si>
    <t>Universite Libre de Bruxelles; Pennsylvania Commonwealth System of Higher Education (PCSHE); Pennsylvania State University; Pennsylvania State University - University Park</t>
  </si>
  <si>
    <t>Docquier, D (corresponding author), Univ Libre Bruxelles, Lab Glaciol, Brussels, Belgium.</t>
  </si>
  <si>
    <t>docquier.david@gmail.com</t>
  </si>
  <si>
    <t>Pattyn, Frank/AAA-9640-2019; Docquier, David/P-5635-2019</t>
  </si>
  <si>
    <t>Pattyn, Frank/0000-0003-4805-5636; Docquier, David/0000-0002-5720-4253</t>
  </si>
  <si>
    <t>IceCube-Dyn project (Actions de recherche concertees); French Community of Belgium; ice2sea; European Commission's 7th Framework Programme [226375]</t>
  </si>
  <si>
    <t>IceCube-Dyn project (Actions de recherche concertees); French Community of Belgium; ice2sea; European Commission's 7th Framework Programme(European Union (EU))</t>
  </si>
  <si>
    <t>This work was supported by both the IceCube-Dyn project (Actions de recherche concertees) funded by the French Community of Belgium and the ice2sea project funded by the European Commission's 7th Framework Programme through grant 226375 (ice2sea manuscript No. 159). We thank B.R. Parizek, A.M. Le Brocq, K.J. Tinto and I. Joughin for constructive comments and for the provision of data. We also acknowledge helpful clarifications and comments from two anonymous reviewers, and the Scientific Editor H.A. Fricker.</t>
  </si>
  <si>
    <t>10.3189/2014JoG13J117</t>
  </si>
  <si>
    <t>WOS:000336198100010</t>
  </si>
  <si>
    <t>Wright, AP; Young, DA; Bamber, JL; Dowdeswell, JA; Payne, AJ; Blankenship, DD; Siegert, MJ</t>
  </si>
  <si>
    <t>Wright, A. P.; Young, D. A.; Bamber, J. L.; Dowdeswell, J. A.; Payne, A. J.; Blankenship, D. D.; Siegert, M. J.</t>
  </si>
  <si>
    <t>Subglacial hydrological connectivity within the Byrd Glacier catchment, East Antarctica</t>
  </si>
  <si>
    <t>Antarctic glaciology; radio-echo sounding; satellite altimetry; subglacial lakes</t>
  </si>
  <si>
    <t>ACTIVE RESERVOIR BENEATH; DIGITAL ELEVATION MODEL; ICE-STREAM; LAKE WHILLANS; LASER DATA; RADAR; WATER; INVENTORY; SHEET; FLOW</t>
  </si>
  <si>
    <t>Ice, Cloud and land Elevation Satellite (ICESat) repeat-track laser altimetry has identified 17 sites within the Byrd Glacier catchment, East Antarctica, where rapid ice-surface height changes have occurred, which have been interpreted as evidence for 'active' subglacial lakes. Here we present evidence from a new radio-echo sounding (RES) survey at 11 of these locations to understand the bed conditions associated with the proposed hydrological activity. At none of the sites examined did we find evidence in support of substantial pooled basal water. In the majority of cases, along-track RES bed reflection amplitudes either side of the locations of surface height change are indistinguishable from those within the features. These results indicate that, in most cases, hypothesized 'active' lakes are not discrete radar targets and are therefore much smaller than the areas of surface height change. In addition, we have identified three new relatively large subglacial lakes upstream of the region where most 'active' subglacial lakes are found, in an area where the hydraulic gradient is significantly lower. Our results suggest that substantial and long-lasting basal water storage in the Byrd Glacier catchment occurs only under low hydraulic gradients, while coast-proximal sites of hydraulic activity likely involve small or temporary accumulations of basal water.</t>
  </si>
  <si>
    <t>[Wright, A. P.; Bamber, J. L.; Payne, A. J.; Siegert, M. J.] Univ Bristol, Sch Geog Sci, Bristol Glaciol Ctr, Bristol, Avon, England; [Young, D. A.; Blankenship, D. D.] Univ Texas Austin, Inst Geophys, Jackson Sch Geosci, Austin, TX USA; [Dowdeswell, J. A.] Univ Cambridge, Scott Polar Res Inst, Cambridge CB2 1ER, England</t>
  </si>
  <si>
    <t>University of Bristol; University of Texas System; University of Texas Austin; University of Cambridge</t>
  </si>
  <si>
    <t>Wright, AP (corresponding author), Univ Bristol, Sch Geog Sci, Bristol Glaciol Ctr, Bristol, Avon, England.</t>
  </si>
  <si>
    <t>m.j.siegert@bristol.ac.uk</t>
  </si>
  <si>
    <t>Young, Duncan A./G-6256-2010; Bamber, Jonathan/C-7608-2011; Siegert, Martin J/A-3826-2008; Siegert, Martin/M-9939-2019; payne, antony/A-8916-2008</t>
  </si>
  <si>
    <t>Bamber, Jonathan/0000-0002-2280-2819; Siegert, Martin J/0000-0002-0090-4806; Siegert, Martin/0000-0002-0090-4806; payne, antony/0000-0001-8825-8425; Dowdeswell, Julian/0000-0003-1369-9482</t>
  </si>
  <si>
    <t>UK Natural Environment Research Council [NE/D003733/1, NE/G00465X/1, NE/G013071/1]; US National Science Foundation [ANT-0733025]; NASA [NNX08AN68G, NNX09AR52G]; Jackson School of Geosciences; G. Unger Vetlesen Foundation; University of Texas Institute for Geophysics (UTIG) [2589]; Natural Environment Research Council [NE/F016646/1, NE/G013071/2, NE/G00465X/2, NE/G00465X/1, NE/F016646/2] Funding Source: researchfish; NERC [NE/F016646/1, NE/F016646/2, NE/G00465X/2, NE/G013071/2, NE/G00465X/1] Funding Source: UKRI; NASA [97564, NNX08AN68G, 106520, NNX09AR52G] Funding Source: Federal RePORTER</t>
  </si>
  <si>
    <t>UK Natural Environment Research Council(UK Research &amp; Innovation (UKRI)Natural Environment Research Council (NERC)); US National Science Foundation(National Science Foundation (NSF)); NASA(National Aeronautics &amp; Space Administration (NASA)); Jackson School of Geosciences; G. Unger Vetlesen Foundation; University of Texas Institute for Geophysics (UTIG); Natural Environment Research Council(UK Research &amp; Innovation (UKRI)Natural Environment Research Council (NERC)); NERC(UK Research &amp; Innovation (UKRI)Natural Environment Research Council (NERC)); NASA(National Aeronautics &amp; Space Administration (NASA))</t>
  </si>
  <si>
    <t>This work was supported by UK Natural Environment Research Council grants NE/D003733/1, NE/G00465X/1 and NE/G013071/1, US National Science Foundation grant ANT-0733025 and NASA grants NNX08AN68G and NNX09AR52G (Operation IceBridge), the Jackson School of Geosciences and the G. Unger Vetlesen Foundation. This is University of Texas Institute for Geophysics (UTIG) contribution No. 2589.</t>
  </si>
  <si>
    <t>10.3189/2014JoG13J014</t>
  </si>
  <si>
    <t>WOS:000336198100014</t>
  </si>
  <si>
    <t>Feldmann, J; Albrecht, T; Khroulev, C; Pattyn, F; Levermann, A</t>
  </si>
  <si>
    <t>Feldmann, J.; Albrecht, T.; Khroulev, C.; Pattyn, F.; Levermann, A.</t>
  </si>
  <si>
    <t>Resolution-dependent performance of grounding line motion in a shallow model compared with a full-Stokes model according to the MISMIP3d intercomparison</t>
  </si>
  <si>
    <t>ANTARCTIC ICE-SHEET; PISM-PIK; MIGRATION; STABILITY; GREENLAND; COLLAPSE; FLOW</t>
  </si>
  <si>
    <t>Making confident statements about the evolution of an ice-sheet shelf system with a numerical model requires the capability to reproduce the migration of the grounding line. Here we show that the shallow-ice approximation/shallow-shelf approximation hybrid-type Parallel Ice Sheet Model (PISM), with its recent improvements, is capable of modeling the grounding line motion in a perturbed ice-sheet shelf system. The model is set up according to the three-dimensional Marine Ice-Sheet Model Intercomparison Project (MISMIP3d), and simulations are carried out across a broad range of spatial resolutions. Using (1) a linear interpolation of the grounding line with locally interpolated basal friction and (2) an improved driving-stress computation across the grounding line, the reversibility of the grounding line (i.e. its retreat after an advance forced by a local perturbation of basal resistance) is captured by the model even at medium and low resolutions (Delta x &gt; 10 km). The transient model response is qualitatively similar to that of higher-order models but reveals a higher initial sensitivity to perturbations on very short timescales. Our findings support the application of PISM to the Antarctic ice sheet from regional up to continental scales and on relatively low spatial resolutions.</t>
  </si>
  <si>
    <t>[Feldmann, J.; Albrecht, T.; Levermann, A.] Potsdam Inst Climate Impact Res PIK, Potsdam, Germany; [Feldmann, J.; Albrecht, T.; Levermann, A.] Univ Potsdam, Inst Phys, Potsdam, Germany; [Khroulev, C.] Univ Alaska Fairbanks, Inst Geophys, Fairbanks, AK 99775 USA; [Pattyn, F.] Univ Libre Bruxelles, Lab Glaciol, Brussels, Belgium</t>
  </si>
  <si>
    <t>Potsdam Institut fur Klimafolgenforschung; University of Potsdam; University of Alaska System; University of Alaska Fairbanks; Universite Libre de Bruxelles</t>
  </si>
  <si>
    <t>Feldmann, J (corresponding author), Potsdam Inst Climate Impact Res PIK, Potsdam, Germany.</t>
  </si>
  <si>
    <t>torsten.albrecht@pik-potsdam.de</t>
  </si>
  <si>
    <t>albrecht, torsten/J-8259-2019; Levermann, Anders/G-4666-2011; Pattyn, Frank/AAA-9640-2019</t>
  </si>
  <si>
    <t>albrecht, torsten/0000-0001-7459-2860; Levermann, Anders/0000-0003-4432-4704; Pattyn, Frank/0000-0003-4805-5636; Khrulev, Constantine/0000-0003-2170-7454; Feldmann, Johannes/0000-0003-4210-0221</t>
  </si>
  <si>
    <t>Deutsche Bundesstiftung Umwelt; German National Merit Foundation</t>
  </si>
  <si>
    <t>J.F. is funded by Deutsche Bundesstiftung Umwelt. T.A. is funded by the German National Merit Foundation. We thank Rupert Gladstone and an anonymous reviewer for helpful comments on the original manuscript, and the scientific editor, Wei Li Wang, for handling the review process.</t>
  </si>
  <si>
    <t>10.3189/2014JoG13J093</t>
  </si>
  <si>
    <t>WOS:000336198100015</t>
  </si>
  <si>
    <t>Pfeffer, WT; Arendt, AA; Bliss, A; Bolch, T; Cogley, JG; Gardner, AS; Hagen, JO; Hock, R; Kaser, G; Kienholz, C; Miles, ES; Moholdt, G; Mölg, N; Paul, F; Radic, V; Rastner, P; Raup, BH; Rich, J; Sharp, MJ; Andeassen, LM; Bajracharya, S; Barrand, NE; Beedle, MJ; Berthier, E; Bhambri, R; Brown, I; Burgess, DO; Burgess, EW; Cawkwell, F; Chinn, T; Copland, L; Cullen, NJ; Davies, B; De Angelis, H; Fountain, AG; Frey, H; Giffen, BA; Glasser, NF; Gurney, SD; Hagg, W; Hall, DK; Haritashya, UK; Hartmann, G; Herreid, S; Howat, I; Jiskoot, H; Khromova, TE; Klein, A; Kohler, J; König, M; Kriegel, D; Kutuzov, S; Lavrentiev, I; Le Bris, R; Li, X; Manley, WF; Mayer, C; Menounos, B; Mercer, A; Mool, P; Negrete, A; Nosenko, G; Nuth, C; Osmonov, A; Pettersson, R; Racoviteanu, A; Ranzi, R; Sarikaya, MA; Schneider, C; Sigurdsson, O; Sirguey, P; Stokes, CR; Wheate, R; Wolken, GJ; Wu, LZ; Wyatt, FR</t>
  </si>
  <si>
    <t>Pfeffer, W. Tad; Arendt, Anthony A.; Bliss, Andrew; Bolch, Tobias; Cogley, J. Graham; Gardner, Alex S.; Hagen, Jon-Ove; Hock, Regine; Kaser, Georg; Kienholz, Christian; Miles, Evan S.; Moholdt, Geir; Moelg, Nico; Paul, Frank; Radic, Valentina; Rastner, Philipp; Raup, Bruce H.; Rich, Justin; Sharp, Martin J.; Andeassen, L. M.; Bajracharya, S.; Barrand, N. E.; Beedle, M. J.; Berthier, E.; Bhambri, R.; Brown, I.; Burgess, D. O.; Burgess, E. W.; Cawkwell, F.; Chinn, T.; Copland, L.; Cullen, N. J.; Davies, B.; De Angelis, H.; Fountain, A. G.; Frey, H.; Giffen, B. A.; Glasser, N. F.; Gurney, S. D.; Hagg, W.; Hall, D. K.; Haritashya, U. K.; Hartmann, G.; Herreid, S.; Howat, I.; Jiskoot, H.; Khromova, T. E.; Klein, A.; Kohler, J.; Konig, M.; Kriegel, D.; Kutuzov, S.; Lavrentiev, I.; Le Bris, R.; Li, X.; Manley, W. F.; Mayer, C.; Menounos, B.; Mercer, A.; Mool, P.; Negrete, A.; Nosenko, G.; Nuth, C.; Osmonov, A.; Pettersson, R.; Racoviteanu, A.; Ranzi, R.; Sarikaya, M. A.; Schneider, C.; Sigurdsson, O.; Sirguey, P.; Stokes, C. R.; Wheate, R.; Wolken, G. J.; Wu, L. Z.; Wyatt, F. R.</t>
  </si>
  <si>
    <t>Randolph Consortium</t>
  </si>
  <si>
    <t>The Randolph Glacier Inventory: a globally complete inventory of glaciers</t>
  </si>
  <si>
    <t>Antarctic glaciology; Arctic glaciology; glacier delineation; glacier mapping; remote sensing; tropical glaciology</t>
  </si>
  <si>
    <t>SEA-LEVEL RISE; ICE CAPS; MOUNTAIN GLACIERS; ALASKAN GLACIERS; MASS-BALANCE; PROJECT; VOLUME; LANDSAT</t>
  </si>
  <si>
    <t>The Randolph Glacier Inventory (RGI) is a globally complete collection of digital outlines of glaciers, excluding the ice sheets, developed to meet the needs of the Fifth Assessment of the Intergovernmental Panel on Climate Change for estimates of past and future mass balance. The RGI was created with limited resources in a short period. Priority was given to completeness of coverage, but a limited, uniform set of attributes is attached to each of the similar to 198 000 glaciers in its latest version, 3.2. Satellite imagery from 1999-2010 provided most of the outlines. Their total extent is estimated as 726 800 +/- 34 000 km(2). The uncertainty, about +/- 5%, is derived from careful single-glacier and basin-scale uncertainty estimates and comparisons with inventories that were not sources for the RGI. The main contributors to uncertainty are probably misinterpretation of seasonal snow cover and debris cover. These errors appear not to be normally distributed, and quantifying them reliably is an unsolved problem. Combined with digital elevation models, the RGI glacier outlines yield hypsometries that can be combined with atmospheric data or model outputs for analysis of the impacts of climatic change on glaciers. The RGI has already proved its value in the generation of significantly improved aggregate estimates of glacier mass changes and total volume, and thus actual and potential contributions to sea-level rise.</t>
  </si>
  <si>
    <t>[Pfeffer, W. Tad] Univ Colorado, Inst Arctic &amp; Alpine Res, Boulder, CO 80309 USA; [Arendt, Anthony A.; Bliss, Andrew; Hock, Regine; Kienholz, Christian; Rich, Justin] Univ Alaska Fairbanks, Inst Geophys, Fairbanks, AK 99775 USA; [Bolch, Tobias; Moelg, Nico; Paul, Frank; Rastner, Philipp] Univ Zurich, Dept Geog, Zurich, Switzerland; [Bolch, Tobias] Tech Univ Dresden, Inst Cartog, D-01062 Dresden, Germany; [Cogley, J. Graham] Trent Univ, Dept Geog, Peterborough, ON K9J 7B8, Canada; [Gardner, Alex S.] Clark Univ, Grad Sch Geog, Worcester, MA 01610 USA; [Hagen, Jon-Ove] Univ Oslo, Dept Geosci, Oslo, Norway; [Hock, Regine] Uppsala Univ, Dept Earth Sci, Uppsala, Sweden; [Kaser, Georg] Univ Innsbruck, Inst Meteorol &amp; Geophys, A-6020 Innsbruck, Austria; [Miles, Evan S.] Univ Cambridge, Scott Polar Res Inst, Cambridge CB2 1ER, England; [Moholdt, Geir] Univ Calif San Diego, Scripps Inst Oceanog, Inst Geophys &amp; Planetary Phys, La Jolla, CA 92093 USA; [Radic, Valentina] Univ British Columbia, Dept Earth Ocean &amp; Atmospher Sci, Vancouver, BC V5Z 1M9, Canada; [Raup, Bruce H.] Univ Colorado, Natl Snow &amp; Ice Data Ctr, Boulder, CO 80309 USA; [Sharp, Martin J.] Univ Alberta, Dept Earth &amp; Atmospher Sci, Edmonton, AB, Canada; [Andeassen, L. M.] Norwegian Water Resources &amp; Energy Directorate, Oslo, Norway; [Bajracharya, S.; Mool, P.] Int Ctr Integrated Mt Dev, Kathmandu, Nepal; [Barrand, N. E.] Univ Birmingham, Birmingham, W Midlands, England; [Beedle, M. J.] Univ No British Columbia, Terrace, BC, Canada; [Berthier, E.] Lab Etudes Geophys &amp; Oceanog Spatiales, Toulouse, France; [Bhambri, R.] Wadia Inst Himalayan Geol, Dehra Dun, Uttar Pradesh, India; [Brown, I.; De Angelis, H.; Mercer, A.] Stockholm Univ, Stockholm, Sweden; [Burgess, D. O.] Geol Survey Canada, Ottawa, ON, Canada; [Burgess, E. W.; Herreid, S.] Univ Alaska Fairbanks, Fairbanks, AK USA; [Cawkwell, F.] Univ Coll Cork, Cork, Ireland; [Chinn, T.] Natl Inst Water &amp; Atmospher Res, Dunedin, New Zealand; [Copland, L.] Univ Ottawa, Ottawa, ON, Canada; [Cullen, N. J.; Sirguey, P.] Univ Otago, Dunedin, New Zealand; [Davies, B.; Glasser, N. F.] Aberystwyth Univ, Aberystwyth, Dyfed, Wales; [Fountain, A. G.] Portland State Univ, Portland, OR USA; [Frey, H.; Le Bris, R.] Univ Zurich, Zurich, Switzerland; [Giffen, B. A.] National Pk Serv, Anchorage, AK USA; [Gurney, S. D.] Univ Reading, Reading, Berks, England; [Hagg, W.] Univ Munich, Munich, Germany; [Hall, D. K.] Goddard Space Flight Ctr, Greenbelt, MD USA; [Haritashya, U. K.] Univ Dayton, Dayton, OH USA; [Hartmann, G.] Alberta Geol Survey, Edmonton, AB, Canada; [Howat, I.; Negrete, A.] Ohio State Univ, Columbus, OH USA; [Jiskoot, H.] Univ Lethbridge, Lethbridge, AB, Canada; [Khromova, T. E.; Kutuzov, S.; Lavrentiev, I.; Nosenko, G.] Russian Acad Sci, Inst Geog, Moscow, Russia; [Klein, A.] Texas A&amp;M Univ, College Stn, TX USA; [Kohler, J.; Konig, M.] Norwegian Polar Res Inst, Tromso, Norway; [Kriegel, D.] German Res Ctr Geosci, Potsdam, Germany; [Li, X.; Wu, L. Z.] Cold &amp; Arid Regions Environm &amp; Engn Res Inst, Lanzhou, Peoples R China; [Manley, W. F.] Univ Colorado, Boulder, CO USA; [Mayer, C.] Bavarian Acad Sci, Commiss Geodesy &amp; Glaciol, Munich, Germany; [Menounos, B.; Wheate, R.] Univ No British Columbia, Prince George, BC, Canada; [Nuth, C.] Univ Oslo, Oslo, Norway; [Osmonov, A.] Central Asian Inst Appl Geosci, Bishkek, Kyrgyzstan; [Pettersson, R.] Uppsala Univ, Uppsala, Sweden; [Racoviteanu, A.] Lab Glaciol &amp; Geophys Environm, Grenoble, France; [Ranzi, R.] Univ Brescia, Brescia, Italy; [Sarikaya, M. A.] Fatih Univ, Istanbul, Turkey; [Schneider, C.] Rhein Westfal TH Aachen, Aachen, Germany; [Sigurdsson, O.] Iceland Meteorol Off, Reykjavik, Iceland; [Stokes, C. R.] Univ Durham, Durham, England; [Wolken, G. J.] Alaska Div Geolog &amp; Geophys Surveys, Fairbanks, AK USA; [Wyatt, F. R.] Univ Alberta, Edmonton, AB, Canada</t>
  </si>
  <si>
    <t>University of Colorado System; University of Colorado Boulder; University of Alaska System; University of Alaska Fairbanks; University of Zurich; Technische Universitat Dresden; Trent University; Clark University; University of Oslo; Uppsala University; University of Innsbruck; University of Cambridge; University of California System; University of California San Diego; Scripps Institution of Oceanography; University of British Columbia; University of Colorado System; University of Colorado Boulder; University of Alberta; Norwegian Water Resources &amp; Energy Directorate; University of Birmingham; University of Northern British Columbia; Universite de Toulouse; Universite Toulouse III - Paul Sabatier; Centre National de la Recherche Scientifique (CNRS); Institut de Recherche pour le Developpement (IRD); Laboratoire d'Etudes en Geophysique et oceanographie spatiales; Department of Science &amp; Technology (India); Wadia Institute of Himalayan Geology (WIHG); Stockholm University; Natural Resources Canada; Lands &amp; Minerals Sector - Natural Resources Canada; Geological Survey of Canada; University of Alaska System; University of Alaska Fairbanks; University College Cork; National Institute of Water &amp; Atmospheric Research (NIWA) - New Zealand; University of Ottawa; University of Otago; Aberystwyth University; Portland State University; University of Zurich; University of Reading; University of Munich; National Aeronautics &amp; Space Administration (NASA); NASA Goddard Space Flight Center; University System of Ohio; University of Dayton; University System of Ohio; Ohio State University; University of Lethbridge; Institute of Geography, Russian Academy of Sciences; Russian Academy of Sciences; Texas A&amp;M University System; Texas A&amp;M University College Station; Norwegian Polar Institute; Helmholtz Association; Helmholtz-Center Potsdam GFZ German Research Center for Geosciences; Chinese Academy of Sciences; Cold &amp; Arid Regions Environmental &amp; Engineering Research Institute, CAS; University of Colorado System; University of Colorado Boulder; University of Northern British Columbia; University of Oslo; Uppsala University; Communaute Universite Grenoble Alpes; Universite Grenoble Alpes (UGA); University of Brescia; Fatih University; RWTH Aachen University; Durham University; University of Alberta</t>
  </si>
  <si>
    <t>Pfeffer, WT (corresponding author), Univ Colorado, Inst Arctic &amp; Alpine Res, Boulder, CO 80309 USA.</t>
  </si>
  <si>
    <t>gcogley@trentu.ca</t>
  </si>
  <si>
    <t>Klein, Andrew/AGK-9609-2022; Miles, Evan/J-1286-2019; Lavrentiev, Ivan/AAG-8519-2021; li, xin/HHS-9461-2022; Racoviteanu, Adina/A-7332-2016; Hall, Dorothy K./D-5562-2012; Sarıkaya, Mehmet Akif/ABA-9369-2020; Frey, Holger/E-7545-2012; Khromova, Tatiana/N-2383-2013; Bolch, Tobias/ABE-6635-2020; RANZI, Roberto/A-1594-2009; Berthier, Etienne/B-8900-2009; Bhambri, Rakesh/AAI-2997-2020; De Angelis, Hernán/AAD-9020-2019; Kutuzov, Stanislav/A-2775-2013; Lavrentiev, Ivan/E-2224-2017; Cawkwell, Fiona/N-2424-2019; Bolch, Tobias/A-1935-2008; Schneider, Christoph/V-2150-2017; Li, Xin/F-7473-2011; Hock, Regine/C-6179-2013; Nosenko, Gennady A/N-2380-2013; Howat, Ian/A-3474-2008; Stokes, Chris/A-1957-2011; Hock, Regine/JTT-4089-2023</t>
  </si>
  <si>
    <t>Miles, Evan/0000-0001-5446-8571; Lavrentiev, Ivan/0000-0002-6902-7186; Racoviteanu, Adina/0000-0003-4954-1871; Sarıkaya, Mehmet Akif/0000-0001-8254-8974; Bolch, Tobias/0000-0002-8201-5059; RANZI, Roberto/0000-0002-7408-9891; Berthier, Etienne/0000-0001-5978-9155; Bhambri, Rakesh/0000-0002-4777-894X; De Angelis, Hernán/0000-0002-8584-272X; Kutuzov, Stanislav/0000-0003-2007-0922; Lavrentiev, Ivan/0000-0002-6902-7186; Cawkwell, Fiona/0000-0002-7365-8909; Bolch, Tobias/0000-0002-8201-5059; Schneider, Christoph/0000-0002-9914-3217; Li, Xin/0000-0003-2999-9818; Nosenko, Gennady A/0000-0002-8760-184X; Howat, Ian/0000-0002-8072-6260; Barrand, Nicholas/0000-0003-4428-1863; Hagg, Wilfried/0000-0002-0554-1936; Stokes, Chris/0000-0003-3355-1573; Gardner, Alex/0000-0002-8394-8889; Glasser, Neil/0000-0002-8245-2670; Bliss, Andrew/0000-0002-8637-1923; Hock, Regine/0000-0001-8336-9441; Kohler, Jack/0000-0003-1963-054X; Davies, Bethan/0000-0002-8636-1813; Radic, Valentina/0000-0002-1185-0751; Mercer, Andrew/0000-0003-2636-6126; Haritashya, Umesh/0000-0001-9527-954X; Kaser, Georg/0000-0001-5916-6206; Klein, Andrew/0000-0003-3804-8205; Arendt, Anthony/0000-0003-0429-6905; Cullen, Nicolas James/0000-0001-8877-1325</t>
  </si>
  <si>
    <t>NASA's Cryospheric Research Branch [NNX11AF41G, NNX13AK37G, NNX11A023G]; US Geological Survey's Alaska Climate Science Center; US National Park Service [H9911080028]; European Space Agency [4000101 7781 10/I-AM]; ice2sea programme (European Union) [226375]; German Research Foundation (DFG) [BO 3199/2-1]; US National Science Foundation [ANTI 043649, EAR 0943742]; Austrian Science Fund (FWF) [1900-N21, P25362-N26]; Natural Sciences and Engineering Research Council of Canada; Environment Canada; Austrian Science Fund (FWF) [I 900] Funding Source: researchfish; Division Of Earth Sciences; Directorate For Geosciences [1038818] Funding Source: National Science Foundation; Division Of Earth Sciences; Directorate For Geosciences [0943599, 1039008, 1038907] Funding Source: National Science Foundation</t>
  </si>
  <si>
    <t>NASA's Cryospheric Research Branch; US Geological Survey's Alaska Climate Science Center; US National Park Service; European Space Agency(European Space Agency); ice2sea programme (European Union)(European Union (EU)); German Research Foundation (DFG)(German Research Foundation (DFG)); US National Science Foundation(National Science Foundation (NSF)); Austrian Science Fund (FWF)(Austrian Science Fund (FWF)); Natural Sciences and Engineering Research Council of Canada(Natural Sciences and Engineering Research Council of Canada (NSERC)CGIAR); Environment Canada(CGIAR); Austrian Science Fund (FWF)(Austrian Science Fund (FWF)); Division Of Earth Sciences; Directorate For Geosciences(National Science Foundation (NSF)NSF - Directorate for Geosciences (GEO)); Division Of Earth Sciences; Directorate For Geosciences(National Science Foundation (NSF)NSF - Directorate for Geosciences (GEO))</t>
  </si>
  <si>
    <t>We thank D. Bahr for helpful discussions, and an anonymous reviewer for a constructive review. Support for planning of the RGI, and for meetings in Winter Park, Colorado, and Randolph, New Hampshire, USA, was provided by the International Association for Cryospheric Sciences and the International Arctic Science Committee. K.M. Cuffey kindly provided the venue and helped to arrange a meeting in Berkeley, California, USA. We are grateful for support from NASA's Cryospheric Research Branch (grants NNX11AF41G to C.K., NNX13AK37G to A.A. and J.R., NNX11A023G to A.B.); the US Geological Survey's Alaska Climate Science Center and the US National Park Service (grant H9911080028 to A.A. and J.R.); the European Space Agency (Glaciers_cci project 4000101 7781 10/I-AM to T.B. and F.P.); the ice2sea programme (European Union 7th Framework Programme grant No. 226375 to P.R.; ice2sea contribution No. 100); the German Research Foundation (DFG, grant BO 3199/2-1 to T.B.); the US National Science Foundation (grants ANTI 043649 and EAR 0943742 to R.H.); the Austrian Science Fund (FWF; grants 1900-N21 and P25362-N26 to G.K.); and the Natural Sciences and Engineering Research Council of Canada (Discovery Grant) and Environment Canada (to M.S.).</t>
  </si>
  <si>
    <t>10.3189/2014JoG13J176</t>
  </si>
  <si>
    <t>AL4YI</t>
  </si>
  <si>
    <t>Green Accepted, hybrid, Green Published, Green Submitted</t>
  </si>
  <si>
    <t>WOS:000339140300012</t>
  </si>
  <si>
    <t>Karlsson, NB; Bingham, RG; Rippin, DM; Hindmarsh, RCA; Corr, HFJ; Vaughan, DG</t>
  </si>
  <si>
    <t>Karlsson, Nanna B.; Bingham, Robert G.; Rippin, David M.; Hindmarsh, Richard C. A.; Corr, Hugh F. J.; Vaughan, David G.</t>
  </si>
  <si>
    <t>Constraining past accumulation in the central Pine Island Glacier basin, West Antarctica, using radio-echo sounding</t>
  </si>
  <si>
    <t>Antarctic glaciology; ground-penetrating radar; ice-sheet modelling; radio-echo sounding</t>
  </si>
  <si>
    <t>SURFACE MASS-BALANCE; SEA-LEVEL RISE; ICE-SHEET; SUBGLACIAL TOPOGRAPHY; BOUNDARY-CONDITIONS; DYNAMICS; REASSESSMENT; GREENLAND; RETREAT; SECTOR</t>
  </si>
  <si>
    <t>The potential for future dynamical instability of Pine Island Glacier, West Antarctica, has been addressed in a number of studies, but information on its past remains limited. In this study we use airborne radio-echo sounding (RES) data acquired over Pine Island Glacier to investigate past variations in accumulation pattern. In the dataset a distinctive pattern of layers was identified in the central part of the glacier basin. We use these layers as chronological identifiers in order to construct elevation maps of the internal stratigraphy. The observed internal layer stratigraphy is then compared to calculated stratigraphy from a three-dimensional ice-flow model that has been forced with different accumulation scenarios. The model results indicate that the accumulation pattern is likely to have changed at least twice since the deposition of the deepest identified layer. Additional RES data linked to the Byrd ice core provide an approximate timescale. This timescale suggests that the layers were deposited at the beginning of or during the Holocene period. Thus the widespread changes occurring in the coastal extent of the West Antarctic ice sheet at the end of the last glacial period could have been accompanied by changes in accumulation pattern.</t>
  </si>
  <si>
    <t>[Karlsson, Nanna B.] Univ Copenhagen, Niels Bohr Inst, Ctr Ice &amp; Climate, DK-2100 Copenhagen, Denmark; [Karlsson, Nanna B.] Univ Hull, Dept Geog, Kingston Upon Hull HU6 7RX, N Humberside, England; [Bingham, Robert G.] Univ Edinburgh, Sch Geosci, Edinburgh, Midlothian, Scotland; [Rippin, David M.] Univ York, Dept Environm, York YO10 5DD, N Yorkshire, England; [Hindmarsh, Richard C. A.; Corr, Hugh F. J.; Vaughan, David G.] British Antarctic Survey, NERC, Cambridge CB3 0ET, England</t>
  </si>
  <si>
    <t>University of Copenhagen; Niels Bohr Institute; University of Hull; University of Edinburgh; University of York - UK; UK Research &amp; Innovation (UKRI); Natural Environment Research Council (NERC); NERC British Antarctic Survey</t>
  </si>
  <si>
    <t>Karlsson, NB (corresponding author), Univ Copenhagen, Niels Bohr Inst, Ctr Ice &amp; Climate, Blegdamsvej 17, DK-2100 Copenhagen, Denmark.</t>
  </si>
  <si>
    <t>nbkarlsson@nbi.dk</t>
  </si>
  <si>
    <t>Vaughan, David/C-8348-2011; Rippin, David Manish/AAW-5063-2021; Karlsson, Nanna Bjørnholt/G-4621-2018; Hindmarsh, Richard C A/C-1405-2012; Corr, Hugh/C-5398-2011; Hindmarsh, Richard/N-1195-2019; Bingham, Robert G/G-3576-2017; Karlsson, Nanna B./M-4519-2014</t>
  </si>
  <si>
    <t>Rippin, David Manish/0000-0001-7757-9880; Hindmarsh, Richard/0000-0003-1633-2416; Bingham, Robert G/0000-0002-0630-2021; Vaughan, David/0000-0002-9065-0570; Karlsson, Nanna B./0000-0003-0423-8705</t>
  </si>
  <si>
    <t>Natural Environment Research Council [bas0100027, NE/J008087/1] Funding Source: researchfish; NERC [NE/J008087/1, bas0100027] Funding Source: UKRI</t>
  </si>
  <si>
    <t>10.3189/2014JoG13J180</t>
  </si>
  <si>
    <t>WOS:000339140300013</t>
  </si>
  <si>
    <t>van Wessem, JM; Reijmer, CH; Morlighem, M; Mouginot, J; Rignot, E; Medley, B; Joughin, I; Wouters, B; Depoorter, MA; Bamber, JL; Lenaerts, JTM; van de Berg, WJ; van den Broeke, MR; van Meijgaard, E</t>
  </si>
  <si>
    <t>van Wessem, J. M.; Reijmer, C. H.; Morlighem, M.; Mouginot, J.; Rignot, E.; Medley, B.; Joughin, I.; Wouters, B.; Depoorter, M. A.; Bamber, J. L.; Lenaerts, J. T. M.; van de Berg, W. J.; van den Broeke, M. R.; van Meijgaard, E.</t>
  </si>
  <si>
    <t>Improved representation of East Antarctic surface mass balance in a regional atmospheric climate model</t>
  </si>
  <si>
    <t>accumulation; atmosphere/ice/ocean interactions; ice and climate; ice velocity; surface mass budget</t>
  </si>
  <si>
    <t>GREENLAND ICE-SHEET; RADAR INTERFEROMETRY; SNOW; VARIABILITY; PRECIPITATION; RESOLUTION; SYSTEM; IMPACT; GRACE; WIND</t>
  </si>
  <si>
    <t>This study evaluates the impact of a recent upgrade in the physics package of the regional atmospheric climate model RACMO2 on the simulated surface mass balance (SMB) of the Antarctic ice sheet. The modelled SMB increases, in particular over the grounded ice sheet of East Antarctica (+44 Gt a(-1)), with a small change in West Antarctica. This mainly results from an increase in precipitation, which is explained by changes in the cloud microphysics, including a new parameterization for ice cloud supersaturation, and changes in large-scale circulation patterns, which alter topographically forced precipitation. The spatial changes in SMB are evaluated using 3234 in situ SMB observations and ice-balance velocities, and the temporal variability using GRACE satellite retrievals. The in situ observations and balance velocities show a clear improvement of the spatial representation of the SMB in the interior of East Antarctica, which has become considerably wetter. No improvements are seen for West Antarctica and the coastal regions. A comparison of model SMB temporal variability with GRACE satellite retrievals shows no significant change in performance.</t>
  </si>
  <si>
    <t>[van Wessem, J. M.; Reijmer, C. H.; Lenaerts, J. T. M.; van de Berg, W. J.; van den Broeke, M. R.] Univ Utrecht, Inst Marine &amp; Atmospher Res Utrecht IMAU, Utrecht, Netherlands; [Morlighem, M.; Mouginot, J.; Rignot, E.] Univ Calif Irvine, Dept Earth Syst Sci, Irvine, CA USA; [Medley, B.] NASA, Goddard Space Flight Ctr, Greenbelt, MD 20771 USA; [Joughin, I.] Univ Washington, Polar Sci Ctr, Appl Phys Lab, Seattle, WA 98195 USA; [Wouters, B.; Depoorter, M. A.; Bamber, J. L.] Univ Bristol, Bristol Glaciol Ctr, Sch Geog Sci, Bristol, Avon, England; [van Meijgaard, E.] Royal Netherlands Meteorol Inst, NL-3730 AE De Bilt, Netherlands</t>
  </si>
  <si>
    <t>Utrecht University; University of California System; University of California Irvine; National Aeronautics &amp; Space Administration (NASA); NASA Goddard Space Flight Center; University of Washington; University of Washington Seattle; University of Bristol; Royal Netherlands Meteorological Institute</t>
  </si>
  <si>
    <t>van Wessem, JM (corresponding author), Univ Utrecht, Inst Marine &amp; Atmospher Res Utrecht IMAU, Utrecht, Netherlands.</t>
  </si>
  <si>
    <t>j.m.vanwessem@uu.nl</t>
  </si>
  <si>
    <t>Reijmer, Carleen H/G-8736-2011; Wouters, Bert/AAA-4254-2019; Bamber, Jonathan/C-7608-2011; Van den Broeke, Michiel R./F-7867-2011; Morlighem, Mathieu/O-9942-2014; Mouginot, Jeremie/G-7045-2015; van de Berg, Willem Jan/H-4385-2011; Lenaerts, Jan/D-9423-2012; Joughin, Ian/AAR-7778-2021; Joughin, Ian R/A-2998-2008; Rignot, Eric/A-4560-2014; van Wessem, Melchior/AAB-1987-2019</t>
  </si>
  <si>
    <t>Reijmer, Carleen H/0000-0001-8299-3883; Wouters, Bert/0000-0002-1086-2435; Bamber, Jonathan/0000-0002-2280-2819; Van den Broeke, Michiel R./0000-0003-4662-7565; Morlighem, Mathieu/0000-0001-5219-1310; Mouginot, Jeremie/0000-0001-9155-5455; van de Berg, Willem Jan/0000-0002-8232-2040; Lenaerts, Jan/0000-0003-4309-4011; Joughin, Ian/0000-0001-6229-679X; Joughin, Ian R/0000-0001-6229-679X; Rignot, Eric/0000-0002-3366-0481; van Wessem, Melchior/0000-0003-3221-791X</t>
  </si>
  <si>
    <t>NWO/ALW, Netherlands Polar Programme; UK Natural Environment Research Council [NE/I027401/1]; Natural Environment Research Council [NE/I027401/1] Funding Source: researchfish; NERC [NE/I027401/1] Funding Source: UKRI</t>
  </si>
  <si>
    <t>NWO/ALW, Netherlands Polar Programme; UK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</si>
  <si>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We are grateful for the financial support of NWO/ALW, Netherlands Polar Programme. J.L.B. was funded by the UK Natural Environment Research Council grant NE/I027401/1. We thank the ECMWF for use of their supercomputing facilities.</t>
  </si>
  <si>
    <t>10.3189/2014JoG14J051</t>
  </si>
  <si>
    <t>AR0OV</t>
  </si>
  <si>
    <t>WOS:000343272100014</t>
  </si>
  <si>
    <t>Langley, K; Tinto, K; Block, A; Bell, R; Kohler, J; Scambos, T</t>
  </si>
  <si>
    <t>Langley, K.; Tinto, K.; Block, A.; Bell, R.; Kohler, J.; Scambos, T.</t>
  </si>
  <si>
    <t>Onset of fast ice flow in Recovery Ice Stream, East Antarctica: a comparison of potential causes</t>
  </si>
  <si>
    <t>Antarctic glaciology; ice streams; subglacial lakes</t>
  </si>
  <si>
    <t>LAKE VOSTOK; SUBGLACIAL LAKES; RADAR; INVENTORY; SHEET; DOME</t>
  </si>
  <si>
    <t>Recovery Ice Stream has multiple branches reaching far into the East Antarctic ice sheet. We use new airborne and ground-based geophysics to give the first comprehensive overview of the upper catchment and, by constraining the physical setting, to advance our understanding of the controlling mechanisms for the onset of fast flow. The 400 km wide ice stream extends towards the Recovery Subglacial Lakes, a region characterized by a crustal boundary, a change in bed roughness, a bedrock topographic step and four topographic basins (A-D), three of which (A-C) contain subglacial water. All these characteristics are considered potential causal mechanisms that contribute to the onset of fast flow. In Lakes B and C the subglacial water is located in basins with sharp downstream ridges, in contrast to the gently sloping ridge on the downstream margin of Lake A. The fastest-flowing branch of the ice stream emanates from Lake A. The presence of multiple causal mechanisms along the four Recovery Lakes allows us to identify basal water as a dominant factor for the onset of fast flow, but only if it is stored in a shallow-sided basin where it can lubricate the flow downstream. Relatively minor topographic barriers appear to inhibit streaming.</t>
  </si>
  <si>
    <t>[Langley, K.] Univ Oslo, Dept Geosci, Oslo, Norway; [Langley, K.; Tinto, K.; Block, A.; Bell, R.] Columbia Univ, Lamont Doherty Earth Observ, Palisades, NY USA; [Langley, K.; Kohler, J.] Norwegian Polar Res Inst, Fram Ctr, Tromso, Norway; [Scambos, T.] Univ Colorado, Natl Snow &amp; Ice Data Ctr, Boulder, CO 80309 USA</t>
  </si>
  <si>
    <t>University of Oslo; Columbia University; Norwegian Polar Institute; University of Colorado System; University of Colorado Boulder</t>
  </si>
  <si>
    <t>Langley, K (corresponding author), Univ Oslo, Dept Geosci, Oslo, Norway.</t>
  </si>
  <si>
    <t>kirstyl@geo.uio.no</t>
  </si>
  <si>
    <t>SCAMBOS, Ted A./0000-0003-4268-6322; Kohler, Jack/0000-0003-1963-054X</t>
  </si>
  <si>
    <t>Norwegian Polar Institute (NPI) [152]; Research Council of Norway; US National Science Foundation (NSF); Center for Ice, Climate and Ecosystems (ICE) of the NPI; Federal Institute for Geosciences and Resources, Germany (BGR); Polar Research Institute of China; Lamont Doherty Marie Tharp Fellowship</t>
  </si>
  <si>
    <t>Norwegian Polar Institute (NPI); Research Council of Norway(Research Council of Norway); US National Science Foundation (NSF)(National Science Foundation (NSF)); Center for Ice, Climate and Ecosystems (ICE) of the NPI; Federal Institute for Geosciences and Resources, Germany (BGR); Polar Research Institute of China; Lamont Doherty Marie Tharp Fellowship</t>
  </si>
  <si>
    <t>We acknowledge all members of the Norwegian-US IPY traverse and the AGAP field teams. The ground-based work was carried out under the umbrella of the International Trans-Antarctic Scientific Expedition (ITASE)-Ice Divide of East Antarctica (IDEA) within the framework of IPY project No. 152 funded by the Norwegian Polar Institute (NPI), the Research Council of Norway and the US National Science Foundation (NSF). This work is also a contribution to ITASE. K. Langley was supported in part by the Center for Ice, Climate and Ecosystems (ICE) of the NPI. We acknowledge the seven nations involved in the AGAP IPY effort for their logistical, financial and intellectual support. Specifically the US Antarctic Program of the NSF provided support for the logistics, development of the instrumentation and analysis of the data. The UK Natural Environment Research Council (NERC)/British Antarctic Survey (BAS) provided extensive support for deep-field logistics, data collection and analysis. The Federal Institute for Geosciences and Resources, Germany (BGR), and the Polar Research Institute of China provided invaluable support to the program. K. Langley's visit was supported by the Lamont Doherty Marie Tharp Fellowship.</t>
  </si>
  <si>
    <t>10.3189/2014JoG14J067</t>
  </si>
  <si>
    <t>AU3WB</t>
  </si>
  <si>
    <t>WOS:000345540400015</t>
  </si>
  <si>
    <t>Fricker, HA; Carter, SP; Bell, RE; Scambos, T</t>
  </si>
  <si>
    <t>Fricker, Helen Amanda; Carter, Sasha P.; Bell, Robin E.; Scambos, Ted</t>
  </si>
  <si>
    <t>Active lakes of Recovery Ice Stream, East Antarctica: a bedrock-controlled subglacial hydrological system</t>
  </si>
  <si>
    <t>Antarctic glaciology; remote sensing; subglacial lakes</t>
  </si>
  <si>
    <t>GROUNDING-LINE; WEST ANTARCTICA; WATER-SYSTEM; BENEATH; GLACIER; SHEET; FLOW; INVENTORY; MELTWATER; GREENLAND</t>
  </si>
  <si>
    <t>A connected system of active subglacial lakes was revealed beneath Recovery Ice Stream, East Antarctica, by ICESat laser altimetry. Here we combine repeat-track analysis of ICESat (2003-09), Operation IceBridge laser altimetry and radio-echo sounding (2011 and 2012), and MODIS image differencing (2009-2011) to learn more about the lake activity history, the surface and bedrock topographic setting of the lakes and the constraints on water flow through the system. We extend the lake activity time series to 2012 for the three lower lakes and capture two major lake drainages. One lake underwent a large deflation between 2009 and 2011 while another lake, which had been continuously filling between 2003 and 2010, started to drain after 2011. Most of the active lakes are located in a similar to 1000 km long bedrock trough under the main trunk of Recovery Ice Stream, whose base is similar to 1500-2000 m below present-day sea level. The hydrologic system beneath Recovery Ice Stream is controlled by this unusually pronounced bedrock topography, in contrast to most Antarctic systems studied to date, which are controlled by the ice surface topography. Hydrologic connections among the lakes appear to be direct and responsive, and we reproduce the lake activity using a simple subglacial water model. We discuss potential causes of non-steady hydrologic behavior in major Antarctic catchments.</t>
  </si>
  <si>
    <t>[Fricker, Helen Amanda; Carter, Sasha P.] Univ Calif San Diego, Scripps Inst Oceanog, Inst Geophys &amp; Planetary Phys, La Jolla, CA 92093 USA; [Bell, Robin E.] Columbia Univ, Lamont Doherty Earth Observ, Palisades, NY USA; [Scambos, Ted] Univ Colorado, Natl Snow &amp; Ice Data Ctr, Boulder, CO 80309 USA</t>
  </si>
  <si>
    <t>University of California System; University of California San Diego; Scripps Institution of Oceanography; Columbia University; University of Colorado System; University of Colorado Boulder</t>
  </si>
  <si>
    <t>Fricker, HA (corresponding author), Univ Calif San Diego, Scripps Inst Oceanog, Inst Geophys &amp; Planetary Phys, La Jolla, CA 92093 USA.</t>
  </si>
  <si>
    <t>hafricker@gmail.com</t>
  </si>
  <si>
    <t>Fricker, Helen Amanda/0000-0002-0921-1432; SCAMBOS, Ted A./0000-0003-4268-6322</t>
  </si>
  <si>
    <t>NASA [NNX12AH16G, NNX11AC22G, NNX10AG21]; NASA [NNX11AC22G, 149248, NNX12AH16G, 19698] Funding Source: Federal RePORTER</t>
  </si>
  <si>
    <t>NASA(National Aeronautics &amp; Space Administration (NASA)); NASA(National Aeronautics &amp; Space Administration (NASA))</t>
  </si>
  <si>
    <t>We thank NASA's ICESat Project for distribution of the ICESat data (see http://icesat.gsfc.nasa.gov and http://nsidc.org/data/icesat) and NASA's Operation IceBridge Project for the airborne laser altimeter and RES data (see http://icebridge.gsfc.nasa.gov and http://nsidc.org/data/icebridge/. We are grateful to the Scientific Editor Neil Glasser and two anonymous reviewers who provided constructive comments that significantly improved the manuscript. We thank Matthew Siegfried and Oliver Marsh for proofreading the manuscript and making helpful suggestions. This work was funded by three NASA awards: NNX12AH16G to H.A.F. to support H.A.F. and S.P.C., NNX11AC22G to R.E.B., and NNX10AG21 G to T.A.S.</t>
  </si>
  <si>
    <t>10.3189/2014JoG14J063</t>
  </si>
  <si>
    <t>WOS:000345540400016</t>
  </si>
  <si>
    <t>Lenaerts, JTM; Brown, J; Van Den Broeke, MR; Matsuoka, K; Drews, R; Callens, D; Philippe, M; Gorodetskaya, IV; Van Meijgaard, E; Reijmer, CH; Pattyn, F; Van Lipzig, NPM</t>
  </si>
  <si>
    <t>Lenaerts, Jan T. M.; Brown, Joel; Van Den Broeke, Michiel R.; Matsuoka, Kenichi; Drews, Reinhard; Callens, Denis; Philippe, Morgane; Gorodetskaya, Irina V.; Van Meijgaard, Erik; Reijmer, Caleen H.; Pattyn, Frank; Van Lipzig, Nicole P. M.</t>
  </si>
  <si>
    <t>High variability of climate and surface mass balance induced by Antarctic ice rises</t>
  </si>
  <si>
    <t>accumulation; Antarctic glaciology; ice rise; surface mass budget; wind-blown snow</t>
  </si>
  <si>
    <t>DRONNING MAUD LAND; EAST ANTARCTICA; ACCUMULATION RATES; WEST ANTARCTICA; SNOW ACCUMULATION; GROUNDING ZONE; MODEL; RADAR; SHELF; PRECIPITATION</t>
  </si>
  <si>
    <t>Ice rises play key roles in buttressing the neighbouring ice shelves and potentially provide palaeoclimate proxies from ice cores drilled near their divides, little is known, however, about their influence on local climate and surface mass balance (SMB). Here we combine 12 years (2001-12) of regional atmospheric climate model (RACMO2) output at high horizontal resolution (5.5 km) with recent observations from weather stations, ground-penetrating radar and firn cores in coastal Dronning Maud Land, East Antarctica, to describe climate and SMB variations around ice rises. We demonstrate strong spatial variability of climate and SMB in the vicinity of ice rises, in contrast to flat ice shelves, where they are relatively homogeneous. Despite their higher elevation, ice rises are characterized by higher winter temperatures compared with the flat ice shelf. Ice rises strongly influence SMB patterns, mainly through orographic uplift of moist air on the upwind slopes. Besides precipitation, drifting snow contributes significantly to the ice-rise SMB. The findings reported here may aid in selecting a representative location for ice coring on ice rises, and allow better constraint of local ice-rise as well as regional ice-shelf mass balance.</t>
  </si>
  <si>
    <t>[Lenaerts, Jan T. M.; Van Den Broeke, Michiel R.; Reijmer, Caleen H.] Univ Utrecht, Inst Marine &amp; Atmospher Res, Utrecht, Netherlands; [Brown, Joel; Matsuoka, Kenichi] Norwegian Polar Res Inst, Tromso, Norway; [Drews, Reinhard; Callens, Denis; Philippe, Morgane; Pattyn, Frank] Univ Libre Bruxelles, Lab Glaciol, Brussels, Belgium; [Gorodetskaya, Irina V.; Van Lipzig, Nicole P. M.] Univ Leuven, KU Leuven, Dept Earth &amp; Environm Sci, Leuven, Belgium; [Van Meijgaard, Erik] Royal Netherlands Meteorol Inst, NL-3730 AE De Bilt, Netherlands</t>
  </si>
  <si>
    <t>Utrecht University; Norwegian Polar Institute; Universite Libre de Bruxelles; KU Leuven; Royal Netherlands Meteorological Institute</t>
  </si>
  <si>
    <t>Lenaerts, JTM (corresponding author), Univ Utrecht, Inst Marine &amp; Atmospher Res, Utrecht, Netherlands.</t>
  </si>
  <si>
    <t>j.lenaerts@uu.nl</t>
  </si>
  <si>
    <t>van Lipzig, Nicole/ABF-2964-2021; Reijmer, Carleen H/G-8736-2011; Lenaerts, Jan/D-9423-2012; Van den Broeke, Michiel R./F-7867-2011; Drews, reinhard/AAP-4134-2021; Pattyn, Frank/AAA-9640-2019; Matsuoka, Kenichi/B-7298-2017; Gorodetskaya, Irina/K-1987-2015</t>
  </si>
  <si>
    <t>van Lipzig, Nicole/0000-0003-2899-4046; Reijmer, Carleen H/0000-0001-8299-3883; Lenaerts, Jan/0000-0003-4309-4011; Van den Broeke, Michiel R./0000-0003-4662-7565; Drews, reinhard/0000-0002-2328-294X; Pattyn, Frank/0000-0003-4805-5636; Matsuoka, Kenichi/0000-0002-3587-3405; Brown, Joel/0000-0001-5823-3083; Gorodetskaya, Irina/0000-0002-2294-7823</t>
  </si>
  <si>
    <t>Scientific Committee on Antarctic Research (SCAR); Center for Ice, Climate and Ecosystems of the Norwegian Polar Institute (CICE); Association of Polar Early Career Scientists (APECS); Research Council of Norway; British Antarctic Survey; Climate and Cryosphere Project (CliC); Netherlands Polar Program of the Netherlands Organization of Scientific Research (NWO); FNRS-FRIA fellowship (Fonds National de la Recherche Scientifique, Belgium); Norwegian Antarctic Research Expedition and CICE</t>
  </si>
  <si>
    <t>Scientific Committee on Antarctic Research (SCAR); Center for Ice, Climate and Ecosystems of the Norwegian Polar Institute (CICE); Association of Polar Early Career Scientists (APECS); Research Council of Norway(Research Council of Norway); British Antarctic Survey; Climate and Cryosphere Project (CliC); Netherlands Polar Program of the Netherlands Organization of Scientific Research (NWO)(Netherlands Organization for Scientific Research (NWO)); FNRS-FRIA fellowship (Fonds National de la Recherche Scientifique, Belgium)(Fonds de la Recherche Scientifique - FNRS); Norwegian Antarctic Research Expedition and CICE</t>
  </si>
  <si>
    <t>The graphics in this paper are constructed using the NCAR Command Language (UCAR/NCAR/CISL/VETS, 2013). The idea for this study originated during the International Workshop on Antarctic Ice Rises, organized by K.M. with R. Hindmarsh in August 2013, with kind financial support of the Scientific Committee on Antarctic Research (SCAR), the Center for Ice, Climate and Ecosystems of the Norwegian Polar Institute (CICE), the Association of Polar Early Career Scientists (APECS), the Research Council of Norway, the British Antarctic Survey and the Climate and Cryosphere Project (CliC). This research is partly funded by the Netherlands Polar Program of the Netherlands Organization of Scientific Research (NWO). D.C. is funded through a FNRS-FRIA fellowship (Fonds National de la Recherche Scientifique, Belgium). Field data on Kupol Ciolkovskogo and Kupol Moskovskij were collected by the project IceRises, funded by the Norwegian Antarctic Research Expedition and CICE.</t>
  </si>
  <si>
    <t>10.3189/2014JoG14J040</t>
  </si>
  <si>
    <t>AZ5QM</t>
  </si>
  <si>
    <t>WOS:000348275000008</t>
  </si>
  <si>
    <t>Spagno, M; King, EC; Ashmore, DW; Rea, BR; Ely, JC; Clark, CD</t>
  </si>
  <si>
    <t>Spagno, Matteo; King, Edward C.; Ashmore, David W.; Rea, Brice R.; Ely, Jeremy C.; Clark, Chris D.</t>
  </si>
  <si>
    <t>Looking through drumlins: testing the application of ground-penetrating radar</t>
  </si>
  <si>
    <t>drumlins; geomorphology; glaciological instruments and methods; ground-penetrating radar</t>
  </si>
  <si>
    <t>ICE; GLACIER; CAVITY</t>
  </si>
  <si>
    <t>Ground-penetrating radar (GPR) is becoming a commonly applied technique in geomorphology. However, its use in the study of subglacial bedforms has yet to be fully explored and exploited. This paper presents the results of a GPR feasibility study conducted on a drumlinized terrain in Cumbria, UK, where five drumlins were investigated using multiple radar antenna frequencies. The site was selected for the presence of nearby bedrock outcrops, suggesting a shallow drumlinized diamict-bedrock contact and a permeable lithology. Despite the clayey sediment and unfavourable weather conditions, a considerable penetration depth of similar to 12 m was achieved when using a 50 MHz antenna, with a separation of 1 m, trace spacing of 1 m and 128-fold vertical stack. Results indicate that the drumlinized diamict is in direct erosional contact with the bedrock. While the internal drumlin geometry is generally chaotic on the stoss side, evidence of layering dipping downflow at an angle greater than the drumlin surface profile was found on the lee side. The inter-drumlin areas comprise similar to 4 m of infill sediment that masks part of the original drumlin profile. Overall, this study indicates that GPR can be deployed successfully in the study of glacial bedform sedimentary architecture.</t>
  </si>
  <si>
    <t>[Spagno, Matteo; Ashmore, David W.; Rea, Brice R.] Univ Aberdeen, Sch Geosci, Dept Geog &amp; Environm, Aberdeen, Scotland; [King, Edward C.] British Antarctic Survey, Nat Environm Res Council, Ice Sheets Programme, Cambridge, England; [Ely, Jeremy C.; Clark, Chris D.] Univ Sheffield, Dept Geog, Sheffield S10 2TN, S Yorkshire, England</t>
  </si>
  <si>
    <t>University of Aberdeen; UK Research &amp; Innovation (UKRI); Natural Environment Research Council (NERC); NERC British Antarctic Survey; University of Sheffield</t>
  </si>
  <si>
    <t>Spagno, M (corresponding author), Univ Aberdeen, Sch Geosci, Dept Geog &amp; Environm, Aberdeen, Scotland.</t>
  </si>
  <si>
    <t>m.spagnolo@abdn.ac.uk</t>
  </si>
  <si>
    <t>Facility, NERC Geophysical Equipment/G-5260-2010; Spagnolo, Matteo/G-2415-2011; clark, chris/C-3830-2009</t>
  </si>
  <si>
    <t>Spagnolo, Matteo/0000-0002-2753-338X; Rea, Brice/0000-0002-9928-145X; clark, chris/0000-0002-1021-6679; Ely, Jeremy/0000-0003-4007-1500</t>
  </si>
  <si>
    <t>UK Natural Environment Research Council (NERC) Geophysical Equipment Facility; University of Aberdeen, College of Physical Sciences' Research and Teaching Enhancement Fund; Denisons</t>
  </si>
  <si>
    <t>We thank the editor, Bernd Kulessa, for his review and support, and John Hiemstra and an anonymous reviewer for helpful comments and suggestions. This work was supported by an equipment loan from the UK Natural Environment Research Council (NERC) Geophysical Equipment Facility (Loan 990) and a University of Aberdeen, College of Physical Sciences' Research and Teaching Enhancement Fund. All authors are indebted to the NERC Geophysical Equipment Facility staff for training in the use of the antennas and GPS. J.C.E. thanks the Denisons for funding his PhD. We also thank Wharton Hall and Shaw Paddock farms for access to the field sites.</t>
  </si>
  <si>
    <t>10.3189/2014JoG14010</t>
  </si>
  <si>
    <t>Green Accepted, Green Submitted, hybrid</t>
  </si>
  <si>
    <t>WOS:000348275000011</t>
  </si>
  <si>
    <t>Fitzpatrick, JJ; Voigt, DE; Fegyveresi, JM; Stevens, NT; Spencer, MK; Cole-Dai, J; Alley, RB; Jardine, GE; Cravens, ED; Wilen, LA; Fudge, TJ; Mcconnell, JR</t>
  </si>
  <si>
    <t>Fitzpatrick, Joan J.; Voigt, Donald E.; Fegyveresi, John M.; Stevens, Nathan T.; Spencer, Matthew K.; Cole-Dai, Jihong; Alley, Richard B.; Jardine, Gabriella E.; Cravens, Eric D.; Wilen, Lawrence A.; Fudge, T. J.; Mcconnell, Joseph R.</t>
  </si>
  <si>
    <t>Physical properties of the WAIS Divide ice core</t>
  </si>
  <si>
    <t>Antarctic glaciology; ice core; ice crystal studies; paleoclimate; recrystallization</t>
  </si>
  <si>
    <t>PARALLEL SUBGRAIN BOUNDARIES; LOCALLY WEIGHTED REGRESSION; C-AXIS FABRICS; WEST ANTARCTICA; GRAIN-GROWTH; SIPLE-DOME; POLAR ICE; MICROSTRUCTURAL GEOTHERMOBAROMETER; VOSTOK STATION; CRYSTAL SIZE</t>
  </si>
  <si>
    <t>The WAIS (West Antarctic Ice Sheet) Divide deep ice core was recently completed to a total depth of 3405 m, ending similar to 50 m above the bed. Investigation of the visual stratigraphy and grain characteristics indicates that the ice column at the drilling location is undisturbed by any large-scale overturning or discontinuity. The climate record developed from this core is therefore likely to be continuous and robust. Measured grain-growth rates, recrystallization characteristics, and grain-size response at climate transitions fit within current understanding. Significant impurity control on grain size is indicated from correlation analysis between impurity loading and grain size. Bubble-number densities and bubble sizes and shapes are presented through the full extent of the bubbly ice. Where bubble elongation is observed, the direction of elongation is preferentially parallel to the trace of the basal (0001) plane. Preferred crystallographic orientation of grains is present in the shallowest samples measured, and increases with depth, progressing to a vertical-girdle pattern that tightens to a vertical single-maximum fabric. This single-maximum fabric switches into multiple maxima as the grain size increases rapidly in the deepest, warmest ice. A strong dependence of the fabric on the impurity-mediated grain size is apparent in the deepest samples.</t>
  </si>
  <si>
    <t>[Fitzpatrick, Joan J.] US Geol Survey, Geosci &amp; Environm Change Sci Ctr, Denver, CO 80225 USA; [Voigt, Donald E.; Fegyveresi, John M.; Stevens, Nathan T.; Alley, Richard B.] Penn State Univ, Dept Geosci, University Pk, PA 16802 USA; [Spencer, Matthew K.] Lake Super State Univ, Sch Phys Sci, Sault Sainte Marie, MI USA; [Cole-Dai, Jihong] S Dakota State Univ, Dept Chem &amp; Biochem, Brookings, SD 57007 USA; [Jardine, Gabriella E.] Univ Southampton, Natl Oceanog Ctr Southampton, Southampton, Hants, England; [Cravens, Eric D.] ADC Management Serv, Denver, CO USA; [Wilen, Lawrence A.] Yale Univ, Dept Mech Engn &amp; Mat Sci, New Haven, CT USA; [Fudge, T. J.] Univ Washington, Dept Earth &amp; Space Sci, Seattle, WA 98195 USA; [Mcconnell, Joseph R.] Univ Nevada, Desert Res Inst, Div Hydrol Sci, Reno, NV 89506 USA</t>
  </si>
  <si>
    <t>United States Department of the Interior; United States Geological Survey; Pennsylvania Commonwealth System of Higher Education (PCSHE); Pennsylvania State University; Pennsylvania State University - University Park; South Dakota State University; University of Southampton; NERC National Oceanography Centre; Yale University; University of Washington; University of Washington Seattle; Nevada System of Higher Education (NSHE); Desert Research Institute NSHE; University of Nevada Reno</t>
  </si>
  <si>
    <t>Fitzpatrick, JJ (corresponding author), US Geol Survey, Geosci &amp; Environm Change Sci Ctr, Box 25046, Denver, CO 80225 USA.</t>
  </si>
  <si>
    <t>jfitz@usgs.gov</t>
  </si>
  <si>
    <t>Cole-Dai, Jihong/B-2510-2009</t>
  </si>
  <si>
    <t>Cole-Dai, Jihong/0000-0003-0921-5916; Fudge, Tyler/0000-0002-6818-7479; Jardine, Gabriella/0000-0001-5778-6487; Fegyveresi, John/0000-0002-1029-6277</t>
  </si>
  <si>
    <t>US Geological Survey Climate and Land Use Change Research and Development Program; US National Science Foundation Division of Polar Programs [0539578, 1043528, 1043313, 0839093, 1142166]; Directorate For Geosciences; Office of Polar Programs (OPP) [1043528, 0944197, 0539578, 1043313] Funding Source: National Science Foundation; Directorate For Geosciences; Office of Polar Programs (OPP) [1142166, 0944348] Funding Source: National Science Foundation</t>
  </si>
  <si>
    <t>US Geological Survey Climate and Land Use Change Research and Development Program; US National Science Foundation Division of Polar Programs(National Science Foundation (NSF)); Directorate For Geosciences; Office of Polar Programs (OPP)(National Science Foundation (NSF)NSF - Directorate for Geosciences (GEO)); Directorate For Geosciences; Office of Polar Programs (OPP)(National Science Foundation (NSF)NSF - Directorate for Geosciences (GEO))</t>
  </si>
  <si>
    <t>We acknowledge the following funding sources for support of this work: US Geological Survey Climate and Land Use Change Research and Development Program; US National Science Foundation Division of Polar Programs grants 0539578, 1043528, 1043313, 0839093 and 1142166. We also acknowledge the staff of the US National Ice Core Laboratory in Denver, Colorado; the WAIS Divide Science Coordination Office at the University of New Hampshire; and most especially the Ice Drilling Design and Operations group at the University of Wisconsin whose phenomenal success in designing and operating the new deep ice-sheet coring (DISC) drill has reinvigorated US deep ice-coring efforts. We thank numerous colleagues in the WAIS Divide project. Any use of trade, firm or product names is for descriptive purposes only and does not imply endorsement by the US Government.</t>
  </si>
  <si>
    <t>10.3189/2014JoG14J100</t>
  </si>
  <si>
    <t>WOS:000348275000016</t>
  </si>
  <si>
    <t>Yelo, BAG; Cano, ARG; Cantalapiedra, JL; Alcalde, GM; Sanisidro, O; Oliver, A; Hernández-Ballarín, V; López-Guerrero, P; Fraile, S; Fernández, MH</t>
  </si>
  <si>
    <t>Garcia Yelo, B. A.; Gomez Cano, A. R.; Cantalapiedra, J. L.; Alcalde, G. M.; Sanisidro, O.; Oliver, A.; Hernandez-Ballarin, V.; Lopez-Guerrero, P.; Fraile, S.; Hernandez Fernandez, M.</t>
  </si>
  <si>
    <t>Palaeoenvironmental analysis of the Aragonian (middle Miocene) mammalian faunas from the Madrid Basin based on body-size structure</t>
  </si>
  <si>
    <t>JOURNAL OF IBERIAN GEOLOGY</t>
  </si>
  <si>
    <t>Aragonian; Prey Mammal Community Structure; Madrid Basin; Body-size spectra; Cenograms; Climate</t>
  </si>
  <si>
    <t>GEOGRAPHIC-VARIATION; COMMUNITY STRUCTURE; CLIMATIC OPTIMUM; NORTH; CENOGRAMS; FOSSIL; PALEOECOLOGY; STRATIGRAPHY; ADAPTATIONS; DIVERSITY</t>
  </si>
  <si>
    <t>As a consequence of the growth of the Antarctic ice-sheet during the middle Miocene, a global decrease of temperatures and an associated increase in aridity provoked several environmental changes all around the world. Such environmental variations can be detected in the continental record of the mammalian prey community structure using a synecological approach. Because of the good quality of its faunas, the rich Aragonian vertebrate fossil record from the Madrid Basin (Spain) appears as a good candidate to explore these environmental changes. In order to analyse the climatic evolution of the Iberian Peninsula associated to the Global Cooling Event, two classic palaeosynecological methodologies (cenograms and body size diversity), based on body-size community structure, were applied to 6 fossil sites from the Madrid Basin, ranging over 2 million years (15.5-13.5 Ma). To establish a comparative framework, we used the ecological faunal data from 100 modern localities uniformly distributed all around the world. Our palaeoenvironmental inference is based on multivariate discriminant analysis of the dataset containing both modern and fossil mammals. Finally, we can conclude that the Aragonian mammalian assemblage from the Madrid Basin showed a predominance of semiarid environments with pulses of higher aridity in biozones Dc, E and F associated with the Global Cooling Event of the middle Miocene.</t>
  </si>
  <si>
    <t>[Garcia Yelo, B. A.; Cantalapiedra, J. L.; Alcalde, G. M.; Sanisidro, O.; Oliver, A.; Hernandez-Ballarin, V.; Fraile, S.] CSIC, Museo Nacl Ciencias Nat, Dept Paleobiol, E-28006 Madrid, Spain; [Garcia Yelo, B. A.; Gomez Cano, A. R.; Cantalapiedra, J. L.; Lopez-Guerrero, P.; Hernandez Fernandez, M.] Fac Ciencias Geol UCM, Dept Paleontol, Madrid 28040, Spain; [Gomez Cano, A. R.; Lopez-Guerrero, P.; Hernandez Fernandez, M.] CSIC, UCM, Inst Geociencias, E-28040 Madrid, Spain</t>
  </si>
  <si>
    <t>Consejo Superior de Investigaciones Cientificas (CSIC); CSIC - Museo Nacional de Ciencias Naturales (MNCN); Complutense University of Madrid; Consejo Superior de Investigaciones Cientificas (CSIC); CSIC-UCM - Instituto de Geociencias (IGEO); Complutense University of Madrid; Consejo Superior de Investigaciones Cientificas (CSIC); CSIC-UCM - Instituto de Geociencias (IGEO)</t>
  </si>
  <si>
    <t>Yelo, BAG (corresponding author), CSIC, Museo Nacl Ciencias Nat, Dept Paleobiol, C Jose Gutierrez Abascal 2, E-28006 Madrid, Spain.</t>
  </si>
  <si>
    <t>bagy@mncn.csic.es; argomez@geo.ucm.es; jlopezcant@gmail.com; paleogem@gmail.com; osanisidro@mncn.csic.es; mcnao831@mncn.csic.es; verohernandez@mncn.csic.es; palomalopez@geo.ucm.es; susana.fraile@hotmail.com; hdezfdez@geo.ucm.es</t>
  </si>
  <si>
    <t>Gómez Cano, Ana Rosa/G-9332-2014; Sanisidro, Oscar/AAG-8627-2020; Tsay, Oksana/HTT-0713-2023; García Yelo, Blanca A./JXY-8882-2024; Hernandez Fernandez, Manuel/I-5012-2013; Hernandez Ballarin, Veronica/B-3719-2017; L. Cantalapiedra, Juan/L-2135-2014; Oliver, Adriana/L-8346-2016</t>
  </si>
  <si>
    <t>Gómez Cano, Ana Rosa/0000-0001-5351-4185; Sanisidro, Oscar/0000-0002-8238-6394; García Yelo, Blanca A./0000-0002-5813-9828; Hernandez Fernandez, Manuel/0000-0001-5640-9647; Hernandez Ballarin, Veronica/0000-0003-0433-3972; L. Cantalapiedra, Juan/0000-0003-0913-7735; Oliver, Adriana/0000-0002-2583-8294; Lopez-Guerrero, Paloma/0000-0002-6017-0656</t>
  </si>
  <si>
    <t>Spanish Ministries of Education [CGL2008-04200/BTE, CGL-2008-05813-C02-01/BTE, CGL2010-19116/BOS, CGL2011-28877, CGL2011-25754]; Spanish Ministries of Science and Innovation [CGL2008-04200/BTE, CGL-2008-05813-C02-01/BTE, CGL2010-19116/BOS, CGL2011-28877, CGL2011-25754]; FPU; FPI; UCM</t>
  </si>
  <si>
    <t>Spanish Ministries of Education; Spanish Ministries of Science and Innovation(Spanish Government); FPU(Spanish Government); FPI(Spanish Government); UCM</t>
  </si>
  <si>
    <t>Authors would like to thank Dr. Marc Furio, Dr. Israel Garcia Paredes, Dr. Lars van den Hoek Ostende, Dr. Pablo Pelaez-Campomanes and Dr. Israel Sanchez for their help and assistance. The editors, as well as the referees Catherine Badgley (University of Michigan), Serge Legendre (Universite Claude Bernard Lyon 1) and an anonymous referee are acknowledged for their valuable comments, which helped to improve the last version of this manuscript. Aisling Farrell (Page Museum - La Brea Tar Pits, Natural History Museum of Los Angeles County) is acknowledged for her correction of the English usage. This is a contribution of the PMMV Team (Palaeoecology, Macroecology and Macroevolution of Vertebrates (http://pmmv.com.es) as part of the research group UCM-910607 on Evolution of Cenozoic Mammals and Continental Palaeoenvironments. This work was supported by projects of the Spanish Ministries of Education, Science and Innovation (CGL2008-04200/BTE, CGL-2008-05813-C02-01/BTE, CGL2010-19116/BOS, CGL2011-28877, CGL2011-25754), as well as FPU predoctoral contracts granted to BAGY, AO and OS, a FPI predoctoral contract granted to VH-B and a UCM predoctoral contract granted to PL-G.</t>
  </si>
  <si>
    <t>SPRINGER INTERNATIONAL PUBLISHING AG</t>
  </si>
  <si>
    <t>CHAM</t>
  </si>
  <si>
    <t>GEWERBESTRASSE 11, CHAM, CH-6330, SWITZERLAND</t>
  </si>
  <si>
    <t>1698-6180</t>
  </si>
  <si>
    <t>1886-7995</t>
  </si>
  <si>
    <t>J IBER GEOL</t>
  </si>
  <si>
    <t>J. Iber. Geol.</t>
  </si>
  <si>
    <t>10.5209/rev_JIGE.2014.v40.n1.44092</t>
  </si>
  <si>
    <t>AC2CY</t>
  </si>
  <si>
    <t>hybrid, Green Accepted, Green Submitted</t>
  </si>
  <si>
    <t>WOS:000332306400010</t>
  </si>
  <si>
    <t>Ramos, VA; Naipauer, M</t>
  </si>
  <si>
    <t>Ramos, Victor A.; Naipauer, Maximiliano</t>
  </si>
  <si>
    <t>Patagonia: where does it come from?</t>
  </si>
  <si>
    <t>Archeocyathids; Shackleton Limestones; Early Paleozoic; Orthogneisses; Ross Orogeny</t>
  </si>
  <si>
    <t>CENTRAL TRANSANTARCTIC MOUNTAINS; ARCHAEOCYATHAN LIMESTONE BLOCKS; ROSS OROGEN; SOUTHWESTERN GONDWANA; ANTARCTIC MARGIN; VICTORIA LAND; RIO NEGRO; SOUTH; MASSIF; MAGMATISM</t>
  </si>
  <si>
    <t>Based on the recent finding of archeocyathids in molassic middle Cambrian to Early Ordovician age-sequences of northern Patagonia the relationships between this southern part of South America and East Antarctica need to be re-examined. The early Cambrian age of the archeocyathids, and their derivation from the Shackleton Limestones, open several alternatives that are evaluated based on the lithology and the U-Pb zircon ages of the different metamorphic sequences of Patagonia and the Transantarctic Mountains. Based on these data, it is proposed that the Somuncura Massif of northern Patagonia is the conjugate margin of the Pensacola Mountains in East Antarctica. The main episodes of deformation within the Cambrian-Ordovician Ross Orogeny are correlated, as well as the passive margin setting during the Silurian-Devonian, which indicate that the lower section of the Beacon Supergroup of Antarctica corresponds to the Sierra Grande Formation in Patagonia. These facts show that the Patagonian terrane may have been situated as the conjugate margin of the Transantarctic Mountains from Southern Victoria Land to the Pensacola Mountains. The rifting of Patagonia from Antarctica and the beginning of subduction along western Patagonia, are correlated among different terranes, showing a robust coherent evolution through early Paleozoic times among these blocks. The final amalgamation of Patagonia with Western Gondwana occurred in late Paleozoic times, but is not analyzed in the present contribution.</t>
  </si>
  <si>
    <t>[Ramos, Victor A.; Naipauer, Maximiliano] Univ Buenos Aires, Inst Estudios Andinos Don Pablo Groeber, CONICET, Lab Tecton Andina, Buenos Aires, DF, Argentina</t>
  </si>
  <si>
    <t>University of Buenos Aires; Consejo Nacional de Investigaciones Cientificas y Tecnicas (CONICET)</t>
  </si>
  <si>
    <t>Ramos, VA (corresponding author), Univ Buenos Aires, Inst Estudios Andinos Don Pablo Groeber, CONICET, Lab Tecton Andina, Intendente Guiraldes 2160,Ciudad Univ,C1428EGA, Buenos Aires, DF, Argentina.</t>
  </si>
  <si>
    <t>andes@gl.fcen.uba.ar; maxinaipauer@hotmail.com</t>
  </si>
  <si>
    <t>Ramos, Victor A./0000-0002-2136-1345</t>
  </si>
  <si>
    <t>10.5209/rev_JIGE.2014.v40.n2.45304</t>
  </si>
  <si>
    <t>AL6JP</t>
  </si>
  <si>
    <t>WOS:000339238800011</t>
  </si>
  <si>
    <t>Litvinenko, VS</t>
  </si>
  <si>
    <t>Litvinenko, V. S.</t>
  </si>
  <si>
    <t>Unique engineering and technology for drilling boreholes in Antarctic ice</t>
  </si>
  <si>
    <t>JOURNAL OF MINING INSTITUTE</t>
  </si>
  <si>
    <t>Russian</t>
  </si>
  <si>
    <t>thermal drilling; borehole; ice; Lake Vostok; Antarctica; unique engineering and technology</t>
  </si>
  <si>
    <t>As the result of many years of research into the processes of the transfer of ice as a rock mass on a global scale, concerning the Antarctic ice sheet at the ultra-deep 5G borehole, a discovery has been made that is of international significance in the areas of glaciology and geodynamics. Those who created the theory of thermal and mechanical penetration into ice and loose sediments have developed unique technology and engineering processes in order to drill boreholes using thermal and mechanical methods.</t>
  </si>
  <si>
    <t>[Litvinenko, V. S.] Min Univ, Natl Mineral Resources Univ, St Petersburg, Russia</t>
  </si>
  <si>
    <t>Saint Petersburg Mining University</t>
  </si>
  <si>
    <t>Litvinenko, VS (corresponding author), Min Univ, Natl Mineral Resources Univ, St Petersburg, Russia.</t>
  </si>
  <si>
    <t>spmi@mail.wplus.net</t>
  </si>
  <si>
    <t>Litvinenko, Vladimir/P-9755-2019</t>
  </si>
  <si>
    <t>Litvinenko, Vladimir/0000-0002-4295-7535</t>
  </si>
  <si>
    <t>SAINT-PETERSBURG MINING UNIV</t>
  </si>
  <si>
    <t>SANKT-PETERSBURG</t>
  </si>
  <si>
    <t>SAINT-PETERSBURG MINING UNIV, SANKT-PETERSBURG, 00000, RUSSIA</t>
  </si>
  <si>
    <t>2411-3336</t>
  </si>
  <si>
    <t>2541-9404</t>
  </si>
  <si>
    <t>J MIN INST</t>
  </si>
  <si>
    <t>J. Min. Inst.</t>
  </si>
  <si>
    <t>Mining &amp; Mineral Processing</t>
  </si>
  <si>
    <t>VA3BX</t>
  </si>
  <si>
    <t>WOS:000409782900001</t>
  </si>
  <si>
    <t>Nielsen, SN; Encinas, A</t>
  </si>
  <si>
    <t>Nielsen, Sven N.; Encinas, Alfonso</t>
  </si>
  <si>
    <t>THE GENUS STRUTHIOCHENOPUS (GASTROPODA, APORRHAIDAE): NEW MIOCENE RECORDS FROM SOUTHERN CHILE</t>
  </si>
  <si>
    <t>JOURNAL OF PALEONTOLOGY</t>
  </si>
  <si>
    <t>NACELLA PATELLOGASTROPODA NACELLIDAE; PACIFIC; BIOGEOGRAPHY; STROMBOIDEA; DIVERSITY; PROVINCE; NEOGENE; OCEAN; PERU</t>
  </si>
  <si>
    <t>The marine gastropod genus Struthiochenopus appears first in the late Cretaceous of the Antarctic Peninsula. Until the Oligocene only one or two species were extant at the same time. This changed drastically in the early Miocene when at least three species were living coevally in southern South America. A possible fourth early Miocene species, Struthiochenopus sp., is known from Ipun Island, Chile, but its identification remains unclear. Another taxon, S. echtleri new species, described from Neogene deposits of Mocha Island, Chile, has no precise age available but it is likely the latest survivor of the genus.</t>
  </si>
  <si>
    <t>[Nielsen, Sven N.] Univ Austral Chile, Inst Ciencias Ambientales &amp; Evolut, Valdivia, Chile; [Encinas, Alfonso] Univ Concepcion, Dept Ciencias Tierra, Concepcion, Chile</t>
  </si>
  <si>
    <t>Universidad Austral de Chile; Universidad de Concepcion</t>
  </si>
  <si>
    <t>Nielsen, SN (corresponding author), Univ Austral Chile, Inst Ciencias Ambientales &amp; Evolut, Casilla 567, Valdivia, Chile.</t>
  </si>
  <si>
    <t>sven.nielsen@uach.cl</t>
  </si>
  <si>
    <t>Nielsen, Sven N/A-2187-2009</t>
  </si>
  <si>
    <t>Nielsen, Sven N/0000-0003-2064-8050</t>
  </si>
  <si>
    <t>Deutsches GeoForschungsZentrum Potsdam (Germany); Deutsche Forschungsgemeinschaft (DFG, Germany) [Ni699/4-2]; Fondecyt [1110914]</t>
  </si>
  <si>
    <t>Deutsches GeoForschungsZentrum Potsdam (Germany); Deutsche Forschungsgemeinschaft (DFG, Germany)(German Research Foundation (DFG)); Fondecyt(Comision Nacional de Investigacion Cientifica y Tecnologica (CONICYT)CONICYT FONDECYT)</t>
  </si>
  <si>
    <t>Collecting of material from Ipun during the GUAGUA I expedition in 2007 and work on Mocha together with H. Echtler in 2007 were funded by Deutsches GeoForschungsZentrum Potsdam (Germany). A second fieldtrip together with S. Reich (CAU Kiel, Germany) to Mocha in 2008, as well as continuing research of SNN were funded by Deutsche Forschungsgemeinschaft (DFG, Germany) grant Ni699/4-2. A second fieldtrip to Ipun in 2012 was funded by Fondecyt project 1110914 to AE. T. J. DeVries polished the language. Comments by A. G. Beu, an anonymous reviewer, and associate editor P. Wagner improved the manuscript.</t>
  </si>
  <si>
    <t>PALEONTOLOGICAL SOC INC</t>
  </si>
  <si>
    <t>LAWRENCE</t>
  </si>
  <si>
    <t>810 EAST 10TH ST, LAWRENCE, KS 66044 USA</t>
  </si>
  <si>
    <t>0022-3360</t>
  </si>
  <si>
    <t>1937-2337</t>
  </si>
  <si>
    <t>J PALEONTOL</t>
  </si>
  <si>
    <t>J. Paleontol.</t>
  </si>
  <si>
    <t>10.1666/13-016</t>
  </si>
  <si>
    <t>Paleontology</t>
  </si>
  <si>
    <t>293BQ</t>
  </si>
  <si>
    <t>WOS:000329946800008</t>
  </si>
  <si>
    <t>Harden, BE; Pickart, RS; Renfrew, IA</t>
  </si>
  <si>
    <t>Harden, B. E.; Pickart, R. S.; Renfrew, I. A.</t>
  </si>
  <si>
    <t>Offshore Transport of Dense Water from the East Greenland Shelf</t>
  </si>
  <si>
    <t>JOURNAL OF PHYSICAL OCEANOGRAPHY</t>
  </si>
  <si>
    <t>Geographic location; entity; Continental shelf; slope; Circulation; Dynamics; Meridional overturning circulation; Upwelling; downwelling; Atm; Ocean Structure; Phenomena; Eddies; Extreme events; Physical Meteorology and Climatology; Air-sea interaction</t>
  </si>
  <si>
    <t>COASTAL-TRAPPED WAVES; WIND-DRIVEN CURRENTS; DENMARK STRAIT; ANTARCTIC PENINSULA; CONTINENTAL-SHELF; BARRIER WINDS; BEAUFORT SEA; WEDDELL SEA; SPILL JET; CLIMATOLOGY</t>
  </si>
  <si>
    <t>Data from a mooring deployed at the edge of the East Greenland shelf south of Denmark Strait from September 2007 to October 2008 are analyzed to investigate the processes by which dense water is transferred off the shelf. It is found that water denser than 27.7 kg m(-3)as dense as water previously attributed to the adjacent East Greenland Spill Jetresides near the bottom of the shelf for most of the year with no discernible seasonality. The mean velocity in the central part of the water column is directed along the isobaths, while the deep flow is bottom intensified and veers offshore. Two mechanisms for driving dense spilling events are investigated, one due to offshore forcing and the other associated with wind forcing. Denmark Strait cyclones propagating southward along the continental slope are shown to drive off-shelf flow at their leading edges and are responsible for much of the triggering of individual spilling events. Northerly barrier winds also force spilling. Local winds generate an Ekman downwelling cell. Nonlocal winds also excite spilling, which is hypothesized to be the result of southward-propagating coastally trapped waves, although definitive confirmation is still required. The combined effect of the eddies and barrier winds results in the strongest spilling events, while in the absence of winds a train of eddies causes enhanced spilling.</t>
  </si>
  <si>
    <t>[Harden, B. E.; Renfrew, I. A.] Univ E Anglia, Norwich NR4 7TJ, Norfolk, England; [Pickart, R. S.] Woods Hole Oceanog Inst, Woods Hole, MA 02543 USA</t>
  </si>
  <si>
    <t>University of East Anglia; Woods Hole Oceanographic Institution</t>
  </si>
  <si>
    <t>Harden, BE (corresponding author), Woods Hole Oceanog Inst, 266 Woods Hole Rd, Woods Hole, MA 02543 USA.</t>
  </si>
  <si>
    <t>bharden@whoi.edu</t>
  </si>
  <si>
    <t>Renfrew, Ian A/E-4057-2010</t>
  </si>
  <si>
    <t>Renfrew, Ian/0000-0001-9379-8215</t>
  </si>
  <si>
    <t>National Science Foundation [OCE-0722694]; Arctic Research Initiative of the Woods Hole Oceanographic Institution; Natural Environment Research Council; University of East Anglia's Roberts Fund; Natural Environment Research Council [NE/C003365/1] Funding Source: researchfish</t>
  </si>
  <si>
    <t>National Science Foundation(National Science Foundation (NSF)); Arctic Research Initiative of the Woods Hole Oceanographic Institution; Natural Environment Research Council(UK Research &amp; Innovation (UKRI)Natural Environment Research Council (NERC)); University of East Anglia's Roberts Fund; Natural Environment Research Council(UK Research &amp; Innovation (UKRI)Natural Environment Research Council (NERC))</t>
  </si>
  <si>
    <t>The authors wish to thank Paula Fratantoni, Frank Bahr, and Dan Torres for processing the mooring data. The mooring array was capably deployed by the crew of the R/V Arni Fridriksson and recovered by the crew of the R/V Knorr. We thank Hedinn Valdimarsson for his assistance in the field work. Ken Brink provided valuable insights regarding the dynamics of shelf waves. Funding for the study was provided by National Science Foundation Grant OCE-0722694, the Arctic Research Initiative of the Woods Hole Oceanographic Institution. We also wish to thank the Natural Environment Research Council for Ph.D. studentship funding, and the University of East Anglia's Roberts Fund and Royal Meteorological Society for supporting travel for collaboration.</t>
  </si>
  <si>
    <t>0022-3670</t>
  </si>
  <si>
    <t>1520-0485</t>
  </si>
  <si>
    <t>J PHYS OCEANOGR</t>
  </si>
  <si>
    <t>J. Phys. Oceanogr.</t>
  </si>
  <si>
    <t>10.1175/JPO-D-12-0218.1</t>
  </si>
  <si>
    <t>AH0IH</t>
  </si>
  <si>
    <t>WOS:000335802100021</t>
  </si>
  <si>
    <t>Perry, SD</t>
  </si>
  <si>
    <t>Perry, Stephen</t>
  </si>
  <si>
    <t>CBS's Long Distance Radio Experiment: Broadcasting the Byrd Expedition From Little America</t>
  </si>
  <si>
    <t>JOURNAL OF RADIO &amp; AUDIO MEDIA</t>
  </si>
  <si>
    <t>In 1933-1935, Admiral Richard Byrd's second Antarctic expedition was partly funded by General Foods. This included radio program sponsorship aired via relays from the South Pole to CBS in New York. The program format generally opened with news and music from CBS, then weather, expedition reports, entertainment, and a segment with Byrd. It often closed with 2-way conversations between New York and Little America featuring family, acquaintances, experts, or New York hosts conversing with explorers. This sponsored program's design clearly answered Hoover's public interest requirements and added educational emphasis in 1934 at a time of hearings over educational broadcasting.</t>
  </si>
  <si>
    <t>[Perry, Stephen] Illinois State Univ, Commun, Normal, IL 61761 USA</t>
  </si>
  <si>
    <t>Illinois State University</t>
  </si>
  <si>
    <t>Perry, SD (corresponding author), Illinois State Univ, Commun, Normal, IL 61761 USA.</t>
  </si>
  <si>
    <t>ROUTLEDGE JOURNALS, TAYLOR &amp; FRANCIS LTD</t>
  </si>
  <si>
    <t>2-4 PARK SQUARE, MILTON PARK, ABINGDON OX14 4RN, OXON, ENGLAND</t>
  </si>
  <si>
    <t>1937-6529</t>
  </si>
  <si>
    <t>1937-6537</t>
  </si>
  <si>
    <t>J RADIO AUDIO MEDIA</t>
  </si>
  <si>
    <t>J. Radio Audio Media</t>
  </si>
  <si>
    <t>10.1080/19376529.2014.891208</t>
  </si>
  <si>
    <t>Communication</t>
  </si>
  <si>
    <t>V71GP</t>
  </si>
  <si>
    <t>WOS:000211563000007</t>
  </si>
  <si>
    <t>Gelfand, AE; Monteiro, JVD</t>
  </si>
  <si>
    <t>Gelfand, Alan E.; Monteiro, Joao V. D.</t>
  </si>
  <si>
    <t>Explaining Return Times for Wildfires</t>
  </si>
  <si>
    <t>JOURNAL OF STATISTICAL THEORY AND PRACTICE</t>
  </si>
  <si>
    <t>CAR model; Hierarchical model; Markov-chain Monte Carlo; Probit link; Time-to-event model</t>
  </si>
  <si>
    <t>Our interest is in analyzing fire regimes in the Mediterranean ecosystem in the Cape Floristic Region of South Africa (CFR). With this objective, we consider an extensive database of observed fires with high-resolution meteorological data during the period 1980-2000 to build a novel survival model. The model is constructed as a time-to-event specification incorporating space- and time-varying covariates along with spatial random effects. With data at grid cell level, conditionally autoregressive (CAR) modeling is used for the spatial random effects. However, areal sampling is very irregular, yielding disjoint sets of areal units. Hence, disappointingly, the spatial model does not improve upon the nonspatial version. Results regarding the covariates reveal an important influence of seasonally anomalous weather on fire probability, with increased probability of fire in seasons that are warmer and drier than average. In addition to these local-scale influences, the Antarctic Ocean Oscillation (AAO) is identified as a potentially important large-scale influence on precipitation and moisture transport. Fire probability increases in seasons during positive AAO phases, when the subtropical jet moves northward and low-level moisture transport decreases. We conclude that fire occurrence in the CFR is strongly affected by climatic variability at both local and global scales. Thus, there is the suggestion that fire risk is likely to respond sensitively to future climate change. Comparison of the modeled fire risk/probability across four 12-year periods (1951-1963, 1963-1975, 1975-1987, 1987-1999) provides some supporting evidence. If, as currently forecast, climate change in the region continues to produce higher temperatures, more frequent heat waves, and/or lower rainfall, our model thus indicates that fire frequency is likely to increase substantially. This article extends earlier work by Wilson et al. (2010).</t>
  </si>
  <si>
    <t>[Gelfand, Alan E.; Monteiro, Joao V. D.] Duke Univ, Dept Stat Sci, POB 90251, Durham, NC 27708 USA</t>
  </si>
  <si>
    <t>Duke University</t>
  </si>
  <si>
    <t>Monteiro, JVD (corresponding author), Duke Univ, Dept Stat Sci, POB 90251, Durham, NC 27708 USA.</t>
  </si>
  <si>
    <t>jm397@stat.duke.edu</t>
  </si>
  <si>
    <t>TAYLOR &amp; FRANCIS AS</t>
  </si>
  <si>
    <t>OSLO</t>
  </si>
  <si>
    <t>KARL JOHANS GATE 5, NO-0154 OSLO, NORWAY</t>
  </si>
  <si>
    <t>1559-8608</t>
  </si>
  <si>
    <t>1559-8616</t>
  </si>
  <si>
    <t>J STAT THEORY PRACT</t>
  </si>
  <si>
    <t>J. Stat. Theory Pract.</t>
  </si>
  <si>
    <t>10.1080/15598608.2013.821047</t>
  </si>
  <si>
    <t>Statistics &amp; Probability</t>
  </si>
  <si>
    <t>Mathematics</t>
  </si>
  <si>
    <t>V12VB</t>
  </si>
  <si>
    <t>WOS:000214372200009</t>
  </si>
  <si>
    <t>Rodrigues, CR; Rodrigues, BF</t>
  </si>
  <si>
    <t>Rodrigues, Cassie R.; Rodrigues, Bernard F.</t>
  </si>
  <si>
    <t>Enhancement of Seed Germination in Trema orientalis (L.) Blume-Potential Plant Species in Revegetation of Mine Wastelands</t>
  </si>
  <si>
    <t>JOURNAL OF SUSTAINABLE FORESTRY</t>
  </si>
  <si>
    <t>chemical scarification; dormancy; native plants; seed germination; seed coat</t>
  </si>
  <si>
    <t>SECONDARY FOREST; DORMANCY; SCARIFICATION; MICRANTHA; FRAMEWORK; VIGOR; ACID; AGE</t>
  </si>
  <si>
    <t>Natural forest succession takes a long time to accumulate sufficient nutrients to support plant growth and enhance soil microbial activity. Human intervention in selecting native pioneer plant species is therefore required to accelerate sustainable restoration. Trema orientalis (L.) Blume, a fast growing pioneer plant species, has the ability to grow in nutrient deficient soils and proves to have reclamation potential in mine wastelands. However, its use has been limited due to low germination percentages and nonsynchronous seed germination. In the present study we tested the effect of sulphuric acid (H2SO4), hydrochloric acid (HCl), gibberellic acid (GA(3)), and potassium nitrate (KNO3) in varying concentrations and time durations on germination percentages and seed germination synchrony. We found that all treatments had a significant effect in predicting seed germination probabilities. Logistic regression analysis revealed that treatment solution and concentration had a significant effect on seed germination. Treatment with concentrated H2SO4 for 15 min increased germination up to 92% within 20 days with the least imbibition time (8 days) and highest Seedling Vigor Index (491). The scanning electron microscope images of seeds treated with H2SO4 showed complete dissolution of the honeycomb-like network of deposits on the seed coat surface removing the physical barrier and enhancing germination.</t>
  </si>
  <si>
    <t>[Rodrigues, Cassie R.; Rodrigues, Bernard F.] Goa Univ, Dept Bot, Taleigao Plateau 403206, Goa, India</t>
  </si>
  <si>
    <t>Goa University</t>
  </si>
  <si>
    <t>Rodrigues, BF (corresponding author), Goa Univ, Dept Bot, Taleigao Plateau 403206, Goa, India.</t>
  </si>
  <si>
    <t>felinov@gmail.com</t>
  </si>
  <si>
    <t>M/s Fomento Resources Pvt. Ltd., Goa</t>
  </si>
  <si>
    <t>The authors thank M/s Fomento Resources Pvt. Ltd., Goa, for providing financial assistance. The authors also thank the National Centre for Antarctic Ocean Research (NCAOR), Goa, for assisting with the SEM imaging.</t>
  </si>
  <si>
    <t>TAYLOR &amp; FRANCIS INC</t>
  </si>
  <si>
    <t>PHILADELPHIA</t>
  </si>
  <si>
    <t>530 WALNUT STREET, STE 850, PHILADELPHIA, PA 19106 USA</t>
  </si>
  <si>
    <t>1054-9811</t>
  </si>
  <si>
    <t>1540-756X</t>
  </si>
  <si>
    <t>J SUSTAIN FOREST</t>
  </si>
  <si>
    <t>J. Sustain. For.</t>
  </si>
  <si>
    <t>10.1080/10549811.2013.807745</t>
  </si>
  <si>
    <t>V43JZ</t>
  </si>
  <si>
    <t>WOS:000209679000004</t>
  </si>
  <si>
    <t>Carson, CJ; McLaren, S; Roberts, JL; Boger, SD; Blankenship, DD</t>
  </si>
  <si>
    <t>Carson, Chris J.; McLaren, Sandra; Roberts, Jason L.; Boger, Steven D.; Blankenship, Donald D.</t>
  </si>
  <si>
    <t>Hot rocks in a cold place: high sub-glacial heat flow in East Antarctica</t>
  </si>
  <si>
    <t>JOURNAL OF THE GEOLOGICAL SOCIETY</t>
  </si>
  <si>
    <t>ICE-SHEET; BASAL TEMPERATURES; CONTINENTAL-CRUST; FLUX; LITHOSPHERE; AUSTRALIA; LAKES</t>
  </si>
  <si>
    <t>Numerical models are the primary predictive tools for understanding the dynamic behaviour of the Antarctic ice sheet. However, a key boundary parameter, sub-glacial heat flow, remains poorly constrained. We show that variations in abundance and distribution of heatproducing elements within the Antarctic continental crust result in greater and more variable regional sub-glacial heat flows than currently assumed in ice modelling studies. Such elevated heat flows would have a fundamental effect on ice sheet behaviour and highlight that geological controls on heat flow must be considered to obtain more accurate and refined predictions of ice mass balance and sea-level change.</t>
  </si>
  <si>
    <t>[Carson, Chris J.] Geosci Australia, Canberra, ACT 2601, Australia; [McLaren, Sandra; Boger, Steven D.] Univ Melbourne, Sch Earth Sci, Melbourne, Vic 3010, Australia; [Roberts, Jason L.] Australian Antarctic Div, Kingston, Tas 7005, Australia; [Roberts, Jason L.] Univ Tasmania, Antarctic Climate &amp; Ecosyst Cooperat Res Ctr, Hobart, Tas 7001, Australia; [Blankenship, Donald D.] Univ Texas Austin, Sch Geosci, Austin, TX 78758 USA</t>
  </si>
  <si>
    <t>Geoscience Australia; University of Melbourne; Melbourne Bioinformatics; Australian Antarctic Division; Antarctic Climate &amp; Ecosystems Cooperative Research Centre (ACE CRC); University of Tasmania; University of Texas System; University of Texas Austin</t>
  </si>
  <si>
    <t>Carson, CJ (corresponding author), Geosci Australia, GPO Box 378, Canberra, ACT 2601, Australia.</t>
  </si>
  <si>
    <t>chris.carson@ga.gov.au</t>
  </si>
  <si>
    <t>McLaren, Sandra/J-1842-2014; Roberts, Jason L/B-2235-2012; Blankenship, Donald D./G-5935-2010; Carson, Christopher J./M-8795-2014</t>
  </si>
  <si>
    <t>McLaren, Sandra/0000-0001-5757-1670; Roberts, Jason L/0000-0002-3477-4069; Carson, Christopher J./0000-0002-2575-6125; Boger, Steven/0000-0003-0739-6266</t>
  </si>
  <si>
    <t>Australian Research Council [DP0987765]; Australian Government's Cooperative Research Centres Programme via the Antarctic Climate and Ecosystems Cooperative Research Centre; Australian Research Council [DP0987765] Funding Source: Australian Research Council</t>
  </si>
  <si>
    <t>Australian Research Council(Australian Research Council); Australian Government's Cooperative Research Centres Programme via the Antarctic Climate and Ecosystems Cooperative Research Centre(Australian GovernmentDepartment of Industry, Innovation and ScienceCooperative Research Centres (CRC) Programme); Australian Research Council(Australian Research Council)</t>
  </si>
  <si>
    <t>N. Neumann, D. Champion (both Geoscience Australia) and R. Powell (University of Melbourne) commented on earlier drafts. This is a contribution to Stream 1.1; The Antarctic Ice Sheet, under the Australian Antarctic Science Strategic Plan (2011-2012 to 2020-2021). S. M. acknowledges support from Australian Research Council DP0987765. This research was also supported by the Australian Government's Cooperative Research Centres Programme via the Antarctic Climate and Ecosystems Cooperative Research Centre. C.J.C. publishes with permission from the CEO, Geoscience Australia. GeoCat 75002.</t>
  </si>
  <si>
    <t>GEOLOGICAL SOC PUBL HOUSE</t>
  </si>
  <si>
    <t>BATH</t>
  </si>
  <si>
    <t>UNIT 7, BRASSMILL ENTERPRISE CENTRE, BRASSMILL LANE, BATH BA1 3JN, AVON, ENGLAND</t>
  </si>
  <si>
    <t>0016-7649</t>
  </si>
  <si>
    <t>2041-479X</t>
  </si>
  <si>
    <t>J GEOL SOC LONDON</t>
  </si>
  <si>
    <t>J. Geol. Soc.</t>
  </si>
  <si>
    <t>10.1144/jgs2013-030</t>
  </si>
  <si>
    <t>292TB</t>
  </si>
  <si>
    <t>WOS:000329924200003</t>
  </si>
  <si>
    <t>Thiebot, JB; Authier, M; Trathan, PN; Bost, CA</t>
  </si>
  <si>
    <t>Thiebot, J. -B.; Authier, M.; Trathan, P. N.; Bost, C. -A.</t>
  </si>
  <si>
    <t>Gentlemen first? 'Broken stick' modelling reveals sex-related homing decision date in migrating seabirds</t>
  </si>
  <si>
    <t>JOURNAL OF ZOOLOGY</t>
  </si>
  <si>
    <t>migration; pre-breeding period; winter; Eudyptes penguins; gender-specific constraints; activity schedule; light-based geolocation; Bayesian statistics</t>
  </si>
  <si>
    <t>PENGUINS EUDYPTES-CHRYSOCOME; GEOLOCATION</t>
  </si>
  <si>
    <t>Technical progress in animal-borne tracking and movement data analysis has facilitated the understanding of the interplay between successive periods in the life cycle of migratory animals. We investigated how sex differences on the constraints of homing may influence migration to breeding areas in crested penguins (genus Eudyptes). We used a novel approach to infer homing decision date, a precise point in time that translates statistically as a change point in the current distance of the animal to its colony (broken stick' modelling approach, R codes provided here). We applied this approach to geolocation tracking data on migration in three Eudyptes species, from three localities in the southern Indian Ocean (five populations). Sex had a subtle and consistent influence on the temporal activity of the 66 animals during their migratory journey. Males began migration to the breeding localities earlier than females, by an average of 9.1 (range: 4.5-13.5) days. This difference was statistically significant in 4 of 5 populations, and occurred among all species, sites and years surveyed. Our study shows an original application of a recent modelling approach to detect change point in movement data. Our results suggest that sex-specific constraints related to breeding in migrating animals may also modify activity schedules well before breeding commences.</t>
  </si>
  <si>
    <t>[Thiebot, J. -B.; Bost, C. -A.] CNRS, UPR 1934, Ctr Etud Biol Chize, Villiers En Bois, France; [Authier, M.] CNRS, Ctr Ecol Fonct &amp; Evolut, UMR 5175, F-34033 Montpellier, France; [Trathan, P. N.] British Antarctic Survey, Nat Environm Res Council, Cambridge CB3 0ET, England</t>
  </si>
  <si>
    <t>Centre National de la Recherche Scientifique (CNRS); Centre National de la Recherche Scientifique (CNRS); CNRS - Institute of Ecology &amp; Environment (INEE); Universite PSL; Ecole Pratique des Hautes Etudes (EPHE); Institut Agro; Montpellier SupAgro; CIRAD; Institut de Recherche pour le Developpement (IRD); Universite Paul-Valery; Universite de Montpellier; UK Research &amp; Innovation (UKRI); Natural Environment Research Council (NERC); NERC British Antarctic Survey</t>
  </si>
  <si>
    <t>Thiebot, JB (corresponding author), Natl Inst Polar Res, 10-3 Midoricho, Tachikawa, Tokyo 1908518, Japan.</t>
  </si>
  <si>
    <t>jbthiebot@yahoo.fr</t>
  </si>
  <si>
    <t>Authier, Matthieu/0000-0001-7394-1993</t>
  </si>
  <si>
    <t>Zone Atelier Antarctique (INSU-CNRS); Institut Polaire Francais Paul-Emile Victor (IPEV) [394, 109]; Terres Australes et Antarctiques Francaises (TAAF) administration; ANR 07 Biodiv 'GLIDES'; Grants-in-Aid for Scientific Research [26840153] Funding Source: KAKEN; Natural Environment Research Council [bas0100025] Funding Source: researchfish; NERC [bas0100025] Funding Source: UKRI</t>
  </si>
  <si>
    <t>Zone Atelier Antarctique (INSU-CNRS); Institut Polaire Francais Paul-Emile Victor (IPEV); Terres Australes et Antarctiques Francaises (TAAF) administration; ANR 07 Biodiv 'GLIDES'(Agence Nationale de la Recherche (ANR)); Grants-in-Aid for Scientific Research(Ministry of Education, Culture, Sports, Science and Technology, Japan (MEXT)Japan Society for the Promotion of ScienceGrants-in-Aid for Scientific Research (KAKENHI)); Natural Environment Research Council(UK Research &amp; Innovation (UKRI)Natural Environment Research Council (NERC)); NERC(UK Research &amp; Innovation (UKRI)Natural Environment Research Council (NERC))</t>
  </si>
  <si>
    <t>The Ethics Committee of IPEV approved the field procedure. The authors thank H. Maheo, M. Berlincourt, Q. Delorme, A. Knochel, R. Perdriat, J. Nezan, S. Mortreux, Y. Charbonnier and N. Mignot for their help in the field on the French Southern Territories, and A. Goarant for her help on analyses. The present work was supported financially and logistically by the ANR 07 Biodiv 'GLIDES', the Zone Atelier Antarctique (INSU-CNRS), the Institut Polaire Francais Paul-Emile Victor (IPEV, programmes no. 394: resp. C.A. Bost, and 109: resp. H. Weimerskirch) and the Terres Australes et Antarctiques Francaises (TAAF) administration.</t>
  </si>
  <si>
    <t>0952-8369</t>
  </si>
  <si>
    <t>1469-7998</t>
  </si>
  <si>
    <t>J ZOOL</t>
  </si>
  <si>
    <t>J. Zool.</t>
  </si>
  <si>
    <t>10.1111/jzo.12080</t>
  </si>
  <si>
    <t>275LV</t>
  </si>
  <si>
    <t>WOS:000328679000004</t>
  </si>
  <si>
    <t>Montgomery, J; Bleckmann, H; Coombs, S</t>
  </si>
  <si>
    <t>Coombs, S; Bleckmann, H; Fay, RR; Popper, AN</t>
  </si>
  <si>
    <t>Montgomery, John; Bleckmann, Horst; Coombs, Sheryl</t>
  </si>
  <si>
    <t>Sensory Ecology and Neuroethology of the Lateral Line</t>
  </si>
  <si>
    <t>LATERAL LINE SYSTEM</t>
  </si>
  <si>
    <t>Springer Handbook of Auditory Research</t>
  </si>
  <si>
    <t>hydrodynamic sensors; surface waves; aquatic prey detection; aquatic predator avoidance; aquatic communication; fish schooling; sensory signals and noise; hydrodynamic imaging; control of swimming; rheotaxis</t>
  </si>
  <si>
    <t>SURFACE-FEEDING FISH; MEXICAN CAVE FISH; ANOPTICHTHYS-JORDANI CHARACIDAE; ANTARCTIC NOTOTHENIOID FISH; DIPOLE SOURCE LOCALIZATION; MICHIGAN MOTTLED SCULPIN; PIPER HYPORHAMPHUS-IHI; FLOW FIELD ANALYSIS; APLOCHEILUS-LINEATUS; ASTYANAX-FASCIATUS</t>
  </si>
  <si>
    <t>[Montgomery, John] Univ Auckland, Sch Biol Sci, Auckland 1142, New Zealand; [Montgomery, John] Univ Auckland, Inst Marine Sci, Auckland 1142, New Zealand; [Bleckmann, Horst] Univ Bonn, Inst Zool, D-53115 Bonn, Germany; [Coombs, Sheryl] Bowling Green State Univ, Dept Biol Sci, JP Scott Ctr Neurosci Mind &amp; Behav, Life Sci Ctr 434, Bowling Green, OH 43403 USA</t>
  </si>
  <si>
    <t>University of Auckland; University of Auckland; University of Bonn; University System of Ohio; Bowling Green State University</t>
  </si>
  <si>
    <t>Montgomery, J (corresponding author), Univ Auckland, Sch Biol Sci, Auckland 1142, New Zealand.</t>
  </si>
  <si>
    <t>j.montgomery@auckland.ac.nz; bleckmann@uni-bonn.de; scoombs@bgsu.edu</t>
  </si>
  <si>
    <t>Montgomery, John C/D-4310-2009</t>
  </si>
  <si>
    <t>233 SPRING STREET, NEW YORK, NY 10013, UNITED STATES</t>
  </si>
  <si>
    <t>0947-2657</t>
  </si>
  <si>
    <t>2197-1897</t>
  </si>
  <si>
    <t>978-1-4614-8851-4; 978-1-4614-8850-7</t>
  </si>
  <si>
    <t>SPRINGER HANDB AUDIT</t>
  </si>
  <si>
    <t>Springer Handb. Audit. Res.</t>
  </si>
  <si>
    <t>10.1007/2506_2013_17</t>
  </si>
  <si>
    <t>10.1007/978-1-4614-8851-4</t>
  </si>
  <si>
    <t>Neurosciences; Zoology</t>
  </si>
  <si>
    <t>Neurosciences &amp; Neurology; Zoology</t>
  </si>
  <si>
    <t>BJ0RS</t>
  </si>
  <si>
    <t>WOS:000417094800007</t>
  </si>
  <si>
    <t>Oanta, GA</t>
  </si>
  <si>
    <t>Oanta, Gabriela A.</t>
  </si>
  <si>
    <t>The International Tribunal for the Law of the Sea and the Polar Regions</t>
  </si>
  <si>
    <t>LAW &amp; PRACTICE OF INTERNATIONAL COURTS AND TRIBUNALS</t>
  </si>
  <si>
    <t>International Tribunal for the Law of the Sea; Arctic; Antarctica</t>
  </si>
  <si>
    <t>The International Tribunal for the Law of the Sea (ITLOS) was created by the United Nations Convention on the Law of the Sea (UNCLOS) as a mechanism for the settlement of disputes that may arise in relation to the interpretation or application of the provisions of the Convention or of an international agreement regarding the purposes of the Convention. So far, no claim regarding the polar regions as a whole has been brought before the ITLOS. However, in certain aspects these regions have been present in the activity of the ITLOS. This article is divided into two main parts. The first part presents an analysis of the present and future activities of the ITLOS regarding the Arctic. In the second part, the issues referring to the Antarctic lato senso brought to the ITLOS will be examined. So far, the Antarctic has received greater attention from the itlos than the Arctic.</t>
  </si>
  <si>
    <t>[Oanta, Gabriela A.] Univ A Coruna, Publ Int law &amp; Int Relat, La Coruna, Spain</t>
  </si>
  <si>
    <t>Oanta, GA (corresponding author), Univ A Coruna, Publ Int law &amp; Int Relat, La Coruna, Spain.</t>
  </si>
  <si>
    <t>gabriela.oanta@udc.es</t>
  </si>
  <si>
    <t>Oanta, Gabriela A./I-5505-2016</t>
  </si>
  <si>
    <t>Oanta, Gabriela A./0000-0002-1098-4758</t>
  </si>
  <si>
    <t>Spanish Ministry of Economy and Competitiveness</t>
  </si>
  <si>
    <t>Spanish Ministry of Economy and Competitiveness(Spanish Government)</t>
  </si>
  <si>
    <t>Associate Professor of public international law and international relations, University of A Coruna (Spain). This study was carried out within the context of the research project Alianza publico-privada en la cooperacion para el desarrollo en el sector pesquero: las empresas pesqueras espanolas en los paises en desarrollo [Public-private partnership in development cooperation in the fishery sector: Spanish fishing companies in developing countries], financed by the Spanish Ministry of Economy and Competitiveness for the period January 2014-December 2016. It is also the result of the collaboration developed by the author within the framework of the Network of Experts on the Legal Aspects of Maritime Safety and Security (MARSAFENET) COST ACTION IS1105.</t>
  </si>
  <si>
    <t>BRILL ACADEMIC PUBLISHERS</t>
  </si>
  <si>
    <t>LEIDEN</t>
  </si>
  <si>
    <t>PLANTIJNSTRAAT 2, P O BOX 9000, 2300 PA LEIDEN, NETHERLANDS</t>
  </si>
  <si>
    <t>1569-1853</t>
  </si>
  <si>
    <t>1571-8034</t>
  </si>
  <si>
    <t>LAW PRACT INT COURTS</t>
  </si>
  <si>
    <t>Law Pract. Int. Courts Trib.</t>
  </si>
  <si>
    <t>10.1163/15718034-12341278</t>
  </si>
  <si>
    <t>V73HY</t>
  </si>
  <si>
    <t>WOS:000211701700002</t>
  </si>
  <si>
    <t>Schmidt, K; Atkinson, A; Pond, DW; Ireland, LC</t>
  </si>
  <si>
    <t>Schmidt, Katrin; Atkinson, Angus; Pond, David W.; Ireland, Louise C.</t>
  </si>
  <si>
    <t>Feeding and overwintering of Antarctic krill across its major habitats: The role of sea ice cover, water depth, and phytoplankton abundance</t>
  </si>
  <si>
    <t>LIMNOLOGY AND OCEANOGRAPHY</t>
  </si>
  <si>
    <t>COPEPODS CALANUS-PROPINQUUS; SIMULATED LIGHT REGIMES; EUPHAUSIA-SUPERBA; SOUTHERN-OCEAN; COMMUNITY STRUCTURE; CALANOIDES-ACUTUS; MODELING GROWTH; FATTY-ACIDS; SCOTIA SEA; FOOD</t>
  </si>
  <si>
    <t>Antarctic krill (Euphausia superba) were sampled in contrasting habitats: a seasonally ice-covered deep ocean (Lazarev Sea), ice-free shelves at their northern range (South Georgia) and the Antarctic Peninsula (Bransfield Strait), and shelf and oceanic sites in the Scotia Sea. Across 92 stations, representing a year-round average, the food volume in krill stomachs comprised 71 +/- 29% algae, 17 +/- 21% protozoans, and 12 +/- 25% metazoans. Fatty acid trophic markers showed that copepods were consistently part of krill diet, not a switch food. In open waters, both diatom and copepod consumption increased with phytoplankton abundance. Under sea ice, ingestion of diatoms became rare, whereas feeding on copepods remained constant. During winter, larvae contained high but variable proportions of diatom markers, whereas in postlarvae the role of copepods increased with krill body length. Overwintering differed according to habitat. Krill from South Georgia had lower lipid stores than those from the Bransfield Strait or Lazarev Sea. Feeding effort was much reduced in Lazarev Sea krill, whereas most individuals from the Bransfield Strait and South Georgia contained phytoplankton and seabed detritus in their stomachs. Their retention of essential body reserves indicates that krill experienced most winter hardship in the Lazarev Sea, followed by South Georgia and then Bransfield Strait. This was reflected in the delayed development from juveniles to adults in the Lazarev Sea. Circumpolar comparisons of length frequencies suggest that krill growth conditions are more favorable in the southwest Atlantic than in the Lazarev Sea or off East Antarctica because of longer phytoplankton bloom periods and rewarding access to benthic food.</t>
  </si>
  <si>
    <t>[Schmidt, Katrin; Ireland, Louise C.] British Antarctic Survey, Nat Environm Res Council, Cambridge, England; [Atkinson, Angus] Plymouth Marine Lab, Plymouth, Devon, England; [Pond, David W.] Scottish Assoc Marine Sci, Dunstaffnage Marine Lab, Oban, Argyll, Scotland</t>
  </si>
  <si>
    <t>UK Research &amp; Innovation (UKRI); Natural Environment Research Council (NERC); NERC British Antarctic Survey; Plymouth Marine Laboratory; UHI Millennium Institute</t>
  </si>
  <si>
    <t>Atkinson, A (corresponding author), Plymouth Marine Lab, Prospect Pl,Hoe, Plymouth, Devon, England.</t>
  </si>
  <si>
    <t>aat@pml.ac.uk</t>
  </si>
  <si>
    <t>Atkinson, Angus/HOH-3417-2023</t>
  </si>
  <si>
    <t>Natural Environment Research Council [NE/F01547X/1]; Natural Environment Research Council [pml010004, NE/F01547X/1, bas0100025] Funding Source: researchfish; NERC [NE/F01547X/1, bas0100025, pml010004] Funding Source: UKRI</t>
  </si>
  <si>
    <t>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</si>
  <si>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Special thanks to B. Meyer, H. Flores, and E. Pakhomov who provided frozen krill from their Lazarev Sea cruises and to C. Charman, S. Clarke, M. Collins, L. Jones, A. Prior, J. Roe, K. Ross, G. Tarling, and J. Watt for sampling krill in the Bransfield Strait, Scotia Sea, and at South Georgia. We thank M. Biszczuk for preparing the map in Fig. 2. The satellite ocean color data are courtesy of the NASA SeaWiFS project. The length frequency data were provided by the krillbase database. We thank all those who contributed to this database and M. Jessopp for compiling it. Comments from S. Nicol and three anonymous reviewers were much appreciated. This study was funded by the Natural Environment Research Council grant NE/F01547X/1.</t>
  </si>
  <si>
    <t>0024-3590</t>
  </si>
  <si>
    <t>1939-5590</t>
  </si>
  <si>
    <t>LIMNOL OCEANOGR</t>
  </si>
  <si>
    <t>Limnol. Oceanogr.</t>
  </si>
  <si>
    <t>10.4319/lo.2014.59.1.0017</t>
  </si>
  <si>
    <t>Limnology; Oceanography</t>
  </si>
  <si>
    <t>Marine &amp; Freshwater Biology; Oceanography</t>
  </si>
  <si>
    <t>AM5LY</t>
  </si>
  <si>
    <t>WOS:000339901800002</t>
  </si>
  <si>
    <t>Schloss, IR; Wasilowska, A; Dumont, D; Almandoz, GO; Hernando, MP; Michaud-Tremblay, CA; Saravia, L; Rzepecki, M; Monien, P; Monien, D; Kopczynska, EE; Bers, AV; Ferreyra, GA</t>
  </si>
  <si>
    <t>Schloss, I. R.; Wasilowska, A.; Dumont, D.; Almandoz, G. O.; Hernando, M. P.; Michaud-Tremblay, C. -A.; Saravia, L.; Rzepecki, M.; Monien, P.; Monien, D.; Kopczynska, E. E.; Bers, A. V.; Ferreyra, G. A.</t>
  </si>
  <si>
    <t>On the phytoplankton bloom in coastal waters of southern King George Island (Antarctica) in January 2010: An exceptional feature?</t>
  </si>
  <si>
    <t>CLIMATE-CHANGE; GROWTH-RATES; MARINE-PHYTOPLANKTON; ADMIRALTY BAY; POTTER COVE; BIOMASS; TEMPERATURE; PHOTOSYNTHESIS; BELLINGSHAUSEN; COMMUNITIES</t>
  </si>
  <si>
    <t>Since the early 1990s, phytoplankton has been studied and monitored in Potter Cove (PC) and Admiralty Bay (AB), King George/25 de Mayo Island (KGI), South Shetlands. Phytoplankton biomass is typically low compared to other Antarctic shelf environments, with average spring-summer values below 1 mg chlorophyll a (Chl a) m(-3). The physical conditions in the area (reduced irradiance induced by particles originated from the land, intense winds) limit the coastal productivity at KGI, as a result of shallow Sverdrup's critical depths (Z(c)) and large turbulent mixing depths (Z(t)). In January 2010 a large phytoplankton bloom with a maximum of around 20 mg Chl a m(-3), and monthly averages of 4 (PC) and 6 (AB) mg Chl a m(-3), was observed in the area, making it by far the largest recorded bloom over the last 20 yr. Dominant phytoplankton species were the typical bloom-forming diatoms that are usually found in the western Antarctic Peninsula area. Anomalously cold air temperature and dominant winds from the eastern sector seem to explain adequate light : mixing environment. Local physical conditions were analyzed by means of the relationship between Z(c) and Z(t), and conditions were found adequate for allowing phytoplankton development. However, a multiyear analysis indicates that these conditions may be necessary but not sufficient to guarantee phytoplankton accumulation. The relation between maximum Chl a values and air temperature suggests that bottom-up control would render such large blooms even less frequent in KGI under the warmer climate expected in the area during the second half of the present century.</t>
  </si>
  <si>
    <t>[Schloss, I. R.] Inst Antartico Argentino, Buenos Aires, DF, Argentina; [Schloss, I. R.; Almandoz, G. O.] Consejo Nacl Investigaciones Cientific &amp; Tech, Buenos Aires, DF, Argentina; [Schloss, I. R.; Dumont, D.; Michaud-Tremblay, C. -A.; Ferreyra, G. A.] Univ Quebec, Inst Sci Mer Rimouski, Rimouski, PQ G5L 3A1, Canada; [Wasilowska, A.] Warsaw Univ, Fac Geog, Warsaw, Poland; [Almandoz, G. O.] Univ Nacl La Plata, Fac Ciencias Natur Museo, Div Ficol, La Plata, Argentina; [Hernando, M. P.] Comision Nacl Energia Atomica, Buenos Aires, San Martin, Argentina; [Saravia, L.] Univ Nacl Gen Sarmiento, Inst Ciencias, Buenos Aires, DF, Argentina; [Rzepecki, M.] Polish Acad Sci, Nencki Inst Expt Brol, Warsaw, Poland; [Monien, P.; Monien, D.] Carl von Ossietzky Univ Oldenburg, Inst Chem &amp; Biol Marine Environm, D-26111 Oldenburg, Germany; [Kopczynska, E. E.] Polish Acad Sci, Inst Biochem &amp; Biophys, Dept Antarct Biol, Warsaw, Poland; [Bers, A. V.] Alfred Wegener Inst Polar &amp; Marine Res, Bremerhaven, Germany</t>
  </si>
  <si>
    <t>Instituto Antartico Argentino; University of Quebec; University of Warsaw; National University of La Plata; Museo La Plata; Comision Nacional de Energia Atomica (CNEA); Polish Academy of Sciences; Carl von Ossietzky Universitat Oldenburg; Polish Academy of Sciences; Institute of Biochemistry &amp; Biophysics - Polish Academy of Sciences; Helmholtz Association; Alfred Wegener Institute, Helmholtz Centre for Polar &amp; Marine Research</t>
  </si>
  <si>
    <t>Schloss, IR (corresponding author), Inst Antartico Argentino, Buenos Aires, DF, Argentina.</t>
  </si>
  <si>
    <t>ischloss@dna.gov.ar</t>
  </si>
  <si>
    <t>Dumont, Dany/J-6664-2017; Saravia, Leonardo/AAM-3461-2021; Schloss, Irene R./U-5411-2018; Monien, Patrick/K-8338-2017</t>
  </si>
  <si>
    <t>Dumont, Dany/0000-0003-4107-1799; Saravia, Leonardo/0000-0002-7911-4398; Schloss, Irene R./0000-0002-5917-8925; Monien, Patrick/0000-0002-4000-5362; Almandoz, Gaston O./0000-0001-7931-582X; Wasilowska, Agnieszka/0000-0002-9538-593X; Ferreyra, Gustavo Adolfo/0000-0003-1953-5067</t>
  </si>
  <si>
    <t>PICTO (Proyectos de Investigacion Cientifica y Tecnologica Orientados) [35562]; PICT (Proyectos de Investigacion Cientifica y Tecnologica) [2011 1320]; European Polar Consortium-European Research Area-Net; (Germany): Bundesministerium fur Bildung und Forschung [03F0617A, 03F0617C]</t>
  </si>
  <si>
    <t>PICTO (Proyectos de Investigacion Cientifica y Tecnologica Orientados); PICT (Proyectos de Investigacion Cientifica y Tecnologica)(ANPCyT); European Polar Consortium-European Research Area-Net; (Germany): Bundesministerium fur Bildung und Forschung</t>
  </si>
  <si>
    <t>We are very thankful to the personnel on both Carlini and Arctowski Stations for their great support in the field. Special thanks to Oscar Gonzalez, Alejandro Ulrich, and Silvia Rodriguez for their overall help. The Argentinean National Meteorological Service (SMN) kindly provided meteorological information. In addition, we sincerely acknowledge Doris Abele from the Alfred-Wegener Institute for Polar and Marine Research for discussions in the field and for her long-lasting support with the instruments used for these analyses, and Philippe Archambault for statistical advice. Thanks also to Serge Demers, who supported part of this study. Finally, thanks to John Turner (British Antarctic Survey) for some thoughts about January 2010's meteorology. This study was supported by PICTO (Proyectos de Investigacion Cientifica y Tecnologica Orientados) 35562 and PICT (Proyectos de Investigacion Cientifica y Tecnologica) 2011 1320 to I.R.S. and is part of the Impact of climate induced glacial melting on marine coastal systems in the Western Antarctic Peninsula Region (IMCOAST, European Partnership in Polar Climate Science) supported by the European Polar Consortium-European Research Area-Net. Additional funding (Germany): Bundesministerium fur Bildung und Forschung 03F0617A (A.V.B.) and 03F0617C (D.M.). Finally, we want also to sincerely thank two anonymous reviewers for their constructive comments with respect to our manuscript. Amending the manuscript in accordance with their suggestions has-in our eyes-definitely improved our work.</t>
  </si>
  <si>
    <t>10.4319/lo.2014.59.1.0195</t>
  </si>
  <si>
    <t>WOS:000339901800016</t>
  </si>
  <si>
    <t>Quiroga, E; Gerdes, D; Montiel, A; Knust, R; Jacob, U</t>
  </si>
  <si>
    <t>Quiroga, Eduardo; Gerdes, Dieter; Montiel, Americo; Knust, Rainer; Jacob, Ute</t>
  </si>
  <si>
    <t>Normalized biomass size spectra in high Antarctic macrobenthic communities: linking trophic position and body size</t>
  </si>
  <si>
    <t>MARINE ECOLOGY PROGRESS SERIES</t>
  </si>
  <si>
    <t>Macrofauna; Trophic spectrum; Trophic level; Stable isotopes</t>
  </si>
  <si>
    <t>BENTHIC COMMUNITIES; WEDDELL SEA; CONTINENTAL-SHELF; SALT MARSHES; WEB; ICE; SEDIMENTATION; ASSEMBLAGES; DISTURBANCE; INDICATORS</t>
  </si>
  <si>
    <t>Normalized biomass size spectra (NBSS) and the stable nitrogen isotopic composition of food webs were analyzed to determine the inter-specific relationships between trophic level (measured as delta N-15) and body size in macrobenthic communities living on the continental shelf of the southeastern Weddell Sea (SEWS). We found that the relationship between trophic level and body size for the whole macrobenthic community was not significant (r(2) = 0.08, p &gt; 0.05), probably associated with biomass accumulated in the larger body size fractions, which are represented particularly by suspension feeders such as sponges and tunicates. We used an alternative method of studying trophic structure of the aquatic communities based on the distribution of residuals of the NBSS. Here we demonstrate how residual distribution exhibited dome-like patterns, which may offer an additional quantitative tool for studying the relationship between trophic level and body size. These domes of biomass represent trophic positions derived from relationships between the body size distribution of the predators in one trophic position and their prey in another. We found 4 well defined domes of biomass, which appear when large benthic species are abundant, especially favored in an environment with high organic matter flux. A significant positive relationship (r(2) = 0.59, p &lt; 0.05) between the trophic level and residuals derived from NBSS suggests that these domes might be considered as functional groups comprising organisms from different trophic levels. We suggest that dome-like patterns in the biomass size spectra can provide a robust framework for conceptualizing and statistically modeling trophic levels of macrobenthic communities.</t>
  </si>
  <si>
    <t>[Quiroga, Eduardo] PUCV, Escuela Ciencias Mar, Valparaiso 1020, Chile; [Gerdes, Dieter; Knust, Rainer; Jacob, Ute] Alfred Wegener Inst Polar &amp; Marine Res, D-27568 Bremerhaven, Germany; [Montiel, Americo] Univ Magallanes, Inst Patagonia, Punta Arenas, Chile</t>
  </si>
  <si>
    <t>Pontificia Universidad Catolica de Valparaiso; Helmholtz Association; Alfred Wegener Institute, Helmholtz Centre for Polar &amp; Marine Research; Universidad de Magallanes</t>
  </si>
  <si>
    <t>Quiroga, E (corresponding author), PUCV, Escuela Ciencias Mar, Av Altamirano 1480,Casilla 1020, Valparaiso 1020, Chile.</t>
  </si>
  <si>
    <t>eduardo.quiroga@ucv.cl</t>
  </si>
  <si>
    <t>Jacob, Ute/H-3089-2018</t>
  </si>
  <si>
    <t>Gerdes, David/0000-0001-6942-2736; Montiel, Americo/0000-0002-2644-4879</t>
  </si>
  <si>
    <t>Instituto Antartico Chileno [T25-10]; CD GAIA-Antarctica Program, Universidad de Magallanes (Punta Arenas, Chile)</t>
  </si>
  <si>
    <t>Instituto Antartico Chileno; CD GAIA-Antarctica Program, Universidad de Magallanes (Punta Arenas, Chile)</t>
  </si>
  <si>
    <t>This research was funded by the Instituto Antartico Chileno (Regular proposal INACH No. T25-10). We thank all participants of the CAMBIO Expedition (ANT XXVII/3-2011, Change in Antarctic Marine Biota), who contributed to the study's success. Thanks to the crew and technicians from the Alfred Wegener Institute for Polar and Marine Research (AWI) for help onboard RV 'Polar-stern.' We thank Dr. Tom Brey from the AWI for providing the stable isotope data from the cruises ANT XIII/3 (1992), ANT XV/3 (1994), ANT XVII/3 (1996), and ANT XXI/2 (1999). We are also grateful for the comments of Dr. Renato Quinones from the Universidad de Concepcion, who helped to improve previous versions of this manuscript. A. M. is grateful for support from the CD GAIA-Antarctica Program, Universidad de Magallanes (Punta Arenas, Chile).</t>
  </si>
  <si>
    <t>0171-8630</t>
  </si>
  <si>
    <t>1616-1599</t>
  </si>
  <si>
    <t>MAR ECOL PROG SER</t>
  </si>
  <si>
    <t>Mar. Ecol.-Prog. Ser.</t>
  </si>
  <si>
    <t>10.3354/meps10807</t>
  </si>
  <si>
    <t>Ecology; Marine &amp; Freshwater Biology; Oceanography</t>
  </si>
  <si>
    <t>Environmental Sciences &amp; Ecology; Marine &amp; Freshwater Biology; Oceanography</t>
  </si>
  <si>
    <t>AK0QR</t>
  </si>
  <si>
    <t>WOS:000338120000007</t>
  </si>
  <si>
    <t>Cameron, MJ; Lucieer, V; Barrett, NS; Johnson, CR; Edgar, GJ</t>
  </si>
  <si>
    <t>Cameron, Matthew J.; Lucieer, Vanessa; Barrett, Neville S.; Johnson, Craig R.; Edgar, Graham J.</t>
  </si>
  <si>
    <t>Understanding community-habitat associations of temperate reef fishes using fine-resolution bathymetric measures of physical structure</t>
  </si>
  <si>
    <t>Temperate reefs; Remote sensing; Bathymetric derivatives; Physical structure; Fish-habitat relationships</t>
  </si>
  <si>
    <t>BOOSTED REGRESSION TREES; NATIONAL MARINE SANCTUARY; NEW-ZEALAND; SPECIES DISTRIBUTION; SPATIAL PREDICTION; VISUAL CENSUS; ASSEMBLAGES; COMPLEXITY; DIVERSITY; PREDATION</t>
  </si>
  <si>
    <t>Multibeam sonar (MBS) hydro-acoustic technology allows for inexpensive, broad-scale, fine-resolution assessment of marine fish habitats. Parallel advancements in geographic information systems and new analytical techniques are providing researchers with the ability to generate informative surrogate predictors of biodiversity and species responses. The aim of this study was to determine whether fine-scale bathymetric derivatives of MBS survey data could be effectively applied as surrogates to explain spatial patterns in reef fish diversity and species-habitat relationships. In the absence of direct metrics of habitat, these derivatives might prove to be effective tools for marine spatial planning. Species-habitat relationships were examined across a marine reserve on the south-eastern coast of Tasmania at fine spatial scales using boosted regression tree analyses. The most important explanatory variables of community diversity were those describing the degree of reef aspect deviation from east and south (seemingly as a proxy for swell exposure), reef bathymetry (depth), plane and slope. Models could account for up to 30% of the spatial variability in measures of species diversity. Responses in species abundance and occurrence to habitat structure appeared to be largely species-specific at the scales investigated. Models accounted for up to 67% and 58% of the abundance and occurrence, respectively, for the southern hulafish Trachinops caudimaculatus. Our results demonstrate that multibeam-derived metrics of reef habitat structure, employed in combination with modern modelling approaches, have the potential to explain and predict fine-resolution patterns in temperate reef fish community structure. This knowledge is urgently required to effectively manage marine ecosystems and conserve biodiversity and fisheries resources.</t>
  </si>
  <si>
    <t>[Cameron, Matthew J.; Lucieer, Vanessa; Barrett, Neville S.; Johnson, Craig R.; Edgar, Graham J.] Univ Tasmania, IMAS, Battery Point, Tas 7004, Australia</t>
  </si>
  <si>
    <t>University of Tasmania</t>
  </si>
  <si>
    <t>Cameron, MJ (corresponding author), Univ Tasmania, IMAS, 20 Castray Esplanade, Battery Point, Tas 7004, Australia.</t>
  </si>
  <si>
    <t>matthew.cameron@utas.edu.au</t>
  </si>
  <si>
    <t>Edgar, Graham/C-8341-2013; Edgar, Graham/AAY-3797-2020; Barrett, Neville/J-7593-2014; Johnson, Craig/E-1788-2013; Lucieer, Vanessa/D-1697-2009</t>
  </si>
  <si>
    <t>Edgar, Graham/0000-0003-0833-9001; Edgar, Graham/0000-0003-0833-9001; Barrett, Neville/0000-0002-6167-1356; Johnson, Craig/0000-0002-9511-905X; Lucieer, Vanessa/0000-0001-7531-5750</t>
  </si>
  <si>
    <t>Australian Government's National Environmental Research Program (NERP); Winifred Violet Scott trust</t>
  </si>
  <si>
    <t>Australian Government's National Environmental Research Program (NERP)(Australian Government); Winifred Violet Scott trust</t>
  </si>
  <si>
    <t>This work was undertaken for the Marine Biodiversity Hub, a collaborative partnership supported through funding from the Australian Government's National Environmental Research Program (NERP). NERP Marine Biodiversity Hub partners include the Institute for Marine and Antarctic Studies, University of Tasmania, CSIRO, Geoscience Australia, Australian Institute of Marine Science, Museum Victoria, Charles Darwin University and the University of Western Australia. Funding was provided in part by a Winifred Violet Scott trust fund research grant.</t>
  </si>
  <si>
    <t>10.3354/meps10788</t>
  </si>
  <si>
    <t>WOS:000338120000014</t>
  </si>
  <si>
    <t>Bilgmann, K; Parra, GJ; Zanardo, N; Beheregaray, LB; Möller, LM</t>
  </si>
  <si>
    <t>Bilgmann, Kerstin; Parra, Guido J.; Zanardo, Nikki; Beheregaray, Luciano B.; Moeller, Luciana M.</t>
  </si>
  <si>
    <t>Multiple management units of short-beaked common dolphins subject to fisheries bycatch off southern and southeastern Australia</t>
  </si>
  <si>
    <t>Fine-scale structure; Genetic structure; Gillnet; Purse seine; Oceanography; Delphinus delphis</t>
  </si>
  <si>
    <t>EASTERN TROPICAL PACIFIC; BOTTLE-NOSED DOLPHINS; DELPHINUS-DELPHIS; POPULATION-STRUCTURE; MICROSATELLITE LOCI; TURSIOPS-ADUNCUS; SOFTWARE; INFERENCE; CIRCULATION; SEQUENCES</t>
  </si>
  <si>
    <t>Worldwide, fisheries bycatch remains one of the greatest immediate threats to cetacean populations. In Australia, short-beaked common dolphins are subject to bycatch mortality in 2 fisheries: the purse-seine fishery for sardines off central South Australia and the gillnet fishery for gummy sharks off southern Australia. The cumulative impact of bycatch from both fisheries on the dolphin population(s) in these regions are unknown. We used information from microsatellite markers and mitochondrial DNA to investigate population genetic structure and estimate contemporary migration rates in 332 biopsied and 15 stranded samples of common dolphins. Samples were collected from 11 locations along similar to 3500 km of coastline in southern and southeastern Australia. Bayesian and traditional analyses of population genetic structure revealed the presence of at least 6 management units of common dolphins, of which a minimum of 3 are potentially impacted by the 2 fisheries. These management units need to be managed separately for conservation purposes and for monitoring and mitigation of common dolphin fishery inter actions off southern and southeastern Australia. We suggest that substructuring and migratory movements of common dolphins across these regions may be driven by spatial variations in oceanography, upwelling events and/or fish distribution. This study exemplifies how information on genetic substructuring in a neritic top predator can be valuable for fisheries bycatch management.</t>
  </si>
  <si>
    <t>[Bilgmann, Kerstin; Parra, Guido J.; Zanardo, Nikki; Moeller, Luciana M.] Flinders Univ S Australia, Sch Biol Sci, CEBEL, Adelaide, SA 5001, Australia; [Bilgmann, Kerstin; Zanardo, Nikki; Beheregaray, Luciano B.; Moeller, Luciana M.] Flinders Univ S Australia, Sch Biol Sci, Mol Ecol Lab, Adelaide, SA 5001, Australia; [Parra, Guido J.] SARDI, Aquat Sci, Adelaide, SA 5024, Australia</t>
  </si>
  <si>
    <t>Flinders University South Australia; Flinders University South Australia</t>
  </si>
  <si>
    <t>Bilgmann, K (corresponding author), Flinders Univ S Australia, Sch Biol Sci, CEBEL, GPO Box 2100, Adelaide, SA 5001, Australia.</t>
  </si>
  <si>
    <t>kerstin.bilgmann@flinders.edu.au</t>
  </si>
  <si>
    <t>Beheregaray, Luciano/AAY-6384-2021; Beheregaray, Luciano/A-8621-2008; Möller, Luciana M/A-6030-2008</t>
  </si>
  <si>
    <t>Beheregaray, Luciano/0000-0003-0944-3003; Beheregaray, Luciano/0000-0003-0944-3003; Bilgmann, Kerstin/0000-0003-0681-2301</t>
  </si>
  <si>
    <t>Australian Marine Mammal Science Centre, Australian Antarctic Division, Tasmania</t>
  </si>
  <si>
    <t>This study was funded by the Australian Marine Mammal Science Centre, Australian Antarctic Division, Tasmania. We sincerely thank C. and M. Jenner and the crew of 'Whalesong', P. Hudson from Esperance Fishing and Diving, and the Southern Australian Marine Integrated Observing System (SAIMOS) for providing logistical support for the collection of common dolphin biopsy samples. We extend our gratitude to the crew of the RV 'Ngerin' and the many people who helped with the project: M. Schmidt, S. Mason, D. Donnelly, M. Drew, D. Day, L. Holmes, C. Attard and P. Rogers. The research was carried out under following permits: DENR, SA (#E25889); DEC, WA (#SF008961); DSE, VIC (#FF383247); DECCW NSW (#A2126); and DEWHA (#2008-0001), SA State water a Ministerial Exemption PIRSA (9902404); animal ethics by Flinders University and Southern Adelaide Health Service Animal Welfare Committee (E326). We thank C. Kemper at the SA Museum, S. Donnellan, EBU, Adelaide University, the Tasmanian Museum and Art Gallery and R. Gales, DPIPWE, for providing tissue samples of common dolphins that stranded in southeastern Tasmania. We thank S. Goldsworthy and 3 anonymous reviewers for their comments on the draft manuscript. This is contribution #51 of MEGMAR, the Molecular Ecology Group for Marine Research.</t>
  </si>
  <si>
    <t>U300</t>
  </si>
  <si>
    <t>10.3354/meps10649</t>
  </si>
  <si>
    <t>AD0CA</t>
  </si>
  <si>
    <t>WOS:000332900300019</t>
  </si>
  <si>
    <t>Sangrà, P; García-Muñoz, C; García, CM; Marrero-Díaz, A; Sobrino, C; Mouriño-Carballido, B; Aguiar-González, B; Henríquez-Pastene, C; Rodríguez-Santana, A; Lubián, LM; Hernández-Arencibia, M; Hernández-León, S; Vázquez, E; Estrada-Allis, SN</t>
  </si>
  <si>
    <t>Sangra, Pablo; Garcia-Munoz, Cristina; Garcia, Carlos M.; Marrero-Diaz, Angeles; Sobrino, Cristina; Mourino-Carballido, Beatriz; Aguiar-Gonzalez, Borja; Henriquez-Pastene, Cristian; Rodriguez-Santana, Angel; Lubian, Luis M.; Hernandez-Arencibia, Monica; Hernandez-Leon, Santiago; Vazquez, Elsa; Estrada-Allis, Sheila N.</t>
  </si>
  <si>
    <t>Coupling between upper ocean layer variability and size-fractionated phytoplankton in a non-nutrient-limited environment</t>
  </si>
  <si>
    <t>Physical-biological coupling; Mesoscale; Submesoscale; Vertical mixing; Phytoplankton composition; Antarctica</t>
  </si>
  <si>
    <t>SOUTH SHETLAND ISLANDS; MIXED-LAYER; ANTARCTIC PENINSULA; LIGHT; COMPETITION; TURBULENCE; BIOMASS; DEPTH; MESOSCALE; DIATOMS</t>
  </si>
  <si>
    <t>We describe the coupling between upper ocean layer variability and size-fractionated phytoplankton distribution in the non-nutrient-limited Bransfield Strait region (BS) of Antarctica. For this purpose we use hydrographic and size-fractionated chlorophyll a data from a transect that crossed 2 fronts and an eddy, together with data from 3 stations located in a deeply mixed region, the Antarctic Sound (AS). In the BS transect, small phytoplankton (&lt;20 mu m equivalent spherical diameter [ESD]) accounted for 80% of total chl a and their distribution appeared to be linked to cross-frontal variability. On the deepening upper mixed layer (UML) sides of both fronts we observed a deep subducting column-like structure of small phytoplankton biomass. On the shoaling UML sides of both fronts, where there were signs of restratification, we observed a local shallow maximum of small phytoplankton biomass. We propose that this observed phytoplankton distribution may be a response to the development of frontal vertical circulation cells. In the deep, turbulent environment of the AS, larger phytoplankton (&gt;20 mu m ESD) accounted for 80% of total chl a. The proportion of large phytoplankton increases as the depth of the upper mixed layer (Z(UML)), and the corresponding rate of vertical mixing, increases. We hypothesize that this change in phytoplankton composition with varying Z(UML) is related to the competition for light, and results from modification of the light regime caused by vertical mixing.</t>
  </si>
  <si>
    <t>[Sangra, Pablo; Hernandez-Leon, Santiago] Univ Las Palmas Gran Canaria, Inst Univ Oceanog &amp; Cambio Global, Las Palmas Gran Canaria 35017, Spain; [Garcia-Munoz, Cristina; Lubian, Luis M.] CSIC, Inst Ciencias Marinas Andalucia ICMAN, Dept Ecol &amp; Gest Costera, Cadiz 11510, Spain; [Garcia, Carlos M.] Univ Cadiz, Fac Ciencias Mar &amp; Ambientales, Dept Biol, Cadiz 11510, Spain; [Marrero-Diaz, Angeles; Aguiar-Gonzalez, Borja; Rodriguez-Santana, Angel; Hernandez-Arencibia, Monica; Estrada-Allis, Sheila N.] Univ Las Palmas Gran Canaria, Dept Fis, Las Palmas Gran Canaria 35017, Spain; [Sobrino, Cristina; Mourino-Carballido, Beatriz; Vazquez, Elsa] Univ Vigo, Dept Ecoloxia &amp; Bioloxia Anim, Vigo 36200, Pontevedra, Spain; [Henriquez-Pastene, Cristian] Univ Concepcion, Dept Geofis, Concepcion, Chile</t>
  </si>
  <si>
    <t>Universidad de Las Palmas de Gran Canaria; Consejo Superior de Investigaciones Cientificas (CSIC); CSIC - Instituto de Ciencias Marinas de Andalucia (ICMAN); Universidad de Cadiz; Universidad de Las Palmas de Gran Canaria; Universidade de Vigo; Universidad de Concepcion</t>
  </si>
  <si>
    <t>Sangrà, P (corresponding author), Univ Las Palmas Gran Canaria, Inst Univ Oceanog &amp; Cambio Global, Las Palmas Gran Canaria 35017, Spain.</t>
  </si>
  <si>
    <t>pablo.sangra@ulpgc.es</t>
  </si>
  <si>
    <t>LUBIAN, LUIS M/L-7241-2014; Sobrino, Cristina/J-3534-2012; Vázquez, Elsa/D-7082-2013; Aguiar-González, Borja/J-5557-2019; Mourino, Beatriz/E-8635-2016; Rodriguez-Santana, Angel/H-8596-2015; Marrero-Díaz, Ángeles/H-2175-2015; Hernández-León, Santiago/M-2563-2014; Garcia, Carlos M/M-2025-2018; Sangra, Pablo/I-1350-2015</t>
  </si>
  <si>
    <t>Sobrino, Cristina/0000-0003-0431-1220; Aguiar-González, Borja/0000-0002-2064-1724; Rodriguez-Santana, Angel/0000-0003-1960-6777; Marrero-Díaz, Ángeles/0000-0001-7697-0036; Garcia, Carlos M/0000-0002-8920-9024; Mourino-Carballido, Beatriz/0000-0001-7961-1477; Sangra, Pablo/0000-0002-6600-2194; Vazquez, Elsa/0000-0003-0782-4734; Hernandez-Leon, Santiago/0000-0002-3085-4969; Estrada-Allis, Sheila/0000-0002-0005-4629</t>
  </si>
  <si>
    <t>Spanish government through project COUPLING [CTM2008-06343-CO2-01]; Spanish Council for Scientific Research (CSIC) [JAE-Predoc 2009]; Ramon y Cajal program from the Spanish Ministry of Education and Science</t>
  </si>
  <si>
    <t>Spanish government through project COUPLING; Spanish Council for Scientific Research (CSIC); Ramon y Cajal program from the Spanish Ministry of Education and Science(German Research Foundation (DFG))</t>
  </si>
  <si>
    <t>We express our gratitude to the technical staff and crew of RV Hesperides for supporting our work at sea. This work was supported by the Spanish government through project COUPLING (CTM2008-06343-CO2-01). The authors are grateful to Celia Marrase and Francesc Peters from the Institut de Ciencies del Mar-CSIC for providing useful suggestions and comments. C. G-M. was supported by a predoctoral fellowship from the Spanish Council for Scientific Research (CSIC), JAE-Predoc 2009. B.M.-C was supported by the Ramon y Cajal program from the Spanish Ministry of Education and Science.</t>
  </si>
  <si>
    <t>10.3354/meps10668</t>
  </si>
  <si>
    <t>AC0ZW</t>
  </si>
  <si>
    <t>Bronze, Green Submitted</t>
  </si>
  <si>
    <t>WOS:000332225000003</t>
  </si>
  <si>
    <t>Thiers, L; Delord, K; Barbraud, C; Phillips, RA; Pinaud, D; Weimerskirch, H</t>
  </si>
  <si>
    <t>Thiers, Laurie; Delord, Karine; Barbraud, Christophe; Phillips, Richard A.; Pinaud, David; Weimerskirch, Henri</t>
  </si>
  <si>
    <t>Foraging zones of the two sibling species of giant petrels in the Indian Ocean throughout the annual cycle: implication for their conservation</t>
  </si>
  <si>
    <t>Year-round distribution; Giant petrels; Telemetry; Global location sensing; Longliners</t>
  </si>
  <si>
    <t>TOOTHFISH LONGLINE FISHERY; AT-SEA DISTRIBUTION; MACRONECTES-HALLI; SEABIRD MORTALITY; POPULATION TRENDS; ACTIVITY PATTERNS; DIOMEDEA-EXULANS; SOUTHERN-OCEAN; KING PENGUINS; ALBATROSSES</t>
  </si>
  <si>
    <t>We studied the year-round distribution and at-sea activity patterns of the sibling species, northern giant petrel Macronectes halli and southern giant petrel M. giganteus. Loggers combining light-based geolocators and immersion sensors were used to provide year-long data on large-scale distribution and activity of both species from the Crozet Islands (46 degrees 25' S, 51 degrees 51' E) and northern giant petrels from the Kerguelen Islands (49 degrees 19' S, 69 degrees 15' E) in the southern Indian Ocean. Argos platform transmitter terminals (PTTs) were used to track fine-scale movements of breeding adults and juveniles. Overall, adults remained within the Indian Ocean during and outside the breeding season, whereas juveniles dispersed throughout the Southern Ocean. In accordance with previous studies, differences in adult distribution and behaviour were greater between sexes than species: females dispersed more widely than males and also spent more time sitting on the water, particularly during the winter. Observed differences in distribution have important conservation implications: adults, especially males, overlap to a large extent with longline fisheries for Patagonian toothfish Dissostichus eleginoides in shelf areas within national Exclusive Economic Zones (EEZs), whereas adult females and juveniles are more likely to encounter high-sea longline fleets targeting tuna in subtropical waters. The circumpolar wide ranging behavior of na ve juvenile birds makes them particularly susceptible to interaction with a wide range of longline fisheries.</t>
  </si>
  <si>
    <t>[Thiers, Laurie; Delord, Karine; Barbraud, Christophe; Pinaud, David; Weimerskirch, Henri] CNRS, Ctr Etud Biol Chize, F-79360 Villiers En Bois, France; [Phillips, Richard A.] British Antarctic Survey, Nat Environm Res Council, Cambridge CB3 0ET, England</t>
  </si>
  <si>
    <t>Centre National de la Recherche Scientifique (CNRS); UK Research &amp; Innovation (UKRI); Natural Environment Research Council (NERC); NERC British Antarctic Survey</t>
  </si>
  <si>
    <t>Thiers, L (corresponding author), CNRS, Ctr Etud Biol Chize, F-79360 Villiers En Bois, France.</t>
  </si>
  <si>
    <t>thiers@cebc.cnrs.fr</t>
  </si>
  <si>
    <t>Weimerskirch, Henri/K-7306-2019; Pinaud, David/B-6326-2008; Barbraud, Christophe/A-5870-2012; Weimerskirch, Henri/F-5562-2013</t>
  </si>
  <si>
    <t>Weimerskirch, Henri/0000-0002-0457-586X; Pinaud, David/0000-0003-0815-9668; Barbraud, Christophe/0000-0003-0146-212X;</t>
  </si>
  <si>
    <t>Institut Paul Emile Victor (IPEV) [109]; French Southern Territories and Prince Albert II de Monaco Foundation; Natural Environment Research Council [bas0100025] Funding Source: researchfish; NERC [bas0100025] Funding Source: UKRI</t>
  </si>
  <si>
    <t>Institut Paul Emile Victor (IPEV); French Southern Territories and Prince Albert II de Monaco Foundation; Natural Environment Research Council(UK Research &amp; Innovation (UKRI)Natural Environment Research Council (NERC)); NERC(UK Research &amp; Innovation (UKRI)Natural Environment Research Council (NERC))</t>
  </si>
  <si>
    <t>This study was carried out at Crozet and Kerguelen with the support of Institut Paul Emile Victor (IPEV - Program 109), French Southern Territories and Prince Albert II de Monaco Foundation. The study was approved by the Ethic Committee of IPEV and by the 'Comite d'Environnement Polaire'. We thank D. Ramm (CCAMLR) and N. Vogel (IATTC) for assisting with the provision of the fisheries data, all data owners for their permission to use those data and also C. Palma for corrected values for fishing effort in the ICCAT area. We thank J. B. Thiebot and P. Pinet for helpful advice and 2 anonymous referees for their valuable comments on the paper. L. T. was supported by 'Region Poitou-Charentes' and Prince Albert II de Monaco Foundation.</t>
  </si>
  <si>
    <t>U488</t>
  </si>
  <si>
    <t>10.3354/meps10620</t>
  </si>
  <si>
    <t>Bronze, Green Accepted, Green Submitted</t>
  </si>
  <si>
    <t>WOS:000332225000017</t>
  </si>
  <si>
    <t>Guinet, C; Vacquié-Garcia, J; Picard, B; Bessigneul, G; Lebras, Y; Dragon, AC; Viviant, M; Arnould, JPY; Bailleul, F</t>
  </si>
  <si>
    <t>Guinet, Christophe; Vacquie-Garcia, Jade; Picard, Baptiste; Bessigneul, Guillaume; Lebras, Yves; Dragon, Anne Cecile; Viviant, Morgane; Arnould, John P. Y.; Bailleul, Frederic</t>
  </si>
  <si>
    <t>Southern elephant seal foraging success in relation to temperature and light conditions: insight into prey distribution</t>
  </si>
  <si>
    <t>Southern elephant seals; Foraging success; Light; Temperature; Diving behaviour; Prey</t>
  </si>
  <si>
    <t>DIEL VERTICAL MIGRATION; MIROUNGA-LEONINA; FRONTAL STRUCTURE; FEEDING-BEHAVIOR; STABLE-ISOTOPES; DIVING BEHAVIOR; MYCTOPHID FISH; INDIAN SECTOR; UPPER OCEAN; SCOTIA SEA</t>
  </si>
  <si>
    <t>The distribution of southern elephant seal Mirounga leonina prey encounter events (PEEs) was investigated from the foraging behaviour of 29 post-breeding females simultaneously equipped with a satellite tag, a time-depth recorder and a head-mounted accelerometer. Seal diving depth and PEE were related to water temperature at 200 m (T-200), and light level at the surface (L-0) and at depth. Approximately half (49%) of all dives were located in waters encompassed between the southern Antarctic Circumpolar Current Front and the Polar Front. Seals dived significantly deeper during the day than at night. Diving and PEE depth increased with increasing T-200 and for a given T-200 according to L-0 and the percentage of surface light reaching 150 m. On average, 540 PEEs per day were recorded. Seals exhibited more PEEs per unit of time spent diving during the twilight period compared with at night, and were least successful during daylight hours. Elephant seals forage in T200 ranging between -1 and 13 degrees C; however, few PEEs were recorded at depths shallower than 400-500 m at night when the T-200 exceeded 8 degrees C. The diet of female Kerguelen elephant seals appears to be dominated by myctophids (lanternfish), and according to the average mass of their most likely myctophid prey (9 g, Electrona calsbergi and E. antarctica; 30 g Gymnoscopelus nicholsi and G. piabilis), we estimate that seals consumed 4.8-16.1 kg of fish daily. Despite lower catch rates in warmer waters, no relationship was found between the mean T-200 at the scale of the foraging trip and daily or absolute mass gain, suggesting that elephant seals are compensating for lower catch rates by consuming larger/richer prey items in those waters.</t>
  </si>
  <si>
    <t>[Guinet, Christophe; Vacquie-Garcia, Jade; Picard, Baptiste; Bessigneul, Guillaume; Lebras, Yves; Dragon, Anne Cecile; Viviant, Morgane; Bailleul, Frederic] CNRS, Ctr Etude Biol Chize, F-79360 Villiers En Bois, France; [Dragon, Anne Cecile] LOCEAN UPMC, F-75252 Paris 05, France; [Arnould, John P. Y.] Deakin Univ, Fac Sci &amp; Technol, Sch Life &amp; Environm Sci, Burwood, Vic 3125, Australia</t>
  </si>
  <si>
    <t>Centre National de la Recherche Scientifique (CNRS); Sorbonne Universite; Deakin University</t>
  </si>
  <si>
    <t>Guinet, C (corresponding author), CNRS, Ctr Etude Biol Chize, F-79360 Villiers En Bois, France.</t>
  </si>
  <si>
    <t>guinet@cebc.cnrs.fr</t>
  </si>
  <si>
    <t>Guinet, Christophe/AAR-8457-2020</t>
  </si>
  <si>
    <t>VACQUIE GARCIA, Jade/0000-0002-3126-3423; Baptiste, Picard/0000-0001-9565-9446</t>
  </si>
  <si>
    <t>national research program [109]; French Polar Institute (Institut Paul Emile Victor, IPEV)</t>
  </si>
  <si>
    <t>national research program; French Polar Institute (Institut Paul Emile Victor, IPEV)</t>
  </si>
  <si>
    <t>This study is part of a national research program (no. 109, H. Weimerskirch and the observatory Mammiferes Explorateurs du Milieu Oceanique, MEMO SOERE CTD 02) supported by the French Polar Institute (Institut Paul Emile Victor, IPEV). This work was carried out in the framework of the ANR Blanc MYCTO-3D-MAP and ANR VMC 07: IPSOS-SEAL programs and CNES-TOSCA program ('Ulephants de mer oceanographes'). The authors also thank the Total Foundation for financial support. All animals in this study were treated in accordance with the IPEV ethical and Polar Environment Committees guidelines. We thank all the people who contributed to the field work and data processing, with special thought to M. Authier, A. Chaigne, Q. Delorme, N. El Skaby, J. C. Vaillant and F. Vivier. We are extremely grateful to the 3 anonymous referees for their constructive suggestions and the detailed corrections provided.</t>
  </si>
  <si>
    <t>10.3354/meps10660</t>
  </si>
  <si>
    <t>WOS:000332225000021</t>
  </si>
  <si>
    <t>Connan, M; McQuaid, CD; Bonnevie, BT; Smale, MJ; Cherel, Y</t>
  </si>
  <si>
    <t>Connan, Maelle; McQuaid, Christopher D.; Bonnevie, Bo T.; Smale, Malcolm J.; Cherel, Yves</t>
  </si>
  <si>
    <t>Combined stomach content, lipid and stable isotope analyses reveal spatial and trophic partitioning among three sympatric albatrosses from the Southern Ocean</t>
  </si>
  <si>
    <t>Phoebetria palpebrata; Phoebetria fusca; Thalassarche chrysostoma; Trophic segregation; Spatial segregation; Moulting period; Breeding season</t>
  </si>
  <si>
    <t>GREY-HEADED ALBATROSSES; SQUID MOROTEUTHIS-INGENS; FATTY-ACID-COMPOSITION; MYCTOPHID FISHES; THALASSARCHE-CHRYSOSTOMA; CHAMPSOCEPHALUS-GUNNARI; DIOMEDEA-CHRYSOSTOMA; DIETARY SEGREGATION; HABITAT PREFERENCES; MACKEREL ICEFISH</t>
  </si>
  <si>
    <t>A combination of dietary techniques that integrate data on food and feeding habits over days, weeks and months was used to investigate resource partitioning among 3 sympatric albatrosses, namely the grey-headed Thalassarche chrysostoma (GHA), light-mantled sooty Phoebetria palpebrata (LMSA) and sooty Phoebetria fusca (SA) albatrosses. These medium-size albatrosses typically breed every 2 yr, and Marion Island (southern Indian Ocean) is the only breeding site where the 3 species are accessible. Stomach content analysis provided dietary information about the most recent meal, analysis of fatty acids in stomach oils about the last foraging trip, and carbon and nitrogen stable isotope values of blood and feathers about the chick-rearing (breeding) and moulting periods, respectively. The combination of techniques highlighted a complex pattern regarding the spatial and trophic segregation between the 3 species. During both seasons, SA were spatially segregated from LMSA and GHA, foraging farther north (in subantarctic and subtropical areas) than the 2 other species (subantarctic and Antarctic waters). When feeding for themselves during the breeding season (blood isotopic signatures), adults showed a clear spatial segregation. When bringing back food for their chicks (stomach contents), trophic segregation became obvious, with the 2 Phoebetria species specializing mostly on squids. The results illustrate how sympatrically breeding birds can show niche partitioning through both spatial segregation and prey specialization.</t>
  </si>
  <si>
    <t>[Connan, Maelle; McQuaid, Christopher D.] Rhodes Univ, Dept Zool &amp; Entomol, ZA-6140 Grahamstown, South Africa; [Connan, Maelle] Univ Cape Town, DST NRF Ctr Excellence, Percy FitzPatrick Inst Africa Ornithol, ZA-7701 Rondebosch, South Africa; [Bonnevie, Bo T.] Rhodes Univ, Div Informat Technol, ZA-6140 Grahamstown, South Africa; [Smale, Malcolm J.] Port Elizabeth Museum Bayworld, ZA-6013 Humewood, South Africa; [Smale, Malcolm J.] Nelson Mandela Metropolitan Univ, Dept Zool, ZA-6031 Port Elizabeth, South Africa; [Cherel, Yves] CNRS, Ctr Etud Biol Chize, F-79360 Villiers En Bois, Beauvoir Sur Ni, France</t>
  </si>
  <si>
    <t>Rhodes University; National Research Foundation - South Africa; University of Cape Town; Rhodes University; Nelson Mandela University; Centre National de la Recherche Scientifique (CNRS)</t>
  </si>
  <si>
    <t>Connan, M (corresponding author), Nelson Mandela Metropolitan Univ, Dept Zool, POB 77000, ZA-6031 Port Elizabeth, South Africa.</t>
  </si>
  <si>
    <t>maelle.connan@gmail.com</t>
  </si>
  <si>
    <t>Connan, Maelle/A-8468-2008; McQuaid, Christopher/AAT-3725-2020</t>
  </si>
  <si>
    <t>McQuaid, Christopher/0000-0002-3473-8308; Smale, Malcolm/0000-0002-1135-8687; Connan, Maelle/0000-0002-1308-9118</t>
  </si>
  <si>
    <t>National Research Foundation; Rhodes University; Department of Environmental Affairs and Tourism through the South African National Antarctic Program; University of Cape Town's Marine Research Institute; South African Research Chairs Initiative of the Department of Science and Technology</t>
  </si>
  <si>
    <t>The authors thank P. G. Ryan, M. Davies-Coleman, E. L. Allan, A. L. Jackson, M. G. W. Jones, N. T. W. Klages, J. Kolasinski, P. Pistorius, N. Richoux, S. Sunassee, C. Tambling, B. Dyer and L. Clokie for their valuable advice at different stages of this study. The manuscript benefited from the constructive comments of 4 anonymous reviewers and the Editor. We acknowledge the Fatty Acid Facility at Rhodes University funded through the National Research Foundation and Rhodes University. Isotope samples were analyzed by I. Newton at the Stable Light Isotope Laboratory of the University of Cape Town under the supervision of J. Lanham. Funding and logistical support was provided by the Department of Environmental Affairs and Tourism through the South African National Antarctic Program and administered by the National Research Foundation. M. C. acknowledges funding from the University of Cape Town's Marine Research Institute. This work is based on research supported by the South African Research Chairs Initiative of the Department of Science and Technology and the National Research Foundation. This work was undertaken under an ethics permit granted by Rhodes University.</t>
  </si>
  <si>
    <t>10.3354/meps10606</t>
  </si>
  <si>
    <t>304CM</t>
  </si>
  <si>
    <t>WOS:000330723600019</t>
  </si>
  <si>
    <t>Crossin, GT; Cooke, SJ; Goldbogen, JA; Phillips, RA</t>
  </si>
  <si>
    <t>Crossin, Glenn T.; Cooke, Steven J.; Goldbogen, Jeremy A.; Phillips, Richard A.</t>
  </si>
  <si>
    <t>Tracking fitness in marine vertebrates: current knowledge and opportunities for future research</t>
  </si>
  <si>
    <t>Electronic tracking; Telemetry; Biologging; Electronic sensors; Behaviour; Life history; Reproduction; Survival; Mortality; Migration; Non-breeding</t>
  </si>
  <si>
    <t>ATLANTIC BLUEFIN TUNA; PERSISTENT ORGANIC POLLUTANTS; TROUT ONCORHYNCHUS-MYKISS; SOCKEYE-SALMON; SITE FIDELITY; REPRODUCTIVE SUCCESS; SATELLITE TRACKING; FORAGING BEHAVIOR; SEA-TROUT; MIGRATION STRATEGIES</t>
  </si>
  <si>
    <t>For more than 60 yr, electronic tags (including acoustic transmitters, archival loggers, and satellite tags) have been applied to free-ranging marine vertebrates to track their behaviour and characterize their spatial ecology. However, only recently have researchers begun using electronic tags to elucidate the processes that relate directly to fitness, i.e. the ability of organisms to survive and reproduce. We briefly review the history of tracking studies focused on marine vertebrates and then provide a general overview of studies that have used tracking to address fitness-related questions. Although many studies have used at-sea movement and activity data to better understand feeding ecology, physiology, and energetics, there is growing interest in the coupling of electronic tracking techniques with other disciplines to resolve the mechanisms underlying individual fitness, or more precisely the proxies thereof (survival, timing of reproduction, foraging success, etc.). We categorized studies into 4 general fitness-related areas: (1) foraging dynamics, energetics, and growth; (2) migration and other non-breeding season activities; (3) survival; and (4) reproduction. Despite recent advances in tracking technologies, which include multi-sensor loggers, tri-axial accelerometers, and miniaturized geopositioning systems, etc., very few studies on wild marine vertebrates truly measure individual fitness or proxies thereof. There is thus a need to design experimental, multi-disciplinary, and longitudinal studies that use genetics, individual-based modeling, and other techniques in an effort to resolve the mechanisms responsible for individual variation in fitness in marine vertebrates.</t>
  </si>
  <si>
    <t>[Crossin, Glenn T.] Dalhousie Univ, Dept Biol, Halifax, NS B3H 4R2, Canada; [Cooke, Steven J.] Carleton Univ, Dept Biol, Fish Ecol &amp; Conservat Physiol Lab, Ottawa, ON K1S 5B6, Canada; [Cooke, Steven J.] Carleton Univ, Inst Environm Sci, Ottawa, ON K1S 5B6, Canada; [Goldbogen, Jeremy A.] Stanford Univ, Hopkins Marine Stn, Dept Biol, Pacific Grove, CA 93950 USA; [Phillips, Richard A.] British Antarctic Survey, NERC, Cambridge CB3 0ET, England</t>
  </si>
  <si>
    <t>Dalhousie University; Carleton University; Carleton University; Stanford University; UK Research &amp; Innovation (UKRI); Natural Environment Research Council (NERC); NERC British Antarctic Survey</t>
  </si>
  <si>
    <t>Crossin, GT (corresponding author), Dalhousie Univ, Dept Biol, Halifax, NS B3H 4R2, Canada.</t>
  </si>
  <si>
    <t>gtc@dal.ca</t>
  </si>
  <si>
    <t>Goldbogen, Jeremy A./H-4287-2019; Cooke, Steven J/F-4193-2010</t>
  </si>
  <si>
    <t>Goldbogen, Jeremy A./0000-0002-4170-7294; Cooke, Steven J/0000-0002-5407-0659; Crossin, Glenn/0000-0003-1080-1189</t>
  </si>
  <si>
    <t>Ocean Tracking Network of Canada; Canada Research Chairs Program; National Sciences and Engineering Research Council of Canada; Bonefish and Tarpon Trust; NERC [bas0100025] Funding Source: UKRI; Natural Environment Research Council [bas0100025] Funding Source: researchfish</t>
  </si>
  <si>
    <t>Ocean Tracking Network of Canada; Canada Research Chairs Program(Canada Research Chairs); National Sciences and Engineering Research Council of Canada(Natural Sciences and Engineering Research Council of Canada (NSERC)); Bonefish and Tarpon Trust; NERC(UK Research &amp; Innovation (UKRI)Natural Environment Research Council (NERC)); Natural Environment Research Council(UK Research &amp; Innovation (UKRI)Natural Environment Research Council (NERC))</t>
  </si>
  <si>
    <t>We thank the authors who contributed to the Theme Section on 'Tracking fitness in marine vertebrates'. We also thank the talented editorial and production staff at Inter-Research for facilitating this synthesis. G.T.C. and S.J.C. are supported by the Ocean Tracking Network of Canada. S.J.C. is also supported by the Canada Research Chairs Program, National Sciences and Engineering Research Council of Canada, and the Bonefish and Tarpon Trust.</t>
  </si>
  <si>
    <t>10.3354/meps10691</t>
  </si>
  <si>
    <t>298WZ</t>
  </si>
  <si>
    <t>WOS:000330356500001</t>
  </si>
  <si>
    <t>New, LF; Clark, JS; Costa, DP; Fleishman, E; Hindell, MA; Klanjscek, T; Lusseau, D; Kraus, S; McMahon, CR; Robinson, PW; Schick, RS; Schwarz, LK; Simmons, SE; Thomas, L; Tyack, P; Harwood, J</t>
  </si>
  <si>
    <t>New, L. F.; Clark, J. S.; Costa, D. P.; Fleishman, E.; Hindell, M. A.; Klanjscek, T.; Lusseau, D.; Kraus, S.; McMahon, C. R.; Robinson, P. W.; Schick, R. S.; Schwarz, L. K.; Simmons, S. E.; Thomas, L.; Tyack, P.; Harwood, J.</t>
  </si>
  <si>
    <t>Using short-term measures of behaviour to estimate long-term fitness of southern elephant seals</t>
  </si>
  <si>
    <t>Kalman filter; Mirounga leonina; Population consequences of disturbance; State-space model; Telemetry data</t>
  </si>
  <si>
    <t>MIROUNGA-LEONINA; WEANING MASS; EL-NINO; CONSEQUENCES; POPULATION; STRATEGIES; MANAGEMENT; TRACKING</t>
  </si>
  <si>
    <t>Environmental changes (a type of disturbance) are altering the habitat of southern elephant seals Mirounga leonina, an apex marine predator in the Southern Ocean. As a result, individuals may shift their behaviour, spending more time in transit and less time foraging. The effects of these sublethal changes in behaviour can accumulate, indirectly impacting lifetime fitness through changes in individual survival and reproduction. If a sufficient proportion of the population is affected, the probability of population persistence will be altered. We used data from long-term telemetry studies of female elephant seals at Macquarie Island, Australia, to model the effect of behaviour on the seals' health (i.e. all internal factors that affect homeostasis). Through simulation, we investigated the effect of increasing periods of behavioural shifts, quantifying how the exclusion of maternal southern elephant seals from foraging habitat may affect their health, offspring survival, individual fitness and population growth rate. A long period of altered behaviour (&gt;50% of an average foraging trip at sea) in 1 yr resulted in a small (0.4%) decline in population size the following year. However, a persistent disruption (e.g. 30 yr), caused for example by the long-term effects of climate change, could result in a 0.3% decline in individual fitness and a 10% decline in population size. Our approach to estimating the long-term population effects of short-term changes in individual behaviour can be generalised to include physiological effects and other causes of behavioural and physiological disruption, such as anthropogenic disturbance, for any species.</t>
  </si>
  <si>
    <t>[New, L. F.; Simmons, S. E.] Marine Mammal Commiss, Bethesda, MD 20814 USA; [New, L. F.; Thomas, L.; Tyack, P.; Harwood, J.] Univ St Andrews, Scottish Oceans Inst, St Andrews KY16 8LB, Fife, Scotland; [New, L. F.; Schick, R. S.; Thomas, L.; Harwood, J.] Univ St Andrews, Ctr Res Ecol &amp; Environm Modelling, St Andrews KY16 9LZ, Fife, Scotland; [Clark, J. S.; Schick, R. S.] Duke Univ, Nicholas Sch Environm, Durham, NC 27708 USA; [Costa, D. P.; Robinson, P. W.; Schwarz, L. K.] Univ Calif Santa Cruz, Dept Ecol &amp; Evolutionary Biol, Santa Cruz, CA 95060 USA; [Fleishman, E.] Univ Calif Davis, John Muir Inst Environm, Davis, CA 95616 USA; [Hindell, M. A.; McMahon, C. R.] Univ Tasmania, Inst Marine &amp; Antarctic Studies, Hobart, Tas 7001, Australia; [Klanjscek, T.] Rudjer Boskovic Inst, Zagreb 10000, Croatia; [Lusseau, D.] Univ Aberdeen, Inst Biol &amp; Environm Sci, Aberdeen AB24 2TZ, Scotland; [Lusseau, D.] Univ Aberdeen, Marine Alliance Sci &amp; Technol Scotland, Aberdeen AB24 2TZ, Scotland; [Kraus, S.] New England Aquarium, Boston, MA 02110 USA; [McMahon, C. R.] Charles Darwin Univ, Res Inst Environm &amp; Livelihoods, Darwin, NT 0909, Australia</t>
  </si>
  <si>
    <t>University of St Andrews; University of St Andrews; Duke University; University of California System; University of California Santa Cruz; University of California System; University of California Davis; University of Tasmania; Rudjer Boskovic Institute; University of Aberdeen; University of Aberdeen; Charles Darwin University</t>
  </si>
  <si>
    <t>New, LF (corresponding author), Marine Mammal Commiss, Bethesda, MD 20814 USA.</t>
  </si>
  <si>
    <t>lnew@usgs.gov</t>
  </si>
  <si>
    <t>New, Leslie/C-8796-2018; Lusseau, David/A-8501-2012; Clark, James/JPK-8317-2023; Tyack, Peter/AAC-4513-2019; Hindell, Mark A/K-1131-2013; Lusseau, David/AAV-9295-2021; McMahon, Clive R/D-5713-2013; Thomas, Len/JQI-5425-2023; Costa, Daniel Paul/E-2616-2013</t>
  </si>
  <si>
    <t>Tyack, Peter/0000-0002-8409-4790; Lusseau, David/0000-0003-1245-3747; McMahon, Clive R/0000-0001-5241-8917; Kraus, Scott/0000-0003-4367-6548; Costa, Daniel Paul/0000-0002-0233-5782; Simmons, Samantha/0000-0003-0326-6990; Klanjscek, Tin/0000-0002-9341-344X; Hindell, Mark/0000-0002-7823-7185; Thomas, Len/0000-0002-7436-067X</t>
  </si>
  <si>
    <t>Defence Science and Technology Laboratory; Office of Naval Research [N00014-10-10516]; Office of Naval Research to the University of California, Santa Barbara [N0014-09-0896]; Office of Naval Research to the University of California, Davis [N00014-12-1-0274-0]; International Association of Oil and Gas Producers, MZOS [098-0982934-2719]; Scottish Funding Council [HR09011]; Natural Environment Research Council [smru10001] Funding Source: researchfish</t>
  </si>
  <si>
    <t>Defence Science and Technology Laboratory; Office of Naval Research(Office of Naval Research); Office of Naval Research to the University of California, Santa Barbara; Office of Naval Research to the University of California, Davis; International Association of Oil and Gas Producers, MZOS; Scottish Funding Council; Natural Environment Research Council(UK Research &amp; Innovation (UKRI)Natural Environment Research Council (NERC))</t>
  </si>
  <si>
    <t>The ideas presented here were developed within the working group on population consequences of acoustic disturbance. We thank all the individuals who took part in group meetings and discussions. This work was supported in part by a Defence Science and Technology Laboratory grant to J.H., Office of Naval Research award N00014-10-10516 to J.S.C., award N0014-09-0896 from the Office of Naval Research to the University of California, Santa Barbara (E.F.), award N00014-12-1-0274-0 from the Office of Naval Research to the University of California, Davis (E.F.), the E &amp; P Sound and Marine Life Joint Industry Project of the International Association of Oil and Gas Producers, MZOS grant 098-0982934-2719, and The Marine Alliance for Science and Technology for Scotland pooling initiative (funded by the Scottish Funding Council, grant reference HR09011, and contributing institutions).</t>
  </si>
  <si>
    <t>U344</t>
  </si>
  <si>
    <t>10.3354/meps10547</t>
  </si>
  <si>
    <t>WOS:000330356500008</t>
  </si>
  <si>
    <t>Trathan, PN; Collins, MA; Grant, SM; Belchier, M; Barnes, DKA; Brown, J; Staniland, IJ</t>
  </si>
  <si>
    <t>Johnson, ML; Sandell, J</t>
  </si>
  <si>
    <t>Trathan, Philip N.; Collins, Martin A.; Grant, Susie M.; Belchier, Mark; Barnes, David K. A.; Brown, Judith; Staniland, Iain J.</t>
  </si>
  <si>
    <t>The South Georgia and the South Sandwich Islands MPA: Protecting A Biodiverse Oceanic Island Chain Situated in the Flow of the Antarctic Circumpolar Current</t>
  </si>
  <si>
    <t>MARINE MANAGED AREAS AND FISHERIES</t>
  </si>
  <si>
    <t>Advances in Marine Biology</t>
  </si>
  <si>
    <t>Review; Book Chapter</t>
  </si>
  <si>
    <t>Pelagic protection; Benthic protection; High biodiversity; Fisheries; Antarctic krill; South Georgia; MPA</t>
  </si>
  <si>
    <t>KRILL EUPHAUSIA-SUPERBA; TOOTHFISH DISSOSTICHUS-ELEGINOIDES; ICEFISH CHAMPSOCEPHALUS-GUNNARI; PENGUINS EUDYPTES-CHRYSOLOPHUS; JUVENILE PATAGONIAN TOOTHFISH; WHITE-CHINNED PETRELS; SCOTIA SEA; BIRD-ISLAND; INTERANNUAL VARIABILITY; MACARONI PENGUINS</t>
  </si>
  <si>
    <t>South Georgia and the South Sandwich Islands (SGSSI) are surrounded by oceans that are species-rich, have high levels of biodiversity, important endemism and which also support large aggregations of charismatic upper trophic level species. Spatial management around these islands is complex, particularly in the context of commercial fisheries that exploit some of these living resources. Furthermore, management is especially complicated as local productivity relies fundamentally upon biological production transported from outside the area. The MPA uses practical management boundaries, allowing access for the current legal fisheries for Patagonian toothfish, mackerel icefish and Antarctic krill. Management measures developed as part of the planning process designated the whole SGSSI Maritime Zone as an IUCN Category VI reserve, within which a number of IUCN Category I reserves were identified. Multiple-use zones and temporal closures were also designated. A key multiple-use principle was to identify whether the ecological impacts of a particular fishery threatened either the pelagic or benthic domain.</t>
  </si>
  <si>
    <t>[Trathan, Philip N.; Grant, Susie M.; Belchier, Mark; Barnes, David K. A.; Staniland, Iain J.] British Antarctic Survey, NERC, Cambridge, England; [Collins, Martin A.; Brown, Judith] Govt South Georgia &amp; South Sandwich Isl, Stanley, Falkland Island, Maldives</t>
  </si>
  <si>
    <t>Trathan, PN (corresponding author), British Antarctic Survey, NERC, Cambridge, England.</t>
  </si>
  <si>
    <t>pnt@bas.ac.uk</t>
  </si>
  <si>
    <t>, Martin/ABE-6728-2020; Collins, Martin A/J-8560-2017; Staniland, Iain/I-4725-2012</t>
  </si>
  <si>
    <t>, Martin/0000-0001-7132-8650; Staniland, Iain/0000-0003-2736-9134</t>
  </si>
  <si>
    <t>NERC [bas0100025] Funding Source: UKRI; Natural Environment Research Council [bas0100025] Funding Source: researchfish</t>
  </si>
  <si>
    <t>ELSEVIER ACADEMIC PRESS INC</t>
  </si>
  <si>
    <t>SAN DIEGO</t>
  </si>
  <si>
    <t>525 B STREET, SUITE 1900, SAN DIEGO, CA 92101-4495 USA</t>
  </si>
  <si>
    <t>0065-2881</t>
  </si>
  <si>
    <t>2162-5875</t>
  </si>
  <si>
    <t>978-0-12-800214-8</t>
  </si>
  <si>
    <t>ADV MAR BIOL</t>
  </si>
  <si>
    <t>Adv. Mar. Biol.</t>
  </si>
  <si>
    <t>10.1016/B978-0-12-800214-8.00002-5</t>
  </si>
  <si>
    <t>Book Citation Index – Science (BKCI-S); Science Citation Index Expanded (SCI-EXPANDED)</t>
  </si>
  <si>
    <t>BC1AC</t>
  </si>
  <si>
    <t>WOS:000349890300003</t>
  </si>
  <si>
    <t>Bottos, EM; Woo, AC; Zawar-Reza, P; Pointing, SB; Cary, SC</t>
  </si>
  <si>
    <t>Bottos, Eric M.; Woo, Anthony C.; Zawar-Reza, Peyman; Pointing, Stephen B.; Cary, Stephen C.</t>
  </si>
  <si>
    <t>Airborne Bacterial Populations Above Desert Soils of the McMurdo Dry Valleys, Antarctica</t>
  </si>
  <si>
    <t>MICROBIAL ECOLOGY</t>
  </si>
  <si>
    <t>NORTHERN VICTORIA LAND; MICROBIAL COMMUNITIES; GLOBAL ATMOSPHERE; ORGANIC-CARBON; DIVERSITY; ICE; MICROORGANISMS; BIODIVERSITY; SEQUENCES; AEROSOLS</t>
  </si>
  <si>
    <t>Bacteria are assumed to disperse widely via aerosolized transport due to their small size and resilience. The question of microbial endemicity in isolated populations is directly related to the level of airborne exogenous inputs, yet this has proven hard to identify. The ice-free terrestrial ecosystem of Antarctica, a geographically and climatically isolated continent, was used to interrogate microbial bio-aerosols in relation to the surrounding ecology and climate. High-throughput sequencing of bacterial ribosomal RNA (rRNA) genes was combined with analyses of climate patterns during an austral summer. In general terms, the aerosols were dominated by Firmicutes, whereas surrounding soils supported Actinobacteria-dominated communities. The most abundant taxa were also common to aerosols from other continents, suggesting that a distinct bio-aerosol community is widely dispersed. No evidence for significant marine input to bio-aerosols was found at this maritime valley site, instead local influence was largely from nearby volcanic sources. Back trajectory analysis revealed transport of incoming regional air masses across the Antarctic Plateau, and this is envisaged as a strong selective force. It is postulated that local soil microbial dispersal occurs largely via stochastic mobilization of mineral soil particulates.</t>
  </si>
  <si>
    <t>[Bottos, Eric M.; Zawar-Reza, Peyman; Pointing, Stephen B.; Cary, Stephen C.] Univ Waikato, Int Ctr Terr Antarctic Res, Hamilton, New Zealand; [Bottos, Eric M.; Cary, Stephen C.] Univ Waikato, Dept Biol Sci, Hamilton, New Zealand; [Woo, Anthony C.] Univ Paris 05, Fac Med, Sorbonne Paris Cite, F-75014 Paris, France; [Zawar-Reza, Peyman] Univ Canterbury, Dept Geog, Christchurch 1, New Zealand; [Pointing, Stephen B.] Auckland Univ Technol, Sch Appl Sci, Inst Appl Ecol New Zealand, Auckland 1142, New Zealand</t>
  </si>
  <si>
    <t>University of Waikato; University of Waikato; Universite Paris Cite; University of Canterbury; Auckland University of Technology</t>
  </si>
  <si>
    <t>Pointing, SB (corresponding author), Univ Waikato, Int Ctr Terr Antarctic Res, Private Bag 3105, Hamilton, New Zealand.</t>
  </si>
  <si>
    <t>steve.pointing@aut.ac.nz; caryc@waikato.ac.nz</t>
  </si>
  <si>
    <t>Pointing, Stephen/JHT-2500-2023</t>
  </si>
  <si>
    <t>Cary, Stephen/0000-0002-2876-2387; Woo, Anthony/0000-0002-7968-0824</t>
  </si>
  <si>
    <t>ONE NEW YORK PLAZA, SUITE 4600, NEW YORK, NY, UNITED STATES</t>
  </si>
  <si>
    <t>0095-3628</t>
  </si>
  <si>
    <t>1432-184X</t>
  </si>
  <si>
    <t>MICROB ECOL</t>
  </si>
  <si>
    <t>Microb. Ecol.</t>
  </si>
  <si>
    <t>10.1007/s00248-013-0296-y</t>
  </si>
  <si>
    <t>Ecology; Marine &amp; Freshwater Biology; Microbiology</t>
  </si>
  <si>
    <t>Environmental Sciences &amp; Ecology; Marine &amp; Freshwater Biology; Microbiology</t>
  </si>
  <si>
    <t>AA3HC</t>
  </si>
  <si>
    <t>hybrid, Green Published, Green Submitted</t>
  </si>
  <si>
    <t>WOS:000330982500011</t>
  </si>
  <si>
    <t>Orlandini, V; Maida, I; Fondi, M; Perrin, E; Papaleo, MC; Bosi, E; de Pascale, D; Tutino, ML; Michaud, L; Lo Giudice, A; Fani, R</t>
  </si>
  <si>
    <t>Orlandini, Valerio; Maida, Isabel; Fondi, Marco; Perrin, Elena; Papaleo, Maria Cristiana; Bosi, Emanuele; de Pascale, Donatella; Tutino, Maria Luisa; Michaud, Luigi; Lo Giudice, Angelina; Fani, Renato</t>
  </si>
  <si>
    <t>Genomic analysis of three sponge-associated Arthrobacter Antarctic strains, inhibiting the growth of Burkholderia cepacia complex bacteria by synthesizing volatile organic compounds</t>
  </si>
  <si>
    <t>MICROBIOLOGICAL RESEARCH</t>
  </si>
  <si>
    <t>Arthrobacter; Pangenome; Burkholderia; VOCs; Cystic fibrosis</t>
  </si>
  <si>
    <t>MARINE-BACTERIA; SEQUENCE; CENOCEPACIA; DATABASE</t>
  </si>
  <si>
    <t>In this work we analyzed the ability of three Arthrobacter strains (namely TB23, TB26 and CAL618), which were isolated from the Antarctic sponges Haliclonissa verrucosa and Lyssodendrix nobilis, to specifically inhibit the growth of a panel of 40 Burkholderia cepacia complex strains, representing a major cause of infections in patients that are affected by Cynic Fibrosis. The inhibitory activity was due to the synthesis of antimicrobial compounds, very likely volatile organic compounds (VOCs), and was partially dependent on the growth media that were used for Antarctic strains growth. The phylogenetic analysis revealed that two of them (i.e. CAL 618 and TB23) were very close and very likely belonged to the same Arthrobacter species, whereas the strain TB26 was placed in a distant branch. The genome of the strains TB26 and CAL618 was also sequenced and compared with that of the strain TB23. The analysis revealed that TB23 and CAL618 shared more genomic properties (GC content, genome size, number of genes) than with TB26. Since the three strains exhibited very similar inhibition pattern vs Bcc strains, it is quite possible that genes involved in the biosynthesis of antimicrobial compounds very likely belong to the core genome. (C) 2013 Elsevier GmbH. All rights reserved.</t>
  </si>
  <si>
    <t>[Orlandini, Valerio; Maida, Isabel; Fondi, Marco; Perrin, Elena; Papaleo, Maria Cristiana; Bosi, Emanuele; Fani, Renato] Univ Florence, Dept Biol, Lab Microbial &amp; Mol Evolut, I-50019 Florence, Italy; [Orlandini, Valerio; de Pascale, Donatella] CNR, Inst Prot Biochem, I-80134 Naples, Italy; [Tutino, Maria Luisa] Univ Naples Federico II, Dept Chem Sci, Naples, Italy; [Tutino, Maria Luisa] Univ Naples Federico II, Sch Biotechnol Sci, I-80126 Naples, Italy; [Michaud, Luigi; Lo Giudice, Angelina] Univ Messina, Dept Biol &amp; Environm Sci DiSBA CIBAN, I-98166 Messina, Italy</t>
  </si>
  <si>
    <t>University of Florence; Consiglio Nazionale delle Ricerche (CNR); Istituto di Biochimica delle Proteine (IBP-CNR); University of Naples Federico II; University of Naples Federico II; University of Messina</t>
  </si>
  <si>
    <t>Fani, R (corresponding author), Univ Florence, Dept Biol, Lab Microbial &amp; Mol Evolut, Via Madonna Piano 6, I-50019 Florence, Italy.</t>
  </si>
  <si>
    <t>Perrin, Elena/AAX-2762-2020; TUTINO, MARIA LUISA/L-1834-2013</t>
  </si>
  <si>
    <t>Perrin, Elena/0000-0001-5148-3178; Orlandini, Valerio/0000-0002-6857-5471</t>
  </si>
  <si>
    <t>Italian Cystic Fibrosis Research Foundation [12/2011]; Ente Cassa di Risparmio di Firenze; Italian Cystic Fibrosis Research Foundation Fellowship and a FEMS Advanced Fellowship [FAF2012]; EU KBBE Project PharmaSea [312184]</t>
  </si>
  <si>
    <t>Italian Cystic Fibrosis Research Foundation(Ministry of Health, ItalyItalian Cystic Fibrosis Research Foundation); Ente Cassa di Risparmio di Firenze(Fondazione Cassa Risparmio Firenze); Italian Cystic Fibrosis Research Foundation Fellowship and a FEMS Advanced Fellowship; EU KBBE Project PharmaSea</t>
  </si>
  <si>
    <t>This work was supported by grants from the Italian Cystic Fibrosis Research Foundation (Grant FFC#12/2011), the Ente Cassa di Risparmio di Firenze (Grant 1103#2008), and the MNA (Museo Nazionale dell'Antartide). Valerio Orlandini and Marco Fondi are financially supported by an Italian Cystic Fibrosis Research Foundation Fellowship and a FEMS Advanced Fellowship (FAF2012), respectively. We also thank the EU KBBE Project PharmaSea 2012-2016, Grant Agreement No. 312184. Lastly, we are very grateful to anonymous referees for their suggestions in improving the manuscript.</t>
  </si>
  <si>
    <t>ELSEVIER GMBH</t>
  </si>
  <si>
    <t>MUNICH</t>
  </si>
  <si>
    <t>HACKERBRUCKE 6, 80335 MUNICH, GERMANY</t>
  </si>
  <si>
    <t>0944-5013</t>
  </si>
  <si>
    <t>1618-0623</t>
  </si>
  <si>
    <t>MICROBIOL RES</t>
  </si>
  <si>
    <t>Microbiol. Res.</t>
  </si>
  <si>
    <t>7-8</t>
  </si>
  <si>
    <t>10.1016/j.micres.2013.09.018</t>
  </si>
  <si>
    <t>AI3QM</t>
  </si>
  <si>
    <t>WOS:000336777000015</t>
  </si>
  <si>
    <t>Kochkina, GA; Ozerskaya, SM; Ivanushkina, NE; Chigineva, NI; Vasilenko, OV; Spirina, EV; Gilichinskii, DA</t>
  </si>
  <si>
    <t>Kochkina, G. A.; Ozerskaya, S. M.; Ivanushkina, N. E.; Chigineva, N. I.; Vasilenko, O. V.; Spirina, E. V.; Gilichinskii, D. A.</t>
  </si>
  <si>
    <t>Fungal diversity in the Antarctic active layer</t>
  </si>
  <si>
    <t>MICROBIOLOGY</t>
  </si>
  <si>
    <t>mycelial fungi; Antarctica; active layer; biodiversity; ITS2; metagenomic analysis</t>
  </si>
  <si>
    <t>ANTARCTOMYCES-PSYCHROTROPHICUS; BIODIVERSITY; PERMAFROST; ECOLOGY; SOILS; NOV.</t>
  </si>
  <si>
    <t>Taxonomic diversity of fungi in the samples of the active layer of Antarctica was investigated using conventional microbiological techniques and metagenomic analysis of total DNA extracted from environmental samples. The list of Antarctic microscopic fungi was expanded, including detection of the species representing a portion of the fungal complex which is nonculturable or sterile on conventional nutrient media.</t>
  </si>
  <si>
    <t>[Kochkina, G. A.; Ozerskaya, S. M.; Ivanushkina, N. E.; Chigineva, N. I.; Vasilenko, O. V.] Russian Acad Sci, Skryabin Inst Biochem &amp; Physiol Microorganisms, Pushchino 142290, Moscow Oblast, Russia; [Spirina, E. V.; Gilichinskii, D. A.] Russian Acad Sci, Inst Physicochem &amp; Biol Problems Soil Sci, Pushchino 142290, Moscow Oblast, Russia</t>
  </si>
  <si>
    <t>Russian Academy of Sciences; Pushchino Scientific Center for Biological Research (PSCBI) of the Russian Academy of Sciences; Russian Academy of Sciences; Pushchino Scientific Center for Biological Research (PSCBI) of the Russian Academy of Sciences; Institute of Physicohemical &amp; Biological Problems of Soil Science</t>
  </si>
  <si>
    <t>Kochkina, GA (corresponding author), Russian Acad Sci, Skryabin Inst Biochem &amp; Physiol Microorganisms, Pr Nauki 5, Pushchino 142290, Moscow Oblast, Russia.</t>
  </si>
  <si>
    <t>gak@dol.ru</t>
  </si>
  <si>
    <t>Vasilenko, Oleg V/T-3983-2018; Ozerskaya, Svetlana/J-3821-2018; KOCHKINA, GALINA/AAR-7765-2020; Nataliya, Ivanushkina/AAR-7639-2020; Spirina, Elena/H-2654-2013</t>
  </si>
  <si>
    <t>Ozerskaya, Svetlana/0000-0002-0373-7521; KOCHKINA, GALINA/0000-0002-5893-7782; Nataliya, Ivanushkina/0000-0001-6720-6626; Spirina, Elena/0000-0002-9614-373X</t>
  </si>
  <si>
    <t>Russian Foundation for Basic Research [13-04-02082]; Ministry of Education and Science [14.518.11.7069]</t>
  </si>
  <si>
    <t>Russian Foundation for Basic Research(Russian Foundation for Basic Research (RFBR)Spanish Government); Ministry of Education and Science(Ministry of Education, Culture, Sports, Science and Technology, Japan (MEXT))</t>
  </si>
  <si>
    <t>This work was supported by the Russian Foundation for Basic Research, project no. 13-04-02082, and the Ministry of Education and Science, project no. 14.518.11.7069 (the Federal Purpose-Oriented Program The Studies and Developments of the Priority Directions of Development of the Scientific and Technological Complex of Russia for 2007-2013).</t>
  </si>
  <si>
    <t>0026-2617</t>
  </si>
  <si>
    <t>1608-3237</t>
  </si>
  <si>
    <t>MICROBIOLOGY+</t>
  </si>
  <si>
    <t>10.1134/S002626171402012X</t>
  </si>
  <si>
    <t>AG8OR</t>
  </si>
  <si>
    <t>WOS:000335678500011</t>
  </si>
  <si>
    <t>Chapori, NG; Laprida, C; Watanabe, S; Totah, V; Violante, RA</t>
  </si>
  <si>
    <t>Garcia Chapori, Natalia; Laprida, Cecilia; Watanabe, Silvia; Totah, Violeta; Violante, Roberto A.</t>
  </si>
  <si>
    <t>Mid-Late Pleistocene benthic foraminifera from Southwestern South Atlantic: driven by primary productivity or watermass properties?</t>
  </si>
  <si>
    <t>MICROPALEONTOLOGY</t>
  </si>
  <si>
    <t>Benthic Foraminifera; Mid-Late Pleistocene; South Atlantic Ocean; Paleoceanography; Primary productivity</t>
  </si>
  <si>
    <t>SEA-SURFACE TEMPERATURE; QUANTITATIVE ESTIMATION; PLANKTIC FORAMINIFERA; ATMOSPHERIC CO2; OCEAN; CIRCULATION; SHELF; SEASONALITY; FRONTS; MARGIN</t>
  </si>
  <si>
    <t>In the Atlantic sector of the Southern Ocean up to 35 degrees S, Neogene benthic foraminiferal faunal changes have been interpreted, alternatively, as changes in deepwater-masses distribution and organic matter availability. In surface, the Southwestern South Atlantic presents a highly dynamic frontal zone and exhibits large spatial and temporal variability in primary productivity that influences the export of organic carbon from the euphotic zone. However, below similar to 1000 meters depth, it is characterized by the interaction of several water masses. For this reason, the western sector of the South Atlantic is a natural laboratory to test the benthic foraminifera's response to changes in both, the deep water-masses distribution and the exported productivity. In order to define which was the main factor controlling the benthic foraminiferal assemblages structure during a glacial Mid-Late Pleistocene event, abundance analysis of organic matter content, oxygen availability and water masses marker species, and Q-mode factor analysis were carried out on core SP1251 (3400m; similar to 38 degrees S - 54 degrees W). Our results indicate that the benthic foraminiferal assemblages are mainly composed of high organic matter and oxygen availability-associated species revealing that productivity has been the main factor in determining the structure of the assemblages' composition. These results also reflect that surface productivity regime would have not been uniform as a result of variations in the shelfbreak upwelling of Patagonia as a consequence of variations in the Antarctic upwelling.</t>
  </si>
  <si>
    <t>[Garcia Chapori, Natalia; Laprida, Cecilia] Univ Buenos Aires, Fac Ciencias Exactas &amp; Nat, Dept Ciencias Geol, Inst Estudios Andinos Don Pablo Groeber,CONICET, Buenos Aires, DF, Argentina; [Watanabe, Silvia; Totah, Violeta] Consejo Nacl Invest Cient &amp; Tecn, Museo Argentino Ciencias Nat Bernardino Rivadavia, RA-1033 Buenos Aires, DF, Argentina; [Violante, Roberto A.] Serv Hidrog Naval, Dept Oceanog, Div Geol Marina, Buenos Aires, DF, Argentina</t>
  </si>
  <si>
    <t>University of Buenos Aires; Consejo Nacional de Investigaciones Cientificas y Tecnicas (CONICET); Consejo Nacional de Investigaciones Cientificas y Tecnicas (CONICET); Museo Argentino de Ciencias Naturales Bernardino Rivadavia (MACN); Servicio de Hidrografia Naval</t>
  </si>
  <si>
    <t>Chapori, NG (corresponding author), Univ Buenos Aires, Fac Ciencias Exactas &amp; Nat, Dept Ciencias Geol, Inst Estudios Andinos Don Pablo Groeber,CONICET, Intendente Guiraldes 2160,Ciudad Univ,C1428EGA, Buenos Aires, DF, Argentina.</t>
  </si>
  <si>
    <t>nataliag@gl.fcen.uba.ar</t>
  </si>
  <si>
    <t>Garcia Chapori, Natalia/0000-0003-1022-2080</t>
  </si>
  <si>
    <t>Agencia Nacional de Promocion Cientifica y Tecnica [PICT 2010-0953]; CONICET [PIP 2142001100100014]</t>
  </si>
  <si>
    <t>Agencia Nacional de Promocion Cientifica y Tecnica(ANPCyT); CONICET(Consejo Nacional de Investigaciones Cientificas y Tecnicas (CONICET))</t>
  </si>
  <si>
    <t>This research was supported by the Agencia Nacional de Promocion Cientifica y Tecnica (PICT 2010-0953) and CONICET (PIP 2142001100100014). This is the IDEAN contribution number R-111. We acknowledge to the two anonymous Reviewers for their constructive comments that enriched the paper considerably.</t>
  </si>
  <si>
    <t>MICRO PRESS</t>
  </si>
  <si>
    <t>FLUSHING</t>
  </si>
  <si>
    <t>6530 KISSENA BLVD, FLUSHING, NY 11367 USA</t>
  </si>
  <si>
    <t>0026-2803</t>
  </si>
  <si>
    <t>1937-2795</t>
  </si>
  <si>
    <t>Micropaleontology</t>
  </si>
  <si>
    <t>AX8QQ</t>
  </si>
  <si>
    <t>WOS:000347174100003</t>
  </si>
  <si>
    <t>Mitchell, KJ; Wood, JR; Scofield, RP; Llamas, B; Cooper, A</t>
  </si>
  <si>
    <t>Mitchell, Kieren J.; Wood, Jamie R.; Scofield, R. Paul; Llamas, Bastien; Cooper, Alan</t>
  </si>
  <si>
    <t>Ancient mitochondrial genome reveals unsuspected taxonomic affinity of the extinct Chatham duck (Pachyanas chathamica) and resolves divergence times for New Zealand and sub-Antarctic brown teals</t>
  </si>
  <si>
    <t>MOLECULAR PHYLOGENETICS AND EVOLUTION</t>
  </si>
  <si>
    <t>Anas; Ancient DNA; Chatham Islands; Ducks; Extinct; Fossil</t>
  </si>
  <si>
    <t>HOLOCENE VEGETATION; STEAMER-DUCKS; BODY-SIZE; ISLAND; ANATIDAE</t>
  </si>
  <si>
    <t>The Chatham duck (Pachyanas chathamica) represented one of just three modern bird genera endemic to the Chatham archipelago (situated similar to 850 km east of New Zealand) but became extinct soon after humans first settled the islands (c. 13th-15th centuries AD). The taxonomic affinity of the Chatham duck remains largely unresolved; previous studies have tentatively suggested placements within both Tadornini (shelducks) and Anatini (dabbling ducks). Herein, we sequence a partial mitochondrial genome (excluding the D-loop) from the Chatham duck and discover that it was a phenotypically-divergent species within the genus Anas (Anatini). This conclusion is further supported by a re-examination of osteological characters. Our molecular analyses convincingly demonstrate that the Chatham duck is the most basal member of a sub-clade comprising the New Zealand and sub-Antarctic brown teals (the brown teal [A. chlorotis], Auckland Island teal [A. aucklandica] and Campbell Island teal [A. nesiotis]). Molecular clock calculations based on an ingroup fossil calibration support a divergence between the Chatham duck and its sister-taxa that is consistent with the estimated time of emergence of the Chatham Islands. Additionally, we find that mtDNA divergence between the two sub-Antarctic teal species (A. aucklandica and A. nesiotis) significantly pre-dates the last few glacial cycles, raising interesting questions about the timing of their dispersal to these islands, and the recent phylogeographic history of brown teal lineages in the region. (C) 2013 Elsevier Inc. All rights reserved.</t>
  </si>
  <si>
    <t>[Mitchell, Kieren J.; Llamas, Bastien; Cooper, Alan] Univ Adelaide, Sch Earth &amp; Environm Sci, Australian Ctr Ancient DNA, Adelaide, SA 5005, Australia; [Wood, Jamie R.] Landcare Res, Canterbury 7640, New Zealand; [Scofield, R. Paul] Canterbury Museum, Christchurch, New Zealand</t>
  </si>
  <si>
    <t>University of Adelaide; Landcare Research - New Zealand</t>
  </si>
  <si>
    <t>Mitchell, KJ (corresponding author), Univ Adelaide, Sch Earth &amp; Environm Sci, Australian Ctr Ancient DNA, North Terrace Campus, Adelaide, SA 5005, Australia.</t>
  </si>
  <si>
    <t>kieren.mitchell@adelaide.edu.au</t>
  </si>
  <si>
    <t>Llamas, Bastien/Y-2781-2018; Wood, Jamie/AAU-5530-2021; Scofield, R. Paul/A-4271-2011; Wood, Jamie/A-9393-2008; Cooper, Alan/E-8171-2012; Mitchell, Kieren/AAF-5837-2019; Llamas, Bastien/AAK-1693-2021</t>
  </si>
  <si>
    <t>Llamas, Bastien/0000-0002-5550-9176; Scofield, R. Paul/0000-0002-7510-6980; Wood, Jamie/0000-0001-8008-6083; Mitchell, Kieren/0000-0002-3921-0262; Cooper, Alan/0000-0002-7738-7851</t>
  </si>
  <si>
    <t>ACADEMIC PRESS INC ELSEVIER SCIENCE</t>
  </si>
  <si>
    <t>525 B ST, STE 1900, SAN DIEGO, CA 92101-4495 USA</t>
  </si>
  <si>
    <t>1055-7903</t>
  </si>
  <si>
    <t>1095-9513</t>
  </si>
  <si>
    <t>MOL PHYLOGENET EVOL</t>
  </si>
  <si>
    <t>Mol. Phylogenet. Evol.</t>
  </si>
  <si>
    <t>10.1016/j.ympev.2013.08.017</t>
  </si>
  <si>
    <t>Biochemistry &amp; Molecular Biology; Evolutionary Biology; Genetics &amp; Heredity</t>
  </si>
  <si>
    <t>272DS</t>
  </si>
  <si>
    <t>WOS:000328441100040</t>
  </si>
  <si>
    <t>Anderson, R; Jones, DH; Gudmundsson, GH</t>
  </si>
  <si>
    <t>Anderson, R.; Jones, D. H.; Gudmundsson, G. H.</t>
  </si>
  <si>
    <t>Halley Research Station, Antarctica: calving risks and monitoring strategies</t>
  </si>
  <si>
    <t>NATURAL HAZARDS AND EARTH SYSTEM SCIENCES</t>
  </si>
  <si>
    <t>BRUNT ICE SHELF; WEDDELL SEA; PENINSULA; SATELLITE; STREAM; SYSTEM</t>
  </si>
  <si>
    <t>The British Antarctic Survey's Halley Research Station is located on the Brunt Ice Shelf, Antarctica, where it is potentially vulnerable to calving events. Existing historical records show that the Brunt Ice Shelf is currently extended further into the Weddell Sea than it was before its last large calving event, so a new calving event may be overdue. We describe three different possible future scenarios for a largescale calving event on Brunt Ice Shelf. We conclude that currently the most threatening scenario for the Halley Research Station is a calving event on the neighbouring Stancomb-Wills Glacier Tongue, with subsequent detrimental consequences for the stability of the Brunt Ice Shelf. Based on available data, we suggest an increasing likelihood of this scenario occurring after 2020. We furthermore describe ongoing monitoring efforts aimed at giving advanced warning of an imminent calving event.</t>
  </si>
  <si>
    <t>[Anderson, R.; Jones, D. H.; Gudmundsson, G. H.] British Antarctic Survey, Cambridge CB3 0ET, England</t>
  </si>
  <si>
    <t>Gudmundsson, GH (corresponding author), British Antarctic Survey, Madingley Rd, Cambridge CB3 0ET, England.</t>
  </si>
  <si>
    <t>ghg@bas.ac.uk</t>
  </si>
  <si>
    <t>Gudmundsson, Gudmundur Hilmar/0000-0003-4236-5369; Gudmundsson, Gudmundur Hilmar/0000-0003-4236-5369; Jones, David/0000-0003-2379-909X</t>
  </si>
  <si>
    <t>Natural Environment Research Council [NE/1007156/1]; NERC [bas0100027] Funding Source: UKRI; Natural Environment Research Council [bas0100027] Funding Source: researchfish</t>
  </si>
  <si>
    <t>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</si>
  <si>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This study is part of the British Antarctic Survey Polar Science for Planet Earth Programme. It was funded by The Natural Environment Research Council (Grant NE/1007156/1).</t>
  </si>
  <si>
    <t>1561-8633</t>
  </si>
  <si>
    <t>NAT HAZARD EARTH SYS</t>
  </si>
  <si>
    <t>Nat. Hazards Earth Syst. Sci.</t>
  </si>
  <si>
    <t>10.5194/nhess-14-917-2014</t>
  </si>
  <si>
    <t>Geosciences, Multidisciplinary; Meteorology &amp; Atmospheric Sciences; Water Resources</t>
  </si>
  <si>
    <t>Geology; Meteorology &amp; Atmospheric Sciences; Water Resources</t>
  </si>
  <si>
    <t>AJ8JA</t>
  </si>
  <si>
    <t>WOS:000337948100016</t>
  </si>
  <si>
    <t>Anacona, PI; Norton, KP; Mackintosh, A</t>
  </si>
  <si>
    <t>Anacona, P. Iribarren; Norton, K. P.; Mackintosh, A.</t>
  </si>
  <si>
    <t>Moraine-dammed lake failures in Patagonia and assessment of outburst susceptibility in the Baker Basin</t>
  </si>
  <si>
    <t>GLACIER INVENTORY; CATASTROPHIC DRAINAGE; CORDILLERA-BLANCA; HAZARD ASSESSMENT; FLOOD; GIS; REGION; LANDSLIDES; AVALANCHE; CLIMATE</t>
  </si>
  <si>
    <t>Glacier retreat since the Little Ice Age has resulted in the development or expansion of hundreds of glacial lakes in Patagonia. Some of these lakes have produced large (&gt;= 10(6) m(3)) Glacial Lake Outburst Floods (GLOFs) damaging inhabited areas. GLOF hazard studies in Patagonia have been mainly based on the analysis of short-term series (&lt;= 50 years) of flood data and until now no attempt has been made to identify the relative susceptibility of lakes to failure. Power schemes and associated infrastructure are planned for Patagonian basins that have historically been affected by GLOFs, and we now require a thorough understanding of the characteristics of dangerous lakes in order to assist with hazard assessment and planning. In this paper, the conditioning factors of 16 outbursts from moraine-dammed lakes in Patagonia were analysed. These data were used to develop a classification scheme designed to assess outburst susceptibility, based on image classification techniques, flow routine algorithms and the Analytical Hierarchy Process. This scheme was applied to the Baker Basin, Chile, where at least seven moraine-dammed lakes have failed in historic time. We identified 386 moraine-dammed lakes in the Baker Basin of which 28 were classified with high or very high outburst susceptibility. Commonly, lakes with high outburst susceptibility are in contact with glaciers and have moderate (&gt; 8 degrees) to steep (&gt; 15 degrees) dam outlet slopes, akin to failed lakes in Patagonia. The proposed classification scheme is suitable for first-order GLOF hazard assessments in this region. However, rapidly changing glaciers in Patagonia make detailed analysis and monitoring of hazardous lakes and glaciated areas upstream from inhabited areas or critical infrastructure necessary, in order to better prepare for hazards emerging from an evolving cryosphere.</t>
  </si>
  <si>
    <t>[Anacona, P. Iribarren; Norton, K. P.; Mackintosh, A.] Victoria Univ Wellington, Sch Geog Environm &amp; Earth Sci, Wellington, New Zealand; [Mackintosh, A.] Victoria Univ Wellington, Antarctic Res Ctr, Wellington, New Zealand</t>
  </si>
  <si>
    <t>Victoria University Wellington; Victoria University Wellington</t>
  </si>
  <si>
    <t>Anacona, PI (corresponding author), Victoria Univ Wellington, Sch Geog Environm &amp; Earth Sci, Wellington, New Zealand.</t>
  </si>
  <si>
    <t>pablo.iribarren@vuw.ac.nz</t>
  </si>
  <si>
    <t>Norton, Kevin/CAF-1290-2022</t>
  </si>
  <si>
    <t>Norton, Kevin/0000-0002-7995-6464; Mackintosh, Andrew/0000-0002-6430-4711</t>
  </si>
  <si>
    <t>1684-9981</t>
  </si>
  <si>
    <t>10.5194/nhess-14-3243-2014</t>
  </si>
  <si>
    <t>AU7FG</t>
  </si>
  <si>
    <t>WOS:000345765600009</t>
  </si>
  <si>
    <t>de Boer, B; Lourens, LJ; van de Wal, RSW</t>
  </si>
  <si>
    <t>de Boer, B.; Lourens, Lucas J.; van de Wal, Roderik S. W.</t>
  </si>
  <si>
    <t>Persistent 400,000-year variability of Antarctic ice volume and the carbon cycle is revealed throughout the Plio-Pleistocene</t>
  </si>
  <si>
    <t>NATURE COMMUNICATIONS</t>
  </si>
  <si>
    <t>LAST GLACIAL MAXIMUM; MODEL PISM-PIK; PART 1; SHEET; CLIMATE; OCEAN; SIMULATIONS; OBLIQUITY; ONSET; TEMPERATURES</t>
  </si>
  <si>
    <t>Marine sediment records from the Oligocene and Miocene reveal clear 400,000-year climate cycles related to variations in orbital eccentricity. These cycles are also observed in the Plio-Pleistocene records of the global carbon cycle. However, they are absent from the Late Pleistocene ice-age record over the past 1.5 million years. Here we present a simulation of global ice volume over the past 5 million years with a coupled system of four three-dimensional ice-sheet models. Our simulation shows that the 400,000-year long eccentricity cycles of Antarctica vary coherently with delta C-13 data during the Pleistocene, suggesting that they drove the long-term carbon cycle changes throughout the past 35 million years. The 400,000-year response of Antarctica was eventually suppressed by the dominant 100,000-year glacial cycles of the large ice sheets in the Northern Hemisphere.</t>
  </si>
  <si>
    <t>[de Boer, B.; van de Wal, Roderik S. W.] Univ Utrecht, Inst Marine &amp; Atmospher Res Utrecht IMAU, NL-3584 CC Utrecht, Netherlands; [Lourens, Lucas J.] Univ Utrecht, Fac Geosci, Dept Earth Sci, NL-3584 CD Utrecht, Netherlands</t>
  </si>
  <si>
    <t>Utrecht University; Utrecht University</t>
  </si>
  <si>
    <t>de Boer, B (corresponding author), Univ Utrecht, Inst Marine &amp; Atmospher Res Utrecht IMAU, Princetonpl 5, NL-3584 CC Utrecht, Netherlands.</t>
  </si>
  <si>
    <t>b.deboer@uu.nl</t>
  </si>
  <si>
    <t>van de wal, roderik/D-1705-2011</t>
  </si>
  <si>
    <t>van de wal, roderik/0000-0003-2543-3892; de Boer, Bas/0000-0002-3696-6654</t>
  </si>
  <si>
    <t>KNAW; SurfSARA Computing and Networking Services</t>
  </si>
  <si>
    <t>This research was funded through the KNAW professorship of Johannes Oerlemans. Model runs were performed on the LISA Computer Cluster. We would like to thank SurfSARA Computing and Networking Services for their support.</t>
  </si>
  <si>
    <t>2041-1723</t>
  </si>
  <si>
    <t>NAT COMMUN</t>
  </si>
  <si>
    <t>Nat. Commun.</t>
  </si>
  <si>
    <t>10.1038/ncomms3999</t>
  </si>
  <si>
    <t>Multidisciplinary Sciences</t>
  </si>
  <si>
    <t>Science &amp; Technology - Other Topics</t>
  </si>
  <si>
    <t>AA4QV</t>
  </si>
  <si>
    <t>WOS:000331081900003</t>
  </si>
  <si>
    <t>Hendry, KR; Robinson, LF; McManus, JF; Hays, JD</t>
  </si>
  <si>
    <t>Hendry, Katharine R.; Robinson, Laura F.; McManus, Jerry F.; Hays, James D.</t>
  </si>
  <si>
    <t>Silicon isotopes indicate enhanced carbon export efficiency in the North Atlantic during deglaciation</t>
  </si>
  <si>
    <t>ANTARCTIC INTERMEDIATE WATER; SOUTHERN-OCEAN; BIOGENIC SILICA; MARINE DIATOMS; VERTICAL-DISTRIBUTION; ABRUPT CHANGES; SARGASSO SEA; PACIFIC; SI; FRACTIONATION</t>
  </si>
  <si>
    <t>Today's Sargasso Sea is nutrient starved, except for episodic upwelling events caused by wind-driven winter mixing and eddies. Enhanced diatom opal burial in Sargasso Sea sediments indicates that silicic acid, a limiting nutrient today, may have been more available in subsurface waters during Heinrich Stadials, millennial-scale climate perturbations of the last glacial and deglaciation. Here we use the geochemistry of opal-forming organisms from different water depths to demonstrate changes in silicic acid supply and utilization during the most recent Heinrich Stadial. We suggest that during the early phase (17.5-18 ka), wind-driven upwelling replenished silicic acid to the subsurface, resulting in low Si utilization. By 17 ka, stratification reduced the surface silicic acid supply leading to increased Si utilization efficiency. This abrupt shift in Si cycling would have contributed to high regional carbon export efficiency during the recent Heinrich Stadial, despite being a period of increasing atmospheric CO2.</t>
  </si>
  <si>
    <t>[Hendry, Katharine R.] Cardiff Univ, Sch Earth &amp; Ocean Sci, Cardiff CF10 3AT, S Glam, Wales; [Hendry, Katharine R.; Robinson, Laura F.] Univ Bristol, Dept Earth Sci, Bristol BS8 1RJ, Avon, England; [Hendry, Katharine R.; Robinson, Laura F.] Woods Hole Oceanog Inst, Dept Marine Chem &amp; Geochem, Woods Hole, MA 02543 USA; [McManus, Jerry F.; Hays, James D.] Columbia Univ, Dept Earth &amp; Environm Sci, Lamont Doherty Earth Observ, Palisades, NY 10964 USA</t>
  </si>
  <si>
    <t>Cardiff University; University of Bristol; Woods Hole Oceanographic Institution; Columbia University</t>
  </si>
  <si>
    <t>Hendry, KR (corresponding author), Cardiff Univ, Sch Earth &amp; Ocean Sci, Main Bldg,Pk Pl, Cardiff CF10 3AT, S Glam, Wales.</t>
  </si>
  <si>
    <t>K.Hendry@bristol.ac.uk</t>
  </si>
  <si>
    <t>Hendry, Katharine/E-4793-2011</t>
  </si>
  <si>
    <t>Hendry, Katharine/0000-0002-0790-5895; Robinson, Laura/0000-0001-6811-0140; mcmanus, jerry/0000-0002-7365-1600</t>
  </si>
  <si>
    <t>US National Science Foundation (US-NSF) [MGG 1029986]; Climate Change Consortium of Wales (C3W); Royal Society; UK NERC New Investigator Grant; European Research Council [278705]; US-NSF; Natural Environment Research Council [NE/J00474X/2, NE/J00474X/1] Funding Source: researchfish; NERC [NE/J00474X/1, NE/J00474X/2] Funding Source: UKRI</t>
  </si>
  <si>
    <t>US National Science Foundation (US-NSF)(National Science Foundation (NSF)); Climate Change Consortium of Wales (C3W); Royal Society(Royal Society); UK NERC New Investigator Grant; European Research Council(European Research Council (ERC)); US-NSF(National Science Foundation (NSF)); Natural Environment Research Council(UK Research &amp; Innovation (UKRI)Natural Environment Research Council (NERC)); NERC(UK Research &amp; Innovation (UKRI)Natural Environment Research Council (NERC))</t>
  </si>
  <si>
    <t>We acknowledge L. Gene Henry for sharing unpublished opal percentage and flux data. We thank Tamara Catanach and Maureen Auro (WHOI) for assistance in the laboratory, Lloyd Keigwin and Alan Kemp for samples and discussion. Silicon isotope analyses were carried out at the WHOI ICP Facility, with the assistance of Jerzy Blusztajn and Scot Birdwhistell. K.R.H. and L.F.R. are funded by US National Science Foundation (US-NSF) Grant MGG 1029986; K.R.H. is supported by the Climate Change Consortium of Wales (C3W), The Royal Society and a UK NERC New Investigator Grant; L.F.R. is supported by an European Research Council Grant 278705; J.F.M. is funded by US-NSF.</t>
  </si>
  <si>
    <t>10.1038/ncomms4107</t>
  </si>
  <si>
    <t>AA4RS</t>
  </si>
  <si>
    <t>Green Published, Bronze, Green Submitted</t>
  </si>
  <si>
    <t>WOS:000331084400016</t>
  </si>
  <si>
    <t>Whittle, RJ; Quaglio, F; Griffiths, HJ; Linse, K; Crame, JA</t>
  </si>
  <si>
    <t>Whittle, Rowan J.; Quaglio, Fernanda; Griffiths, Huw J.; Linse, Katrin; Crame, J. Alistair</t>
  </si>
  <si>
    <t>The Early Miocene Cape Melville Formation fossil assemblage and the evolution of modern Antarctic marine communities</t>
  </si>
  <si>
    <t>NATURWISSENSCHAFTEN</t>
  </si>
  <si>
    <t>Fossil; Antarctica; Early Miocene; Community structure; Decapod; Assemblage</t>
  </si>
  <si>
    <t>KING-GEORGE-ISLAND; DISTRIBUTION PATTERNS; DECAPOD CRUSTACEANS; CLIMATE-CHANGE; BIOGEOGRAPHY; DIVERSITY; BIVALVIA; HOMOLODROMIIDAE; PRESERVATION; DISSOLUTION</t>
  </si>
  <si>
    <t>The fossil community from the Early Miocene Cape Melville Formation (King George Island, Antarctica) does not show the archaic retrograde nature of modern Antarctic marine communities, despite evidence, such as the presence of dropstones, diamictites and striated rocks, that it was deposited in a glacial environment. Unlike modern Antarctic settings, and the upper units of the Eocene La Meseta Formation on Seymour Island, Antarctica, which are 10 million years older, the Cape Melville Formation community is not dominated by sessile suspension feeding ophiuroids, crinoids or brachiopods. Instead, it is dominated by infaunal bivalves, with a significant component of decapods, similar to present day South American settings. It is possible that the archaic retrograde structure of the modern community did not fully evolve until relatively recently, maybe due to factors such as further cooling and isolation of the continent leading to glaciations, which resulted in a loss of shallow shelf habitats.</t>
  </si>
  <si>
    <t>[Whittle, Rowan J.; Griffiths, Huw J.; Linse, Katrin; Crame, J. Alistair] British Antarctic Survey, Cambridge CB3 0ET, England; [Quaglio, Fernanda] Univ Sao Paulo, Inst Geociencias, BR-05508080 Sao Paulo, Brazil</t>
  </si>
  <si>
    <t>UK Research &amp; Innovation (UKRI); Natural Environment Research Council (NERC); NERC British Antarctic Survey; Universidade de Sao Paulo</t>
  </si>
  <si>
    <t>Whittle, RJ (corresponding author), British Antarctic Survey, Madingley Rd, Cambridge CB3 0ET, England.</t>
  </si>
  <si>
    <t>roit@bas.ac.uk</t>
  </si>
  <si>
    <t>Quaglio, Fernanda/F-2765-2013; Griffiths, Huw J/D-4234-2009</t>
  </si>
  <si>
    <t>Griffiths, Huw J/0000-0003-1764-223X; Linse, Katrin/0000-0003-3477-3047</t>
  </si>
  <si>
    <t>Natural Environment Research Council; CNPq (Conselho Nacional de Desenvolvimento Cientifico e Tecnologico); Natural Environment Research Council [NE/I00582X/2, bas0100026, NE/I005803/1] Funding Source: researchfish; NERC [bas0100026, NE/I00582X/2, NE/I005803/1] Funding Source: UKRI</t>
  </si>
  <si>
    <t>Natural Environment Research Council(UK Research &amp; Innovation (UKRI)Natural Environment Research Council (NERC)); CNPq (Conselho Nacional de Desenvolvimento Cientifico e Tecnologico)(Conselho Nacional de Desenvolvimento Cientifico e Tecnologico (CNPQ)); Natural Environment Research Council(UK Research &amp; Innovation (UKRI)Natural Environment Research Council (NERC)); NERC(UK Research &amp; Innovation (UKRI)Natural Environment Research Council (NERC))</t>
  </si>
  <si>
    <t>This study is a part of the British Antarctic Survey Polar Science for Planet Earth Programme. It was funded by The Natural Environment Research Council. FQ was partially funded by CNPq (Conselho Nacional de Desenvolvimento Cientifico e Tecnologico) during the development of this work. We thank R. M. Feldmann and an anonymous reviewer for their helpful and constructive suggestions, and Sven Thatje for his editorial comments. We appreciate the help of Hilary Blagbrough with access to BAS collections and technical support. We would like to thank Dr David Barnes, the participants of JR230 and the crew off the RRS James Clark Ross for assistance with the collection of modern biological data.</t>
  </si>
  <si>
    <t>233 SPRING ST, NEW YORK, NY 10013 USA</t>
  </si>
  <si>
    <t>0028-1042</t>
  </si>
  <si>
    <t>1432-1904</t>
  </si>
  <si>
    <t>Naturwissenschaften</t>
  </si>
  <si>
    <t>10.1007/s00114-013-1128-0</t>
  </si>
  <si>
    <t>290YI</t>
  </si>
  <si>
    <t>WOS:000329794200006</t>
  </si>
  <si>
    <t>Duarte, MF</t>
  </si>
  <si>
    <t>Duarte, Marcello Felipe</t>
  </si>
  <si>
    <t>DEFENSE DOSSIER, POLITICS, SOCIAL TRAJECTORIES AND MERCANTILE FLOWS IN THE OLD REGIME The Cross and the Throne: the Armistice of Iperoig, the Car of Saint Lawrence and the Portuguese Victory over France Antarctica</t>
  </si>
  <si>
    <t>NAVIGATOR-SUBSIDIOS PARA A HISTORIA MARITIMA DO BRASIL</t>
  </si>
  <si>
    <t>Portuguese</t>
  </si>
  <si>
    <t>Antarctic France; ArmisticeofIperoig; Play Auto de Sao Lourenco</t>
  </si>
  <si>
    <t>The Alliance between the Church and the Portuguese Monarchy, through the system of patronage, represented, at the same time, the establishment of the territorial borders and the propagation of religion, which was important to facilitate the colonization of the Portuguese America, mainly in the 16th century. Faced with the threat of Antarctic France, the solution found by the Jesuit leaders was the Armistice of Iperoig, and the most significant effect of which was its contribution to expel the French from Guanabara Bay. The Portuguese victory in this event was later immortalized by Jesuit priest Jose de Anchieta in his play called Auto da Festa de Sao Lourenco.</t>
  </si>
  <si>
    <t>[Duarte, Marcello Felipe] Colegio Naval, Hist, Angra Dos Reis, RJ, Brazil</t>
  </si>
  <si>
    <t>Duarte, MF (corresponding author), Colegio Naval, Hist, Angra Dos Reis, RJ, Brazil.</t>
  </si>
  <si>
    <t>MINISTERIO MARINHA, SERV DOCUMENTACAO GERAL MARINHA</t>
  </si>
  <si>
    <t>RIO DE JANEIRO</t>
  </si>
  <si>
    <t>RUA DOM MANUEL, 15, CENTRO, RIO DE JANEIRO, RJ 20010090, BRAZIL</t>
  </si>
  <si>
    <t>0100-1248</t>
  </si>
  <si>
    <t>NAVIGATOR</t>
  </si>
  <si>
    <t>Navigator</t>
  </si>
  <si>
    <t>History</t>
  </si>
  <si>
    <t>VA3MR</t>
  </si>
  <si>
    <t>WOS:000409812000001</t>
  </si>
  <si>
    <t>Parkes, J; Fisher, P; Robinson, S; Aguirre-Muñoz, A</t>
  </si>
  <si>
    <t>Parkes, John; Fisher, Penny; Robinson, Sue; Aguirre-Munoz, Alfonso</t>
  </si>
  <si>
    <t>Eradication of feral cats from large islands: an assessment of the effort required for success</t>
  </si>
  <si>
    <t>NEW ZEALAND JOURNAL OF ECOLOGY</t>
  </si>
  <si>
    <t>control effort; control sequence; Felts catus</t>
  </si>
  <si>
    <t>ANTARCTIC MARION-ISLAND; FELIS-CATUS; CONSERVATION</t>
  </si>
  <si>
    <t>Feral cats (Felis catus) are predators and competitors of native species on many islands and are therefore the target of control efforts. Cat eradication has been achieved on 83 islands worldwide. Six of these successes have been from large islands (over 2000 ha) and have reported sufficient data to examine how the eradication was achieved through combinations of aerial and ground-based poison baiting, fumigation in rabbit burrows used by cats, cage and leghold trapping, day and night shooting, and hunting with dogs. No common sequence of tactics was deployed although leghold traps were used in the latter phases of most projects. It took a mean reported effort of 543 +/- 341 person-days per 1000 ha of island over 5.2 +/- 1.6 years to completely remove cats and validate success from the six islands. These precedents may assist in planning future proposals to eradicate cats from other large islands.</t>
  </si>
  <si>
    <t>[Parkes, John] Kurahaupo Consulting, Christchurch 8052, New Zealand; [Fisher, Penny] Landcare Res, Lincoln 7640, New Zealand; [Robinson, Sue] Dept Primary Ind Parks Water &amp; Environm, Invas Species Branch, Hobart, Tas, Australia; [Aguirre-Munoz, Alfonso] Grp Ecol &amp; Conservac Islas AC, Ensenada, Baja California, Mexico</t>
  </si>
  <si>
    <t>Landcare Research - New Zealand</t>
  </si>
  <si>
    <t>Parkes, J (corresponding author), Kurahaupo Consulting, 2 Ashdale Lane, Christchurch 8052, New Zealand.</t>
  </si>
  <si>
    <t>john.parkes1080@gmail.com</t>
  </si>
  <si>
    <t>Fisher, Penny/AAA-8584-2019</t>
  </si>
  <si>
    <t>Fisher, Penny/0000-0003-1268-4537</t>
  </si>
  <si>
    <t>NEW ZEALAND ECOL SOC</t>
  </si>
  <si>
    <t>CHRISTCHURCH</t>
  </si>
  <si>
    <t>PO BOX 25178, CHRISTCHURCH, NEW ZEALAND</t>
  </si>
  <si>
    <t>0110-6465</t>
  </si>
  <si>
    <t>1177-7788</t>
  </si>
  <si>
    <t>NEW ZEAL J ECOL</t>
  </si>
  <si>
    <t>N. Z. J. Ecol.</t>
  </si>
  <si>
    <t>AL4VY</t>
  </si>
  <si>
    <t>WOS:000339134100014</t>
  </si>
  <si>
    <t>Chilvers, BL; Dobbins, ML; Edmonds, HK</t>
  </si>
  <si>
    <t>Chilvers, B. L.; Dobbins, M. L.; Edmonds, H. K.</t>
  </si>
  <si>
    <t>Diving behaviour of yellow-eyed penguins, Port Pegasus/Pikihatiti, Stewart Island/Rakiura, New Zealand</t>
  </si>
  <si>
    <t>NEW ZEALAND JOURNAL OF ZOOLOGY</t>
  </si>
  <si>
    <t>behaviour; hoiho; Megadyptes antipodes; foraging; ecosystem indicator</t>
  </si>
  <si>
    <t>FORAGING BEHAVIOR; MEGADYPTES-ANTIPODES; EMPEROR PENGUINS; DIET; WINTER; RANGE</t>
  </si>
  <si>
    <t>Yellow-eyed penguins (hoiho, Megadyptes antipodes) are a Nationally Vulnerable species, restricted in distribution to the lower South Island, Stewart Island/Rakiura, and the New Zealand sub-Antarctic islands. The foraging behaviour of penguins is considered an indicator of marine ecosystems because when breeding they rely on the availability of prey close to their nests. Time-depth recorders were attached to eight nesting hoiho at Port Pegasus/Pikihatiti, Stewart Island. While at sea, hoiho spent 55% of their time diving in water &gt; 3 m deep. Their mean dive depth was 61 +/- 6.1 m with mean dive duration 2 +/- 0.1 min. Based on bathymetric charts, hoiho could undertake these dives &lt; 10 km from their nesting sites. There was significant variability in hoiho foraging behaviour within New Zealand depending on bathymetry and anthropogenic impacts. Understanding hoiho foraging behaviours could help to determine to what extent they impact on this species' life history and its role as an ecosystem indicator.</t>
  </si>
  <si>
    <t>[Chilvers, B. L.] Sci &amp; Capabil Grp, Dept Conservat, Wellington, New Zealand; [Dobbins, M. L.] Southern Isl Area Off, Dept Conservat, Stewart Isl Rakiura, New Zealand; [Edmonds, H. K.] Te Anau Area Off, Dept Conservat, Te Anau, New Zealand</t>
  </si>
  <si>
    <t>Chilvers, BL (corresponding author), Massey Univ, IVABS, Palmerston North, New Zealand.</t>
  </si>
  <si>
    <t>b.l.chilvers@massey.ac.nz</t>
  </si>
  <si>
    <t>Chilvers, B. Louise/AAV-1965-2021</t>
  </si>
  <si>
    <t>Chilvers, B. Louise/0000-0002-7657-4217</t>
  </si>
  <si>
    <t>DOC's Science and Capability Group [4361]</t>
  </si>
  <si>
    <t>DOC's Science and Capability Group</t>
  </si>
  <si>
    <t>This study was conducted under permit from the New Zealand Department of Conservation (DOC), and was funded by DOC's Science and Capability Group (investigation no. 4361). We wish to thank Pete Young and Dallas McHardy (Southern Winds, the DOC Southland Research Vessel) for all of their help. Approval for this work was obtained from DOC Animal Ethics Committee-Approval AEC233 (1 Nov 2011). Ian Angus, Debbie Freeman, Graeme Taylor and two anonymous reviewers all provided helpful, critical reviews of the manuscript.</t>
  </si>
  <si>
    <t>2-4 PARK SQUARE, MILTON PARK, ABINGDON OR14 4RN, OXON, ENGLAND</t>
  </si>
  <si>
    <t>0301-4223</t>
  </si>
  <si>
    <t>1175-8821</t>
  </si>
  <si>
    <t>NEW ZEAL J ZOOL</t>
  </si>
  <si>
    <t>N. Z. J. Zool.</t>
  </si>
  <si>
    <t>10.1080/03014223.2014.908931</t>
  </si>
  <si>
    <t>AP8HQ</t>
  </si>
  <si>
    <t>WOS:000342320300002</t>
  </si>
  <si>
    <t>Wei, P; Shang, ZH; Ma, B; Zhao, C; Hu, Y; Liu, Q</t>
  </si>
  <si>
    <t>Peck, AB; Benn, CR; Seaman, RL</t>
  </si>
  <si>
    <t>Wei, Peng; Shang, Zhaohui; Ma, Bin; Zhao, Cheng; Hu, Yi; Liu, Qiang</t>
  </si>
  <si>
    <t>Problems with twilight/supersky flat-field for wide-field robotic telescopes and the solution</t>
  </si>
  <si>
    <t>OBSERVATORY OPERATIONS: STRATEGIES, PROCESSES, AND SYSTEMS V</t>
  </si>
  <si>
    <t>Conference on Observatory Operations - Strategies, Processes, and Systems V</t>
  </si>
  <si>
    <t>JUN 25-27, 2014</t>
  </si>
  <si>
    <t>Wide-field Robotic Telescopes; Flat-field; Antarctica Astronomy; AST3</t>
  </si>
  <si>
    <t>Twilight/night sky images are often used for flat-fielding CCD images, but the brightness gradient in twilight/night sky causes problems of accurate flat-field correction in astronomical images for wide-field telescopes. Using data from the Antarctic Survey Telescope (AST3), we found that when the sky brightness gradient is minimum and stable, there is still a gradient of 1% across AST3's field-of-view of 4.3 square degrees. We tested various approaches to remove the varying gradients in individual flat-field images. Our final optimal method can reduce the spatially dependent errors caused by the gradient to the negligible level. We also suggest a guideline of flat-fielding using twilight/night sky images for wide-field robotic autonomous telescopes.</t>
  </si>
  <si>
    <t>[Wei, Peng; Shang, Zhaohui; Ma, Bin; Hu, Yi; Liu, Qiang] Chinese Acad Sci, Natl Astron Observ, Beijing, Peoples R China; [Shang, Zhaohui] Tianjin Normal Univ, Tianjin, Peoples R China; [Ma, Bin] Tsinghua Univ, Beijing, Peoples R China</t>
  </si>
  <si>
    <t>Chinese Academy of Sciences; National Astronomical Observatory, CAS; Tianjin Normal University; Tsinghua University</t>
  </si>
  <si>
    <t>Shang, ZH (corresponding author), Chinese Acad Sci, Natl Astron Observ, Beijing, Peoples R China.</t>
  </si>
  <si>
    <t>zshang@gmail.com</t>
  </si>
  <si>
    <t>wei, peng/IVH-1711-2023; Liu, Qiang/HHZ-3181-2022</t>
  </si>
  <si>
    <t>Zhao, Cheng/0000-0002-1991-7295; hu, yi/0000-0003-3317-4771</t>
  </si>
  <si>
    <t>National Basic Research Program of China ( 973 Program) [2013CB834900]; Chinese Polar Environment Comprehensive Investigation &amp; Assessment Programmes [CHINARE2014-02-03]; National Natural Science Foundation of China [11003027, 11203039, 11273019]</t>
  </si>
  <si>
    <t>National Basic Research Program of China ( 973 Program)(National Basic Research Program of China); Chinese Polar Environment Comprehensive Investigation &amp; Assessment Programmes; National Natural Science Foundation of China(National Natural Science Foundation of China (NSFC))</t>
  </si>
  <si>
    <t>This work has been supported by the National Basic Research Program of China ( 973 Program) under grand No. 2013CB834900, the Chinese Polar Environment Comprehensive Investigation &amp; Assessment Programmes under grand No. CHINARE2014-02-03, and the National Natural Science Foundation of China under grant No. 11003027, 11203039, and 11273019.</t>
  </si>
  <si>
    <t>1996-756X</t>
  </si>
  <si>
    <t>978-0-8194-9617-1</t>
  </si>
  <si>
    <t>91492H</t>
  </si>
  <si>
    <t>10.1117/12.2055459</t>
  </si>
  <si>
    <t>Astronomy &amp; Astrophysics; Optics; Physics, Applied</t>
  </si>
  <si>
    <t>Astronomy &amp; Astrophysics; Optics; Physics</t>
  </si>
  <si>
    <t>BB3WP</t>
  </si>
  <si>
    <t>WOS:000343092000081</t>
  </si>
  <si>
    <t>de Leeuw, G; Guieu, C; Arneth, A; Bellouin, N; Bopp, L; Boyd, PW; van der Gon, HACD; Desboeufs, KV; Dulac, F; Facchini, MC; Gantt, B; Langmann, B; Mahowald, NM; Marañón, E; O'Dowd, C; Olgun, N; Pulido-Villena, E; Rinaldi, M; Stephanou, EG; Wagener, T</t>
  </si>
  <si>
    <t>Liss, PS; Johnson, MT</t>
  </si>
  <si>
    <t>de Leeuw, Gerrit; Guieu, Cecile; Arneth, Almuth; Bellouin, Nicolas; Bopp, Laurent; Boyd, Philip W.; van der Gon, Hugo A. C. Denier; Desboeufs, Karine V.; Dulac, Francois; Facchini, M. Cristina; Gantt, Brett; Langmann, Baerbel; Mahowald, Natalie M.; Maranon, Emilio; O'Dowd, Colin; Olgun, Nazli; Pulido-Villena, Elvira; Rinaldi, Matteo; Stephanou, Euripides G.; Wagener, Thibaut</t>
  </si>
  <si>
    <t>Ocean-Atmosphere Interactions of Particles</t>
  </si>
  <si>
    <t>OCEAN-ATMOSPHERE INTERACTIONS OF GASES AND PARTICLES</t>
  </si>
  <si>
    <t>MARINE BOUNDARY-LAYER; ASIAN DUST PARTICLES; SEA-SALT AEROSOL; BIOMASS BURNING EMISSIONS; CLOUD CONDENSATION NUCLEI; SECONDARY ORGANIC AEROSOL; LONG-RANGE TRANSPORT; TERRESTRIAL ISOPRENE EMISSIONS; SOLUBLE DICARBOXYLIC-ACIDS; AMMA AIRCRAFT CAMPAIGN</t>
  </si>
  <si>
    <t>This chapter provides an overview of the current knowledge on aerosols in the marine atmosphere and the effects of aerosols on climate and on processes in the oceanic surface layer. Aerosol particles in the marine atmosphere originate predominantly from direct production at the sea surface due to the interaction between wind and waves (sea spray aerosol, or SSA) and indirect production by gas to particle conversion. These aerosols are supplemented by aerosols produced over the continents, as well as aerosols emitted by volcanoes and ship traffic, a large part of it being deposited to the ocean surface by dry and wet deposition. The SSA sources, chemical composition and ensuing physical and optical effects, are discussed. An overview is presented of continental sources and their ageing and mixing processes during transport. The current status of our knowledge on effects of marine aerosols on the Earth radiative balance, both direct by their interaction with solar radiation and indirect through their effects on cloud properties, is discussed. The deposition on the ocean surface of some key species, such as nutrients, their bioavailability and how they impact biogeochemical cycles are shown and discussed through different time and space scales approaches.</t>
  </si>
  <si>
    <t>[de Leeuw, Gerrit] Finnish Meteorol Inst, Climate Change Unit, Helsinki, Finland; [de Leeuw, Gerrit] Univ Helsinki, Dept Phys, Helsinki, Finland; [de Leeuw, Gerrit; van der Gon, Hugo A. C. Denier] TNO, NL-3508 TA Utrecht, Netherlands; [Guieu, Cecile] Univ Paris 06, CNRS, Lab Oceanog Villefranche, Villefranche Sur Mer, France; [Arneth, Almuth] Karlsruhe Inst Technol, Inst Meteorol &amp; Climate Res Atmospher Environm Re, Div Ecosyst Atmosphere Interact, D-82467 Garmisch Partenkirchen, Germany; [Bellouin, Nicolas] Met Off, Hadley Ctr, Exeter EX1 3PB, Devon, England; [Bopp, Laurent] CNRS, LSCE, F-91191 Gif Sur Yvette, France; [Boyd, Philip W.] Univ Tasmania, Inst Marine &amp; Antarctic Sci, Hobart, Tas 7005, Australia; [Desboeufs, Karine V.] Univ Paris Est Creteil, CNRS, LISA IPSL, Creteil, France; [Desboeufs, Karine V.] Paris Diderot, Creteil, France; [Dulac, Francois] UVSQ, CEA, CNRS, LSCE,IPSL, Gif Sur Yvette, France; [Facchini, M. Cristina; Rinaldi, Matteo] Natl Res Council CNR, Inst Atmospher Sci &amp; Climate ISAC, I-40129 Bologna, Italy; [Gantt, Brett] North Carolina State Univ, Raleigh, NC USA; [Langmann, Baerbel] Univ Hamburg, Inst Geophys, Hamburg, Germany; [Mahowald, Natalie M.] Cornell Univ, Dept Earth &amp; Atmospher Sci, Ithaca, NY 14853 USA; [Maranon, Emilio] Univ Vigo, Fac Ciencias Mar, Dept Ecol &amp; Biol Anim, Vigo, Spain; [O'Dowd, Colin] Natl Univ Ireland, Sch Phys, Galway, Ireland; [Olgun, Nazli] GEOMAR Helmholtz Ctr Ocean Res Kiel, D-24105 Kiel, Germany; [Pulido-Villena, Elvira; Wagener, Thibaut] Aix Marseille Univ, Mediterranean Inst Oceanog MIO, CNRS, INSU,IRD,UM 110, F-13288 Marseille, France; [Stephanou, Euripides G.] Univ Crete, Dept Chem, Environm Chem Proc Lab ECPL, GR-71003 Voutes Heraklion, Greece</t>
  </si>
  <si>
    <t>Finnish Meteorological Institute; University of Helsinki; Netherlands Organization Applied Science Research; Sorbonne Universite; Centre National de la Recherche Scientifique (CNRS); Helmholtz Association; Karlsruhe Institute of Technology; Met Office - UK; Hadley Centre; Universite Paris Saclay; CEA; Centre National de la Recherche Scientifique (CNRS); University of Tasmania; Universite Paris-Est-Creteil-Val-de-Marne (UPEC); Universite Gustave-Eiffel; Centre National de la Recherche Scientifique (CNRS); Universite Paris Cite; Universite Paris Saclay; CEA; Centre National de la Recherche Scientifique (CNRS); Universite Paris Cite; Consiglio Nazionale delle Ricerche (CNR); Istituto di Scienze dell'Atmosfera e del Clima (ISAC-CNR); North Carolina State University; University of Hamburg; Cornell University; Universidade de Vigo; Ollscoil na Gaillimhe-University of Galway; Helmholtz Association; GEOMAR Helmholtz Center for Ocean Research Kiel; Institut de Recherche pour le Developpement (IRD); Aix-Marseille Universite; Centre National de la Recherche Scientifique (CNRS); CNRS - National Institute for Earth Sciences &amp; Astronomy (INSU); University of Crete</t>
  </si>
  <si>
    <t>de Leeuw, G (corresponding author), Finnish Meteorol Inst, Climate Change Unit, Helsinki, Finland.</t>
  </si>
  <si>
    <t>gerrit.leeuw@fmi.fi; guieu@obs-vlfr.fr; almut.arneth@kit.edu; nicolas.bellouin@metoffice.gov.uk; laurent.bopp@lsce.ipsl.fr; philip.boyd@utas.edu.au; hugo.deniervandergon@tno.nl; desboeufs@lisa.u-pec.fr; francois.dulac@cea.fr; mc.facchini@isac.cnr.it; bdgantt@gmail.com; baerbel.langmann@zmaw.de; mahowald@cornell.edu; em@uvigo.es; colin.odowd@nuigalway.ie; nolgun@ifm-geomar.de; elvira.pulido@univ-amu.fr; m.rinaldi@isac.cnr.it; stephanou@chemistry.uoc.gr; thibaut.wagener@univ-amu.fr</t>
  </si>
  <si>
    <t>Mahowald, Natalie M/D-8388-2013; Marañón, Emilio/F-3013-2013; O'Dowd, Colin D/K-8904-2012; Guieu, Cecile/AAU-6883-2021; bopp, laurent/ABF-5302-2020; rinaldi, matteo/K-6083-2012; Facchini, Maria Cristina/AAA-1592-2019; FACCHINI, MARIA CRISTINA/O-1230-2015; Dulac, François/AAD-6573-2019; de Leeuw, Gerrit/AAI-3270-2020; Kıyak, Nazlı Olğun/L-1672-2018; Gantt, Brett/G-2525-2013; Boyd, Philip/J-7624-2014</t>
  </si>
  <si>
    <t>Mahowald, Natalie M/0000-0002-2873-997X; Marañón, Emilio/0000-0003-1572-2121; O'Dowd, Colin D/0000-0002-3068-2212; Guieu, Cecile/0000-0001-6373-8326; bopp, laurent/0000-0003-4732-4953; Facchini, Maria Cristina/0000-0003-4833-9305; de Leeuw, Gerrit/0000-0002-1649-6333; Kıyak, Nazlı Olğun/0000-0002-9863-812X; DESBOEUFS, Karine/0000-0002-7766-6877; Arneth, Almut/0000-0001-6616-0822; Boyd, Philip/0000-0001-7850-1911; Denier van der Gon, Hugo/0000-0001-9552-3688; Bellouin, Nicolas/0000-0003-2109-9559</t>
  </si>
  <si>
    <t>SPRINGER-VERLAG BERLIN</t>
  </si>
  <si>
    <t>BERLIN</t>
  </si>
  <si>
    <t>HEIDELBERGER PLATZ 3, D-14197 BERLIN, GERMANY</t>
  </si>
  <si>
    <t>2197-960X</t>
  </si>
  <si>
    <t>978-3-642-25643-1; 978-3-642-25642-4</t>
  </si>
  <si>
    <t>10.1007/978-3-642-25643-1_4</t>
  </si>
  <si>
    <t>10.1007/978-3-642-25643-1</t>
  </si>
  <si>
    <t>Environmental Sciences; Meteorology &amp; Atmospheric Sciences; Oceanography</t>
  </si>
  <si>
    <t>Environmental Sciences &amp; Ecology; Meteorology &amp; Atmospheric Sciences; Oceanography</t>
  </si>
  <si>
    <t>BM1XY</t>
  </si>
  <si>
    <t>Green Submitted, hybrid, Green Published</t>
  </si>
  <si>
    <t>WOS:000460678000005</t>
  </si>
  <si>
    <t>Garçon, VC; Bell, TG; Wallace, D; Arnold, SR; Baker, A; Bakker, DCE; Bange, HW; Bates, NR; Bopp, L; Boutin, J; Boyd, PW; Bracher, A; Burrows, JP; Carpenter, LJ; de Leeuw, G; Fennel, K; Font, J; Friedrich, T; Garbe, CS; Gruber, N; Jaeglé, L; Lana, A; Lee, JD; Liss, PS; Miller, LA; Olgun, N; Olsen, A; Pfeil, B; Quack, B; Read, KA; Reul, N; Rödenbeck, C; Rohekar, SS; Saiz-Lopez, A; Saltzman, ES; Schneising, O; Schuster, U; Seferian, R; Steinhoff, T; Le Traon, PY; Ziska, F</t>
  </si>
  <si>
    <t>Garcon, Veronique C.; Bell, Thomas G.; Wallace, Douglas; Arnold, Steve R.; Baker, Alex; Bakker, Dorothee C. E.; Bange, Hermann W.; Bates, Nicholas R.; Bopp, Laurent; Boutin, Jacqueline; Boyd, Philip W.; Bracher, Astrid; Burrows, John P.; Carpenter, Lucy J.; de Leeuw, Gerrit; Fennel, Katja; Font, Jordi; Friedrich, Tobias; Garbe, Christoph S.; Gruber, Nicolas; Jaegle, Lyatt; Lana, Arancha; Lee, James D.; Liss, Peter S.; Miller, Lisa A.; Olgun, Nazli; Olsen, Are; Pfeil, Benjamin; Quack, Birgit; Read, Katie A.; Reul, Nicolas; Roedenbeck, Christian; Rohekar, Shital S.; Saiz-Lopez, Alfonso; Saltzman, Eric S.; Schneising, Oliver; Schuster, Ute; Seferian, Roland; Steinhoff, Tobias; Le Traon, Pierre-Yves; Ziska, Franziska</t>
  </si>
  <si>
    <t>Perspectives and Integration in SOLAS Science</t>
  </si>
  <si>
    <t>AEROSOL OPTICAL DEPTH; MARINE BOUNDARY-LAYER; AIR-SEA FLUX; PHYTOPLANKTON FUNCTIONAL TYPES; IRON ENRICHMENT EXPERIMENTS; MODELING HALOGEN CHEMISTRY; NITROGEN-OXIDE EMISSIONS; ATLANTIC TIME-SERIES; SURFACE WIND-SPEED; NORTH-ATLANTIC</t>
  </si>
  <si>
    <t>Why a chapter on Perspectives and Integration in SOLAS Science in this book? SOLAS science by its nature deals with interactions that occur: across a wide spectrum of time and space scales, involve gases and particles, between the ocean and the atmosphere, across many disciplines including chemistry, biology, optics, physics, mathematics, computing, socio-economics and consequently interactions between many different scientists and across scientific generations. This chapter provides a guide through the remarkable diversity of cross-cutting approaches and tools in the gigantic puzzle of the SOLAS realm. Here we overview the existing prime components of atmospheric and oceanic observing systems, with the acquisition of ocean-atmosphere observables either from in situ or from satellites, the rich hierarchy of models to test our knowledge of Earth System functioning, and the tremendous efforts accomplished over the last decade within the COST Action 735 and SOLAS Integration project frameworks to understand, as best we can, the current physical and biogeochemical state of the atmosphere and ocean commons. A few SOLAS integrative studies illustrate the full meaning of interactions, paving the way for even tighter connections between thematic fields. Ultimately, SOLAS research will also develop with an enhanced consideration of societal demand while preserving fundamental research coherency. The exchange of energy, gases and particles across the air-sea interface is controlled by a variety of biological, chemical and physical processes that operate across broad spatial and temporal scales. These processes influence the composition, biogeochemical and chemical properties of both the oceanic and atmospheric boundary layers and ultimately shape the Earth system response to climate and environmental change, as detailed in the previous four chapters. In this crosscutting chapter we present some of the SOLAS achievements over the last decade in terms of integration, upscaling observational information from process-oriented studies and expeditionary research with key tools such as remote sensing and modelling. Here we do not pretend to encompass the entire legacy of SOLAS efforts but rather offer a selective view of some of the major integrative SOLAS studies that combined available pieces of the immense jigsaw puzzle. These include, for instance, COST efforts to build up global climatologies of SOLAS relevant parameters such as dimethyl sulphide, interconnection between volcanic ash and ecosystem response in the eastern subarctic North Pacific, optimal strategy to derive basin-scale CO2 uptake with good precision, or significant reduction of the uncertainties in sea-salt aerosol source functions. Predicting the future trajectory of Earth's climate and habitability is the main task ahead. Some possible routes for the SOLAS scientific community to reach this overarching goal conclude the chapter.</t>
  </si>
  <si>
    <t>[Garcon, Veronique C.] LEGOS, CNRS, F-31401 Toulouse 9, France; [Bell, Thomas G.] Plymouth Marine Lab, Plymouth PL1 3DH, Devon, England; [Bell, Thomas G.; Saltzman, Eric S.] Univ Calif Irvine, Dept Earth Syst Sci, Irvine, CA 92697 USA; [Bell, Thomas G.; Baker, Alex; Bakker, Dorothee C. E.; Liss, Peter S.; Rohekar, Shital S.] Univ East Anglia, Sch Environm Sci, Ctr Ocean &amp; Atmospher Sci, Norwich NR4 7TJ, Norfolk, England; [Wallace, Douglas; Fennel, Katja] Dalhousie Univ, Dept Oceanog, Halifax, NS B3H 4R2, Canada; [Arnold, Steve R.] Univ Leeds, Inst Climate &amp; Atmospher Sci, Sch Earth &amp; Environm, Leeds LS2 9JT, W Yorkshire, England; [Bange, Hermann W.; Olgun, Nazli; Quack, Birgit; Steinhoff, Tobias; Ziska, Franziska] GEOMAR Helmholtz Ctr Ocean Res Kiel, D-24105 Kiel, Germany; [Bates, Nicholas R.] Bermuda Inst Ocean Sci, St Georges GE01, Bermuda; [Bopp, Laurent] CNRS, LSCE, F-91191 Gif Sur Yvette, France; [Boutin, Jacqueline] Univ Paris 06, IRD, CNRS, LOCEAN, F-75252 Paris 05, France; [Boyd, Philip W.] Univ Tasmania, Inst Marine &amp; Antarctic Sci, Hobart, Tas 7005, Australia; [Bracher, Astrid] Alfred Wegener Inst Polar &amp; Marine Res, Bremerhaven, Germany; [Bracher, Astrid] Univ Bremen, Inst Environm Phys, Bremen, Germany; [Burrows, John P.; Schneising, Oliver] Univ Bremen, Inst Environm Phys &amp; Remote Sensing, D-28334 Bremen, Germany; [Carpenter, Lucy J.; Lee, James D.] Univ York, Dept Chem, York YO10 5DD, N Yorkshire, England; [de Leeuw, Gerrit] Finnish Meteorol Inst, Climate Change Unit, Helsinki, Finland; [de Leeuw, Gerrit] Univ Helsinki, Dept Phys, Helsinki, Finland; [de Leeuw, Gerrit] TNO, NL-3508 TA Utrecht, Netherlands; [Font, Jordi] CSIC, Inst Ciences Mar, Dept Phys Oceanog, E-08003 Barcelona, Spain; [Friedrich, Tobias] Univ Hawai, Sch Ocean &amp; Earth Sci &amp; Technol, Honolulu, HI 96822 USA; [Garbe, Christoph S.] Heidelberg Univ, IWR, D-69115 Heidelberg, Germany; [Gruber, Nicolas] Swiss Fed Inst Technol, Inst Biogeochem &amp; Pollutant Dynam, CH-8092 Zurich, Switzerland; [Jaegle, Lyatt] Univ Washington, Dept Atmospher Sci, Seattle, WA 98195 USA; [Lana, Arancha] IMEDEA CSIC, Dept Marine Technol Operat Oceanog &amp; Sustainabil, Balearic Isl 07190, Spain; [Liss, Peter S.] Texas A&amp;M Univ, Dept Oceanog, College Stn, TX 77843 USA; [Miller, Lisa A.] Fisheries &amp; Oceans Canada, Inst Ocean Sci, Sidney, BC V8L 4B2, Canada; [Olsen, Are] Univ Bergen, Inst Geophys, NO-5007 Bergen, Norway; [Olsen, Are; Pfeil, Benjamin] Univ Bergen, Bjerknes Ctr Climate Res, NO-5007 Bergen, Norway; [Read, Katie A.] Univ York, Natl Ctr Atmospher Sci NCAS, York YO10 5DD, N Yorkshire, England; [Reul, Nicolas] IFREMER, Ctr Mediterranee, Lab Oceanog Spatiale, F-83507 La Seyne Sur Mer, France; [Roedenbeck, Christian] Max Planck Inst Biogeochem, Jena, Germany; [Saiz-Lopez, Alfonso] CSIC, Inst Phys Chem Rocasolano, Madrid 28006, Spain; [Schuster, Ute] Univ Exeter, Coll Life &amp; Environm Sci, Hatherly Labs, Exeter EX4 4PS, Devon, England; [Seferian, Roland] ASTER, GMGEC, GAME, CNRM, Toulouse, France; [Seferian, Roland] LSCE, IPSL, Toulouse, France; [Le Traon, Pierre-Yves] IFREMER, Toulouse, France; [Le Traon, Pierre-Yves] Mercator Ocean, Toulouse, France</t>
  </si>
  <si>
    <t>Universite de Toulouse; Universite Toulouse III - Paul Sabatier; Centre National de la Recherche Scientifique (CNRS); Institut de Recherche pour le Developpement (IRD); Laboratoire d'Etudes en Geophysique et oceanographie spatiales; Plymouth Marine Laboratory; University of California System; University of California Irvine; University of East Anglia; Dalhousie University; University of Leeds; Helmholtz Association; GEOMAR Helmholtz Center for Ocean Research Kiel; Bermuda Institute of Ocean Sciences; Universite Paris Saclay; CEA; Centre National de la Recherche Scientifique (CNRS); Museum National d'Histoire Naturelle (MNHN); Sorbonne Universite; Institut de Recherche pour le Developpement (IRD); Centre National de la Recherche Scientifique (CNRS); University of Tasmania; Helmholtz Association; Alfred Wegener Institute, Helmholtz Centre for Polar &amp; Marine Research; University of Bremen; University of Bremen; University of York - UK; Finnish Meteorological Institute; University of Helsinki; Netherlands Organization Applied Science Research; Consejo Superior de Investigaciones Cientificas (CSIC); CSIC - Centro Mediterraneo de Investigaciones Marinas y Ambientales (CMIMA); CSIC - Instituto de Ciencias del Mar (ICM); Ruprecht Karls University Heidelberg; Swiss Federal Institutes of Technology Domain; ETH Zurich; University of Washington; University of Washington Seattle; Consejo Superior de Investigaciones Cientificas (CSIC); Texas A&amp;M University System; Texas A&amp;M University College Station; Fisheries &amp; Oceans Canada; University of Bergen; Bjerknes Centre for Climate Research; University of Bergen; University of York - UK; Ifremer; Max Planck Society; Consejo Superior de Investigaciones Cientificas (CSIC); CSIC - Instituto de Quimica Fisica Rocasolano (IQFR); University of Exeter; Universite Paris Cite; CEA; Centre National de la Recherche Scientifique (CNRS); Universite Paris Saclay; Ifremer</t>
  </si>
  <si>
    <t>Garçon, VC (corresponding author), LEGOS, CNRS, F-31401 Toulouse 9, France.</t>
  </si>
  <si>
    <t>veronique.garcon@legos.obs-mip.fr; tbe@pml.ac.uk; douglas.wallace@dal.ca; s.arnold@leeds.ac.uk; alex.baker@uea.ac.uk; d.bakker@uea.ac.uk; hbange@geomar.de; nick.bates@bios.edu; laurent.bopp@lsce.ipsl.fr; jb@locean-ipsl.upmc.fr; philip.boyd@utas.edu.au; astrid.bracher@awi.de; burrows@iup.physik.uni-bremen.de; lucy.carpenter@york.ac.uk; gerrit.leeuw@fmi.fi; katja.fennel@dal.ca; jfont@icm.csic.es; tobiasf@hawaii.edu; christoph.garbe@iwr.uni-heidelberg.de; nicolas.gruber@env.ethz.ch; jaegle@uw.edu; alana@imedea.uib-csic.es; james.lee@york.ac.uk; p.liss@uea.ac.uk; lisa.miller@dfo-mpo.gc.ca; nolgun@ifm-geomar.de; are.olsen@gfi.uib.no; benjamin.pfeil@gfi.uib.no; bquack@geomar.de; km519@york.ac.uk; nicolas.reul@ifremer.fr; christian.roedenbeck@bgc-jena.mpg.de; s.rohekar@uea.ac.uk; a.saiz@csic.es; eric.saltzman@uci.edu; oliver.schneising@iup.physik.uni-bremen.de; u.schuster@exeter.ac.uk; roland.seferian@lsce.ipsl.fr; tsteinhoff@geomar.de; pierre.yves.le.traon@ifremer.fr; fziska@geomar.de</t>
  </si>
  <si>
    <t>Jaegle, Lyatt/M-6536-2015; Burrows, John Philip/AAF-8468-2019; REUL, Nicolas/O-6581-2019; Bracher, Astrid/B-7805-2013; Séférian, Roland/ABD-5465-2021; lee, sooyoon/JEP-0415-2023; Gruber, Nicolas/B-7013-2009; Arnold, Steve R/B-8856-2014; Bracher, Astrid/I-2672-2013; Le Traon, Pierre Yves/G-9342-2016; LISS, Peter S./A-8219-2013; de Leeuw, Gerrit/AAI-3270-2020; Baker, Alex R/D-1233-2011; Bell, Tom/E-8488-2011; Carpenter, Lucy J/E-6742-2013; Saiz-Lopez, Alfonso/B-3759-2015; Friedrich, Tobias/D-1053-2013; Fennel, Katja/A-7470-2009; bopp, laurent/ABF-5302-2020; Lana, Arancha/ABH-6761-2020; Kıyak, Nazlı Olğun/L-1672-2018; reul, nicolas/C-4895-2009; Carpenter, Laura/JPY-0437-2023; Boyd, Philip/J-7624-2014; Bakker, Dorothee/E-4951-2015</t>
  </si>
  <si>
    <t>Burrows, John Philip/0000-0002-6821-5580; REUL, Nicolas/0000-0003-4881-2967; Séférian, Roland/0000-0002-2571-2114; Gruber, Nicolas/0000-0002-2085-2310; Bracher, Astrid/0000-0003-3025-5517; Le Traon, Pierre Yves/0000-0002-5484-3439; de Leeuw, Gerrit/0000-0002-1649-6333; Bell, Tom/0000-0002-4108-7048; Saiz-Lopez, Alfonso/0000-0002-0060-1581; bopp, laurent/0000-0003-4732-4953; Kıyak, Nazlı Olğun/0000-0002-9863-812X; reul, nicolas/0000-0003-4881-2967; Lee, James D/0000-0001-5397-2872; Arnold, Steve/0000-0002-4881-5685; Read, Katie/0000-0002-4044-455X; Schneising, Oliver/0000-0003-1725-8246; Lana, Arancha/0000-0002-4546-6993; Carpenter, Lucy/0000-0002-6257-3950; Baker, Alex/0000-0002-8365-8953; Boyd, Philip/0000-0001-7850-1911; Bakker, Dorothee/0000-0001-9234-5337</t>
  </si>
  <si>
    <t>NERC [pml010002] Funding Source: UKRI</t>
  </si>
  <si>
    <t>NERC(UK Research &amp; Innovation (UKRI)Natural Environment Research Council (NERC))</t>
  </si>
  <si>
    <t>10.1007/978-3-642-25643-1_5</t>
  </si>
  <si>
    <t>WOS:000460678000006</t>
  </si>
  <si>
    <t>Hunter, JR</t>
  </si>
  <si>
    <t>Hunter, J. R.</t>
  </si>
  <si>
    <t>Comment on Sea-level trend analysis for coastal management by A. Parker, M. Saad Saleem and M. Lawson</t>
  </si>
  <si>
    <t>OCEAN &amp; COASTAL MANAGEMENT</t>
  </si>
  <si>
    <t>Editorial Material</t>
  </si>
  <si>
    <t>A key conclusion of the article 'Sea-Level Trend Analysis for Coastal Management' (Parker et al., 2013) is that: Coastal management should consider sea level rises much smaller than those based on modelling activities presently considered in Australia as well as in the other parts of the world at least for the next 30 years. The projections by the relevant state bodies should therefore be revised considering lower bounds to future sea level scenarios the continuation of the trend measured up to the present point. Apart from the fact that the second sentence barely makes any sense, the authors provide nothing to support their claim that the models are incorrect; in fact most of what they say about models is demonstrably wrong. The two most obvious errors relating to models are indicated here. (C) 2013 Elsevier Ltd. All rights reserved.</t>
  </si>
  <si>
    <t>Antarctic Climate &amp; Ecosyst Cooperat Res Ctr, Hobart, Tas 7001, Australia</t>
  </si>
  <si>
    <t>Antarctic Climate &amp; Ecosystems Cooperative Research Centre (ACE CRC)</t>
  </si>
  <si>
    <t>Hunter, JR (corresponding author), Antarctic Climate &amp; Ecosyst Cooperat Res Ctr, Private Bag 80, Hobart, Tas 7001, Australia.</t>
  </si>
  <si>
    <t>jrh@johnroberthunter.org</t>
  </si>
  <si>
    <t>0964-5691</t>
  </si>
  <si>
    <t>1873-524X</t>
  </si>
  <si>
    <t>OCEAN COAST MANAGE</t>
  </si>
  <si>
    <t>Ocean Coastal Manage.</t>
  </si>
  <si>
    <t>10.1016/j.ocecoaman.2013.10.023</t>
  </si>
  <si>
    <t>Oceanography; Water Resources</t>
  </si>
  <si>
    <t>AA9LK</t>
  </si>
  <si>
    <t>WOS:000331414800013</t>
  </si>
  <si>
    <t>Bauch, D; Torres-Valdes, S; Polyakov, I; Novikhin, A; Dmitrenko, I; McKay, J; Mix, A</t>
  </si>
  <si>
    <t>Bauch, D.; Torres-Valdes, S.; Polyakov, I.; Novikhin, A.; Dmitrenko, I.; McKay, J.; Mix, A.</t>
  </si>
  <si>
    <t>Halocline water modification and along-slope advection at the Laptev Sea continental margin</t>
  </si>
  <si>
    <t>OCEAN SCIENCE</t>
  </si>
  <si>
    <t>ARCTIC-OCEAN; FRESH-WATER; ICE; SURFACE; SUMMER; SHELF; VARIABILITY; TRANSPORT; ATLANTIC; NUTRIENT</t>
  </si>
  <si>
    <t>A general pattern in water mass distribution and potential shelf-basin exchange is revealed at the Laptev Sea continental slope based on hydrochemical and stable oxygen isotope data from the summers 2005-2009. Despite considerable interannual variations, a frontal system can be inferred between shelf, continental slope and central Eurasian Basin waters in the upper 100 m of the water column along the continental slope. Net sea-ice melt is consistently found at the continental slope. However, the sea-ice meltwater signal is independent from the local retreat of the ice cover and appears to be advected from upwind locations. In addition to the along-slope frontal system at the continental shelf break, a strong gradient is identified on the Laptev Sea shelf between 122A degrees E and 126A degrees E with an eastward increase of riverine and sea-ice related brine water contents. These waters cross the shelf break at similar to 140A degrees E and feed the low-salinity halocline water (LSHW, salinity S &lt; 33) in the upper 50 m of the water column. High silicate concentrations in Laptev Sea bottom waters may lead to speculation about a link to the local silicate maximum found within the salinity range of similar to 33 to 34.5, typical for the Lower Halocline Water (LHW) at the continental slope. However brine signatures and nutrient ratios from the central Laptev Sea differ from those observed at the continental slope. Thus a significant contribution of Laptev Sea bottom waters to the LHW at the continental slope can be excluded. The silicate maximum within the LHW at the continental slope may be formed locally or at the outer Laptev Sea shelf. Similar to the advection of the sea-ice melt signal along the Laptev Sea continental slope, the nutrient signal at 50-70 m water depth within the LHW might also be fed by advection parallel to the slope. Thus, our analyses suggest that advective processes from upstream locations play a significant role in the halocline formation in the northern Laptev Sea.</t>
  </si>
  <si>
    <t>[Bauch, D.] GEOMAR Helmholtz Ctr Ocean Res Kiel, D-24148 Kiel, Germany; [Torres-Valdes, S.] Natl Oceanog Ctr NOC, Southampton SO14 3ZH, Hants, England; [Polyakov, I.] Univ Alaska Fairbanks, Int Arctic Res Ctr, Fairbanks, AK USA; [Polyakov, I.] Univ Alaska Fairbanks, Coll Nat Sci &amp; Math, Fairbanks, AK USA; [Novikhin, A.] Arctic &amp; Antarctic Res Inst, St Petersburg 199226, Russia; [Dmitrenko, I.] Univ Manitoba, Ctr Earth Observat Sci, Winnipeg, MB, Canada; [McKay, J.; Mix, A.] Oregon State Univ, Coll Earth Ocean &amp; Atmospher Sci, Corvallis, OR 97331 USA</t>
  </si>
  <si>
    <t>Helmholtz Association; GEOMAR Helmholtz Center for Ocean Research Kiel; NERC National Oceanography Centre; University of Alaska System; University of Alaska Fairbanks; University of Alaska System; University of Alaska Fairbanks; Arctic &amp; Antarctic Research Institute; University of Manitoba; Oregon State University</t>
  </si>
  <si>
    <t>Bauch, D (corresponding author), GEOMAR Helmholtz Ctr Ocean Res Kiel, Wischhofstr 1-3, D-24148 Kiel, Germany.</t>
  </si>
  <si>
    <t>dbauch@geomar.de</t>
  </si>
  <si>
    <t>Torres Valdés, Sinhué/A-1435-2013; Torres-Valdés, Sinhué/O-6436-2019; Novikhin, Andrey/J-6005-2016</t>
  </si>
  <si>
    <t>Torres Valdés, Sinhué/0000-0003-2749-4170; Torres-Valdés, Sinhué/0000-0003-2749-4170; Dmitrenko, Igor/0000-0001-8388-7839</t>
  </si>
  <si>
    <t>Natural Environment Research Council (UK); German Research Foundation [SP 526/3, BA 1689/2-1, 03G0639D]; BMBF within the German-Russian cooperation Laptev Sea System [03G0639A]; Federal Ministry of Education and Research project Otto-Schmidt-Laboratory for Polar and Marine Sciences; NSF; CIFAR; JAXA; JAMSTERC; Canadian Excellence Research Chair (CERC) program; Natural Environment Research Council [noc010009] Funding Source: researchfish; Office of Polar Programs (OPP); Directorate For Geosciences [1203473] Funding Source: National Science Foundation; NERC [noc010009] Funding Source: UKRI</t>
  </si>
  <si>
    <t>Natural Environment Research Council (UK)(UK Research &amp; Innovation (UKRI)Natural Environment Research Council (NERC)); German Research Foundation(German Research Foundation (DFG)); BMBF within the German-Russian cooperation Laptev Sea System(Federal Ministry of Education &amp; Research (BMBF)); Federal Ministry of Education and Research project Otto-Schmidt-Laboratory for Polar and Marine Sciences; NSF(National Science Foundation (NSF)); CIFAR(Canadian Institute for Advanced Research (CIFAR)); JAXA; JAMSTERC; Canadian Excellence Research Chair (CERC) program; Natural Environment Research Council(UK Research &amp; Innovation (UKRI)Natural Environment Research Council (NERC)); Office of Polar Programs (OPP); Directorate For Geosciences(National Science Foundation (NSF)NSF - Directorate for Geosciences (GEO)); NERC(UK Research &amp; Innovation (UKRI)Natural Environment Research Council (NERC))</t>
  </si>
  <si>
    <t>We thank all members of the NABOS project for exceptional working conditions and extensive support during expeditions. Nutrient data from NABOS expedition in 2009 were provided under the lead of P. Makkakeev (Shirshov Institute, Moscow). Nutrient data in 2007 and 2008 were taken as part of the Natural Environment Research Council (UK) funded Arctic Synoptic Basin-wide Oceanography (ASBO) IPY consortium grant. D. Bauch acknowledges funds from the German Research Foundation grants SP 526/3 and BA 1689/2-1 as well as grant 03G0639D funded by the BMBF within the German-Russian cooperation Laptev Sea System. A. Novikhin acknowledges funding through the Federal Ministry of Education and Research project Otto-Schmidt-Laboratory for Polar and Marine Sciences. I. Polyakov thanks NSF, CIFAR, JAXA and JAMSTERC for support. I. Dmitrenko received financial support from the Canadian Excellence Research Chair (CERC) program and also by the BMBF within the German-Russian cooperation Laptev Sea System under grant 03G0639A. We thank all colleagues of these projects. Plots were made with Ocean Data View (ODV) (Schlitzer, 2001) and Generic Mapping Tools (GMT) software (Wessel and Smith, 1998). Reviews by R. Newton and P. Schlosser are gratefully acknowledged.</t>
  </si>
  <si>
    <t>1812-0784</t>
  </si>
  <si>
    <t>OCEAN SCI</t>
  </si>
  <si>
    <t>Ocean Sci.</t>
  </si>
  <si>
    <t>10.5194/os-10-141-2014</t>
  </si>
  <si>
    <t>Meteorology &amp; Atmospheric Sciences; Oceanography</t>
  </si>
  <si>
    <t>AC2GB</t>
  </si>
  <si>
    <t>WOS:000332316200011</t>
  </si>
  <si>
    <t>Sgubin, G; Pierini, S; Dijkstra, HA</t>
  </si>
  <si>
    <t>Sgubin, G.; Pierini, S.; Dijkstra, H. A.</t>
  </si>
  <si>
    <t>Intrinsic variability of the Antarctic Circumpolar Current system: low-and high-frequency fluctuations of the Argentine Basin flow</t>
  </si>
  <si>
    <t>KUROSHIO EXTENSION BIMODALITY; MULTIPLE OSCILLATORY MODES; PRIMITIVE EQUATION MODEL; LARGE-SCALE OSCILLATIONS; DOUBLE-GYRE MODEL; OCEAN CIRCULATION; SOUTH-ATLANTIC; MULTIDECADAL VARIABILITY; COHERENCE RESONANCE; AGULHAS CURRENT</t>
  </si>
  <si>
    <t>In this paper, the variability of the Antarctic Circumpolar Current system produced by purely intrinsic nonlinear oceanic mechanisms is studied through a sigma-coordinate ocean model, implemented in a large portion of the Southern Ocean at an eddy-permitting resolution under steady surface heat and momentum fluxes. The mean transport through the Drake Passage and the structure of the main Antarctic Circumpolar Current fronts are well reproduced by the model. Intrinsic variability is found to be particularly intense in the Subantarctic Front and in the Argentine Basin, on which further analysis is focused. The low-frequency variability at interannual timescales is related to bimodal behavior of the Zapiola Anticyclone, with transitions between a strong and collapsed anticyclonic circulation in substantial agreement with altimeter observations. Variability on smaller timescales shows clear evidence of topographic Rossby-wave propagation along the eastern and southern flanks of the Zapiola Rise and of mesoscale eddies, also in agreement with altimeter observations. The analysis of the relationship between the low- and high-frequency variability suggests possible mechanisms of mutual interaction.</t>
  </si>
  <si>
    <t>[Sgubin, G.] IPSL, Paris, France; [Pierini, S.] Univ Napoli Parthenope, Dipartimento Sci &amp; Tecnol, Ctr Direz, I-80143 Naples, Italy; [Dijkstra, H. A.] Univ Utrecht, Inst Marine &amp; Atmospher Res Utrecht, Utrecht, Netherlands</t>
  </si>
  <si>
    <t>Universite Paris Cite; Parthenope University Naples; Utrecht University</t>
  </si>
  <si>
    <t>Pierini, S (corresponding author), Univ Napoli Parthenope, Dipartimento Sci &amp; Tecnol, Ctr Direz, Isola C4, I-80143 Naples, Italy.</t>
  </si>
  <si>
    <t>stefano.pierini@uniparthenope.it</t>
  </si>
  <si>
    <t>Dijkstra, Henk A./H-2559-2016</t>
  </si>
  <si>
    <t>Pierini, Stefano/0000-0002-8831-0999</t>
  </si>
  <si>
    <t>MATH-ACC Project; Netherlands Organization for Scientific Research (NWO); Programma Nazionale di Ricerche in Antartide.Italian (PNRA) [2010/A2.11-2753]</t>
  </si>
  <si>
    <t>MATH-ACC Project; Netherlands Organization for Scientific Research (NWO)(Netherlands Organization for Scientific Research (NWO)); Programma Nazionale di Ricerche in Antartide.Italian (PNRA)</t>
  </si>
  <si>
    <t>This research was supported by the MATH-ACC Project funded by the Italian Programma Nazionale di Ricerche in Antartide (PNRA contract no. 2010/A2.11-2753). The work of H. A. Dijkstra was also sponsored by the COMPLEXITY Project PreKurs funded by the Netherlands Organization for Scientific Research (NWO). We would like to thank two anonymous reviewers, whose detailed comments helped improve the manuscript.</t>
  </si>
  <si>
    <t>10.5194/os-10-201-2014</t>
  </si>
  <si>
    <t>AG4GF</t>
  </si>
  <si>
    <t>WOS:000335376700004</t>
  </si>
  <si>
    <t>Hughes, CW; Williams, J; Coward, AC; de Cuevas, BA</t>
  </si>
  <si>
    <t>Hughes, C. W.; Williams, Joanne; Coward, A. C.; de Cuevas, B. A.</t>
  </si>
  <si>
    <t>Antarctic circumpolar transport and the southern mode: a model investigation of interannual to decadal timescales</t>
  </si>
  <si>
    <t>DRAKE PASSAGE; SEA-LEVEL; OCEAN; FLUCTUATIONS; VARIABILITY; ADJUSTMENT</t>
  </si>
  <si>
    <t>It is well-established that, at periods shorter than a year, variations in Antarctic circumpolar transport are reflected in a barotropic mode, known as the southern mode, in which sea level and bottom pressure varies coherently around Antarctica. Here, we use two multidecadal ocean model runs to investigate the behaviour of the southern mode at timescales on which density changes become important, leading to a baroclinic component to the adjustment. We find that the concept of a southern mode in bottom pressure remains valid, and remains a direct measure of the circumpolar transport, with changes at the northern boundary playing only a small role even on decadal timescales. However, at periods longer than about 5 years, density changes start to play a role, leading to a surface intensification of the vertical profile of the transport. We also find that barotropic currents on the continental slope account for a significant fraction of the variability, and produce surface intensification in the meridional-integral flow. Circumpolar sea level and transport are related at all investigated timescales. However, the role of density variations results in a ratio of sea level change to transport which becomes larger at longer timescales. This means that any long-term transport monitoring strategy based on present measurement systems must involve multiplying the observed quantity by a factor which depends on frequency.</t>
  </si>
  <si>
    <t>[Hughes, C. W.] Univ Liverpool, Sch Environm Sci, Liverpool L69 3BX, Merseyside, England; [Hughes, C. W.; Williams, Joanne] Natl Oceanog Ctr, Liverpool, Merseyside, England; [Coward, A. C.; de Cuevas, B. A.] Natl Oceanog Ctr, Southampton, Hants, England</t>
  </si>
  <si>
    <t>University of Liverpool; NERC National Oceanography Centre; NERC National Oceanography Centre</t>
  </si>
  <si>
    <t>Hughes, CW (corresponding author), Univ Liverpool, Sch Environm Sci, Liverpool L69 3BX, Merseyside, England.</t>
  </si>
  <si>
    <t>cwh@liv.ac.uk</t>
  </si>
  <si>
    <t>Hughes, Chris W/A-3791-2010; Williams, Joanne/D-2464-2013; Hughes, Chris/GQP-7479-2022</t>
  </si>
  <si>
    <t>Hughes, Chris W/0000-0002-9355-0233; Williams, Joanne/0000-0002-8421-4481;</t>
  </si>
  <si>
    <t>NERC [NE/H019812/1, NE/I023384/1]; Office of Science and Technology through EPSRC's; NERC's High End Computing Programme; Natural Environment Research Council [NE/H019812/1, noc010010, noc010012, NE/I023384/1] Funding Source: researchfish; NERC [NE/I023384/1, NE/H019812/1, noc010010] Funding Source: UKRI</t>
  </si>
  <si>
    <t>NERC(UK Research &amp; Innovation (UKRI)Natural Environment Research Council (NERC)); Office of Science and Technology through EPSRC's(UK Research &amp; Innovation (UKRI)Engineering &amp; Physical Sciences Research Council (EPSRC)); NERC's High End Computing Programme; Natural Environment Research Council(UK Research &amp; Innovation (UKRI)Natural Environment Research Council (NERC)); NERC(UK Research &amp; Innovation (UKRI)Natural Environment Research Council (NERC))</t>
  </si>
  <si>
    <t>This work was funded by NERC, partly as a contribution to NOC National Capability science, and partly by grants NE/H019812/1 and NE/I023384/1. The model simulations analysed in this work made use of the facilities of HECToR, the UK's national high-performance computing service, which is provided by UoE HPCx Ltd at the University of Edinburgh, Cray Inc. and NAG Ltd, and funded by the Office of Science and Technology through EPSRC's and NERC's High End Computing Programme. Thanks to Wilbert Weijer and an anonymous reviewer, whose comments and suggestions have improved this paper.</t>
  </si>
  <si>
    <t>10.5194/os-10-215-2014</t>
  </si>
  <si>
    <t>WOS:000335376700005</t>
  </si>
  <si>
    <t>Gwyther, DE; Galton-Fenzi, BK; Hunter, JR; Roberts, JL</t>
  </si>
  <si>
    <t>Gwyther, D. E.; Galton-Fenzi, B. K.; Hunter, J. R.; Roberts, J. L.</t>
  </si>
  <si>
    <t>Simulated melt rates for the Totten and Dalton ice shelves</t>
  </si>
  <si>
    <t>CIRCUMPOLAR DEEP-WATER; PINE ISLAND GLACIER; MASS-BALANCE; CIRCULATION; VARIABILITY; SLOPE; ANTARCTICA; DYNAMICS; EXCHANGE; SURFACE</t>
  </si>
  <si>
    <t>The Totten Glacier is rapidly losing mass. It has been suggested that this mass loss is driven by changes in oceanic forcing; however, the details of the ice-ocean interaction are unknown. Here we present results from an ice shelf-ocean model of the region that includes the Totten, Dalton and Moscow University ice shelves, based on the Regional Oceanic Modeling System for the period 1992-2007. Simulated area-averaged basal melt rates (net basal mass loss) for the Totten and Dalton ice shelves are 9.1m ice yr(-1) (44.5 Gt ice yr(-1)) and 10.1m ice yr(-1) (46.6 Gt ice yr(-1)), respectively. The melting of the ice shelves varies strongly on seasonal and interannual timescales. Basal melting (mass loss) from the Totten ice shelf spans a range of 5.7m ice yr(-1) (28 Gt ice yr(-1)) on interannual timescales and 3.4m ice yr-1 (17 Gt ice yr(-1)) on seasonal timescales. This study links basal melt of the Totten and Dalton ice shelves to warm water intrusions across the continental shelf break and atmosphere-ocean heat exchange. Totten ice shelf melting is high when the nearby Dalton polynya interannual strength is below average, and vice versa. Melting of the Dalton ice shelf is primarily controlled by the strength of warm water intrusions across the Dalton rise and into the ice shelf cavity. During periods of strong westward coastal current flow, Dalton melt water flows directly under the Totten ice shelf further reducing melting. This is the first such modelling study of this region to provide a valuable framework for directing future observational and modelling efforts.</t>
  </si>
  <si>
    <t>[Gwyther, D. E.] Univ Tasmania, Inst Marine &amp; Antarctic Studies, Hobart, Tas 7001, Australia; [Gwyther, D. E.; Galton-Fenzi, B. K.; Hunter, J. R.; Roberts, J. L.] Univ Tasmania, Antarctic Climate &amp; Ecosyst Cooperat Res Ctr, Hobart, Tas 7001, Australia; [Galton-Fenzi, B. K.; Roberts, J. L.] Australian Antarctic Div, Kingston, Tas 7050, Australia</t>
  </si>
  <si>
    <t>University of Tasmania; University of Tasmania; Antarctic Climate &amp; Ecosystems Cooperative Research Centre (ACE CRC); Australian Antarctic Division</t>
  </si>
  <si>
    <t>Gwyther, DE (corresponding author), Univ Tasmania, Inst Marine &amp; Antarctic Studies, Private Bag 129, Hobart, Tas 7001, Australia.</t>
  </si>
  <si>
    <t>david.gwyther@gmail.com</t>
  </si>
  <si>
    <t>Gwyther, David E/Q-2987-2018; Gwyther, David E/O-4880-2017; Roberts, Jason L/B-2235-2012</t>
  </si>
  <si>
    <t>Gwyther, David E/0000-0002-7218-2785; Gwyther, David E/0000-0002-7218-2785; Roberts, Jason L/0000-0002-3477-4069; Galton-Fenzi, Benjamin Keith/0000-0003-1404-4103</t>
  </si>
  <si>
    <t>Antarctic Climate &amp; Ecosystems Cooperative Research Centre; CSIRO; UTAS; National Computational Infrastructure [m68]</t>
  </si>
  <si>
    <t>Antarctic Climate &amp; Ecosystems Cooperative Research Centre(Australian GovernmentDepartment of Industry, Innovation and ScienceCooperative Research Centres (CRC) Programme); CSIRO(Commonwealth Scientific &amp; Industrial Research Organisation (CSIRO)); UTAS; National Computational Infrastructure</t>
  </si>
  <si>
    <t>This work was supported by the Australian Government's Cooperative Research Centre Programme through the Antarctic Climate &amp; Ecosystems Cooperative Research Centre. David Gwyther is supported by the CSIRO and UTAS through the Quantitative Marine Science PhD program.; David Gwyther wishes to acknowledge and thank the helpful comments and suggestions given by Ben Caspani. Early guidance with analysis was provided by Guy Williams. We also thank the two reviewers for their thorough review of the manuscript. Computing resources were provided by both the Tasmanian Partnership for Advanced Computing and the National Computational Infrastructure under grant m68.</t>
  </si>
  <si>
    <t>10.5194/os-10-267-2014</t>
  </si>
  <si>
    <t>AK8BI</t>
  </si>
  <si>
    <t>WOS:000338651700001</t>
  </si>
  <si>
    <t>Howard, T; Pardaens, AK; Bamber, JL; Ridley, J; Spada, G; Hurkmans, RTWL; Lowe, JA; Vaughan, D</t>
  </si>
  <si>
    <t>Howard, T.; Pardaens, A. K.; Bamber, J. L.; Ridley, J.; Spada, G.; Hurkmans, R. T. W. L.; Lowe, J. A.; Vaughan, D.</t>
  </si>
  <si>
    <t>Sources of 21st century regional sea-level rise along the coast of northwest Europe</t>
  </si>
  <si>
    <t>STORM-SURGE CLIMATE; GREENLAND ICE-SHEET; ENSEMBLE; MODEL; EXTREMES; SURFACE; TRENDS; WATERS; WIND</t>
  </si>
  <si>
    <t>Changes in both global and regional mean sea level, and changes in the magnitude of extreme flood heights, are the result of a combination of several distinct contributions most, but not all, of which are associated with climate change. These contributions include effects in the solid earth, gravity field, changes in ocean mass due to ice loss from ice sheets and glaciers, thermal expansion, alterations in ocean circulation driven by climate change and changing freshwater fluxes, and the intensity of storm surges. Due to the diverse range of models required to simulate these systems, the contributions to sea-level change have usually been discussed in isolation rather than in one self-consistent assessment. Focusing on the coastline of northwest Europe, we consider all the processes mentioned above and their relative impact on 21st century regional mean sea levels and the 50-year return flood height. As far as possible our projections of change are derived from process-based models forced by the A1B emissions scenario to provide a self-consistent comparison of the contributions. We address uncertainty by considering both a mid-range and an illustrative high-end combination of the different components. For our mid-range ice loss scenario we find that thermal expansion of seawater is the dominant contributor to change in northwest European sea level by 2100. However, the projected contribution to extreme sea level, due to changes in storminess alone, is in some places significant and comparable to the global mean contribution of thermal expansion. For example, under the A1B emissions scenario, by 2100, change in storminess contributes around 15 cm to the increase in projected height of the 50-year storm surge on the west coast of the Jutland Peninsula, compared with a contribution of around 22 cm due to thermal expansion and a total of 58 cm from all of the contributions we consider. An illustrative combination of our high-end projections suggests increases in the 50-year return level of 86 cm at Sheerness, 95 cm at Roscoff, 106 cm at Esbjerg, and 67cm at Bergen. The notable regional differences between these locations arise primarily from differences in the rates of vertical land movement and changes in storminess.</t>
  </si>
  <si>
    <t>[Howard, T.; Pardaens, A. K.; Ridley, J.; Lowe, J. A.] Met Off Hadley Ctr, Exeter EX1 3PB, Devon, England; [Bamber, J. L.; Hurkmans, R. T. W. L.] Univ Bristol, Bristol Glaciol Ctr, Sch Geog Sci, Bristol BS8 1SS, Avon, England; [Spada, G.] Urbino Univ Carlo Bo, Dipartimento Sci Base &amp; Fondamenti, I-61029 Urbino, PU, Italy; [Vaughan, D.] British Antarctic Survey, Cambridge CB3 0ET, England</t>
  </si>
  <si>
    <t>Met Office - UK; Hadley Centre; University of Bristol; University of Urbino; UK Research &amp; Innovation (UKRI); Natural Environment Research Council (NERC); NERC British Antarctic Survey</t>
  </si>
  <si>
    <t>Howard, T (corresponding author), Met Off Hadley Ctr, FitzRoy Rd, Exeter EX1 3PB, Devon, England.</t>
  </si>
  <si>
    <t>tom.howard@metoffice.gov.uk</t>
  </si>
  <si>
    <t>Vaughan, David/C-8348-2011; Lowe, Jason/GQI-4036-2022; Bamber, Jonathan/C-7608-2011</t>
  </si>
  <si>
    <t>Bamber, Jonathan/0000-0002-2280-2819; Spada, Giorgio/0000-0001-7615-4709; Vaughan, David/0000-0002-9065-0570</t>
  </si>
  <si>
    <t>European Union [226375]; Ice2sea [164]; Joint UK DECC/Defra Met Office Hadley Centre Climate Programme [GA01101]; NERC [bas0100027] Funding Source: UKRI; Natural Environment Research Council [bas0100027] Funding Source: researchfish</t>
  </si>
  <si>
    <t>European Union(European Union (EU)); Ice2sea; Joint UK DECC/Defra Met Office Hadley Centre Climate Programme; NERC(UK Research &amp; Innovation (UKRI)Natural Environment Research Council (NERC)); Natural Environment Research Council(UK Research &amp; Innovation (UKRI)Natural Environment Research Council (NERC))</t>
  </si>
  <si>
    <t>This work was supported by funding from the ice2sea programme from the European Union 7th Framework Programme, grant number 226375. Ice2sea contribution number #164. This work was also supported by the Joint UK DECC/Defra Met Office Hadley Centre Climate Programme (GA01101). We acknowledge the significant contribution made by Kevin Horsburgh and his colleagues at the National Oceanography Centre. We thank the two anonymous reviewers whose comments helped to improve this paper.</t>
  </si>
  <si>
    <t>1812-0792</t>
  </si>
  <si>
    <t>10.5194/os-10-473-2014</t>
  </si>
  <si>
    <t>WOS:000338651700012</t>
  </si>
  <si>
    <t>Dotto, TS; Kerr, R; Mata, MM; Azaneu, M; Wainer, I; Fahrbach, E; Rohardt, G</t>
  </si>
  <si>
    <t>Dotto, T. S.; Kerr, R.; Mata, M. M.; Azaneu, M.; Wainer, I.; Fahrbach, E.; Rohardt, G.</t>
  </si>
  <si>
    <t>Assessment of the structure and variability of Weddell Sea water masses in distinct ocean reanalysis products</t>
  </si>
  <si>
    <t>ANTARCTIC BOTTOM WATER; DEEP-WATER; SOUTHERN-OCEAN; ICE-SHELF; CIRCULATION; MODEL; FLOW; ABYSSAL; HEAT; GYRE</t>
  </si>
  <si>
    <t>We assessed and evaluated the performance of five ocean reanalysis products in reproducing essential hydrographic properties and their associated temporal variability for the Weddell Sea, Antarctica. The products used in this assessment were ECMWF ORAS4 (European Centre for Medium-Range Weather Forecasts Ocean Reanalysis System 4), CFSR (Climate Forecast System Reanalysis), My-Ocean UR025.4 (University of Reading), ECCO2 (Estimating the Circulation and Climate of the Ocean, Phase II) and SODA (Simple Ocean Data Assimilation). The present study focuses on the Weddell Sea deep layer, which is composed of the following three main water masses: Warm Deep Water (WDW), Weddell Sea Deep Water (WSDW) and Weddell Sea Bottom Water (WSBW). The My Ocean UR025.4 product provided the most accurate representation of the structure and thermohaline properties of the Weddell Sea water masses when compared with observations. All the ocean reanalysis products analyzed exhibited limited capabilities in representing the surface water masses in the Weddell Sea. The CFSR and ECCO2 products were not able to represent deep water masses with a neutral density &gt;= 28.40 kgm(-3), which was considered the WSBW's upper limit throughout the simulation period. The expected WDW warming was only reproduced by the SODA product, whereas the ECCO2 product was able to represent the trends in the WSDW's hydrographic properties. All the assessed ocean reanalyses were able to represent the decrease in the WSBW's density, except the SODA product in the inner Weddell Sea. Improvements in parameterization may have as much impact on the reanalyses assessed as improvements in horizontal resolution primarily because the Southern Ocean lacks in situ data, and the data that are currently available are summer-biased. The choice of the reanalysis product should be made carefully, taking into account the performance, the parameters of interest, and the type of physical processes to be evaluated.</t>
  </si>
  <si>
    <t>[Dotto, T. S.; Kerr, R.; Mata, M. M.; Azaneu, M.] Univ Fed Rio Grande FURG, Inst Oceanog, Lab Estudos Oceanos &amp; Clima, BR-96203900 Rio Grande, RS, Brazil; [Wainer, I.] Univ Sao Paulo, Inst Oceanog, Lab Oceanog Fis Clima &amp; Criosfera, BR-05508120 Sao Paulo, Brazil; [Fahrbach, E.; Rohardt, G.] Fachbereich Klimawissensch, Helmholtz Gemeinsch, Stiftung Alfred Wegener Inst Polar &amp; Meeresforsch, D-120121 Bremerhaven, Germany</t>
  </si>
  <si>
    <t>Universidade Federal do Rio Grande; Universidade de Sao Paulo; Helmholtz Association; Alfred Wegener Institute, Helmholtz Centre for Polar &amp; Marine Research</t>
  </si>
  <si>
    <t>Dotto, TS (corresponding author), Univ Fed Rio Grande FURG, Inst Oceanog, Lab Estudos Oceanos &amp; Clima, BR-96203900 Rio Grande, RS, Brazil.</t>
  </si>
  <si>
    <t>tiagodotto@furg.br</t>
  </si>
  <si>
    <t>Kerr, Rodrigo/I-2494-2012; WAINER, ILANA/B-4540-2011; Mata, Mauricio/H-4605-2011</t>
  </si>
  <si>
    <t>Kerr, Rodrigo/0000-0002-2632-3137; WAINER, ILANA/0000-0003-3784-623X; do Valle Chagas Azaneu, Marina/0000-0002-7538-3056; Segabinazzi Dotto, Tiago/0000-0003-0565-6941; Mata, Mauricio/0000-0002-9028-8284</t>
  </si>
  <si>
    <t>CAPES Foundation; Brazilian National Institute of Science and Technology of Cryosphere (INCT-CRIOSFERA)</t>
  </si>
  <si>
    <t>CAPES Foundation(Coordenacao de Aperfeicoamento de Pessoal de Nivel Superior (CAPES)); Brazilian National Institute of Science and Technology of Cryosphere (INCT-CRIOSFERA)</t>
  </si>
  <si>
    <t>We thank the research groups involved in each ocean reanalysis system for making their simulations freely available. ECMWF ORAS4 was provided by ECMWF (http://www. ecmwf. int/); CFSR was provided by the Environmental Modeling Center, National Centers for Environmental Prediction, National Weather Service, NOAA, US Department of Commerce from its website http://rda. ucar. edu/datasets/ds093.2; MyOcean UR025.4 was provided by MyOcean Products from its website http://www. myocean. eu/; ECCO2 was provided by the ECCO2/MAP/NASA (http://ecco2. jpl. nasa. gov/); and SODA was provided from the SODA program (http://www. atmos. umd. edu/~ ocean/). T. S. Dotto and M. Azaneu acknowledge financial support from the CAPES Foundation. This study is a contribution to the activities of the Brazilian High Latitudes Oceanography Group (GOAL; www. goal. furg. br) and the Brazilian National Institute of Science and Technology of Cryosphere (INCT-CRIOSFERA; 573720/2008-8). GOAL has been funded by the Brazilian Antarctic Program (PROANTAR), the Brazilian Ministry of the Environment (MMA), the Brazilian Ministry of Science, Technology and Innovation (MCTI), the Council for Research and Scientific Development of Brazil (CNPq grants no. 520189/2006-0; 556848/2009-8), and grant 2013/02111-4 from the Sao Paulo Research Foundation (FAPESP). We acknowledge two anonymous reviewers for their constructive comments, which greatly improved the manuscript. This work is dedicated to the memory of Eberhard Fahrbach, who died on 21 April 2013. Without his vision and efforts, this most valuable data set of theWeddell Sea covering more than two decades would not exist.</t>
  </si>
  <si>
    <t>10.5194/os-10-523-2014</t>
  </si>
  <si>
    <t>Green Accepted, gold, Green Published, Green Submitted</t>
  </si>
  <si>
    <t>WOS:000338651700016</t>
  </si>
  <si>
    <t>von Schuckmann, K; Sallée, JB; Chambers, D; Le Traon, PY; Cabanes, C; Gaillard, F; Speich, S; Hamon, M</t>
  </si>
  <si>
    <t>von Schuckmann, K.; Sallee, J. -B.; Chambers, D.; Le Traon, P. -Y.; Cabanes, C.; Gaillard, F.; Speich, S.; Hamon, M.</t>
  </si>
  <si>
    <t>Consistency of the current global ocean observing systems from an Argo perspective</t>
  </si>
  <si>
    <t>MEAN SEA-LEVEL; ANTARCTIC CIRCUMPOLAR CURRENT; HEAT; SURFACE; GRACE; RISE; VARIABILITY; PRESSURE; BUDGET; MODEL</t>
  </si>
  <si>
    <t>Variations in the world's ocean heat storage and its associated volume changes are a key factor to gauge global warming and to assess the earth's energy and sea level budget. Estimating global ocean heat content (GOHC) and global steric sea level (GSSL) with temperature/salinity data from the Argo network reveals a positive change of 0.5 +/- 0.1 W m(-2) (applied to the surface area of the ocean) and 0.5 +/- 0.1 mm year(-1) during the years 2005 to 2012, averaged between 60 degrees S and 60 degrees N and the 10-1500m depth layer. In this study, we present an intercomparison of three global ocean observing systems: the Argo network, satellite gravimetry from GRACE and satellite altimetry. Their consistency is investigated from an Argo perspective at global and regional scales during the period 2005-2010. Although we can close the recent global ocean sea level budget within uncertainties, sampling inconsistencies need to be corrected for an accurate global budget due to systematic biases in GOHC and GSSL in the Tropical Ocean. Our findings show that the area around the Tropical Asian Archipelago (TAA) is important to closing the global sea level budget on interannual to decadal timescales, pointing out that the steric estimate from Argo is biased low, as the current mapping methods are insufficient to recover the steric signal in the TAA region. Both the large regional variability and the uncertainties in the current observing system prevent us from extracting indirect information regarding deep-ocean changes. This emphasizes the importance of continuing sustained effort in measuring the deep ocean from ship platforms and by beginning a much needed automated deep-Argo network.</t>
  </si>
  <si>
    <t>[von Schuckmann, K.] Aix Marseille Univ, Univ Toulon, CNRS, IRD,MIO UM 110, La Garde, France; [Sallee, J. -B.] Univ Paris 06, Sorbonne Univ, LOCEAN, IRD CNRS MNHN, Paris, France; [Chambers, D.] Univ S Florida, Coll Marine Sci, St Petersburg, FL 33701 USA; [Le Traon, P. -Y.] Mercator Ocean &amp; Ifremer, St Agne, France; [Cabanes, C.] DT INSU, CNRS, Plouzane, France; [Gaillard, F.] Ifremer, Brest, France; [Speich, S.] UBO, Brest, France; [Hamon, M.] Mercator Ocean, St Anne, France</t>
  </si>
  <si>
    <t>Institut de Recherche pour le Developpement (IRD); Aix-Marseille Universite; Centre National de la Recherche Scientifique (CNRS); Museum National d'Histoire Naturelle (MNHN); Sorbonne Universite; State University System of Florida; University of South Florida; Centre National de la Recherche Scientifique (CNRS); Universite de Bretagne Occidentale; Ifremer; Universite de Bretagne Occidentale</t>
  </si>
  <si>
    <t>von Schuckmann, K (corresponding author), Aix Marseille Univ, Univ Toulon, CNRS, IRD,MIO UM 110, La Garde, France.</t>
  </si>
  <si>
    <t>karina.von-schuckmann@univ-tln.fr</t>
  </si>
  <si>
    <t>Le Traon, Pierre Yves/G-9342-2016; von Schuckmann, Karina/AAZ-8897-2021; SALLEE, Jean baptiste/HDO-5355-2022; Speich, Sabrina/L-3780-2014; SALLEE, Jean baptiste/A-5837-2010; Gaillard, Fabienne/K-4236-2012</t>
  </si>
  <si>
    <t>Le Traon, Pierre Yves/0000-0002-5484-3439; von Schuckmann, Karina/0000-0002-9922-8528; Speich, Sabrina/0000-0002-5452-8287; Cabanes, Cecile/0000-0003-3873-5259; SALLEE, Jean baptiste/0000-0002-6109-5176; Chambers, Don/0000-0002-5439-0257; Gaillard, Fabienne/0000-0002-9466-8268</t>
  </si>
  <si>
    <t>European Community [283367 (MyOcean2)]; French Lefe/GMMC research programme; NASA [NNX12AL28G]; French ANR grant Exciting [ANR-12-PDOC-0001]; NERC [bas0100028] Funding Source: UKRI; Natural Environment Research Council [bas0100028] Funding Source: researchfish; Agence Nationale de la Recherche (ANR) [ANR-12-PDOC-0001] Funding Source: Agence Nationale de la Recherche (ANR)</t>
  </si>
  <si>
    <t>European Community; French Lefe/GMMC research programme; NASA(National Aeronautics &amp; Space Administration (NASA)); French ANR grant Exciting(Agence Nationale de la Recherche (ANR)); NERC(UK Research &amp; Innovation (UKRI)Natural Environment Research Council (NERC)); Natural Environment Research Council(UK Research &amp; Innovation (UKRI)Natural Environment Research Council (NERC)); Agence Nationale de la Recherche (ANR)(Agence Nationale de la Recherche (ANR))</t>
  </si>
  <si>
    <t>The research leading to these results has received funding from the European Community's Seventh Framework Programme FP7/2007-2013 under grant agreement no. 283367 (MyOcean2). In addition, this work was partly funded through the French Lefe/GMMC research programme and through NASA grant NNX12AL28G for DPC. JBS received support from French ANR grant Exciting, ANR-12-PDOC-0001, and through the British Antarctic Survey as a BAS fellow. In addition, comments from two anonymous reviewers greatly improved the manuscript. The authors would also like to thank Anny Cazenave, Benoit Meyssignac, Hindumathi Palanisamy and Olivier Henry for useful discussions.</t>
  </si>
  <si>
    <t>10.5194/os-10-547-2014</t>
  </si>
  <si>
    <t>Green Submitted, Green Accepted, gold</t>
  </si>
  <si>
    <t>WOS:000338651700017</t>
  </si>
  <si>
    <t>Dmitrenko, IA; Kirillov, SA; Serra, N; Koldunov, NV; Ivanov, VV; Schauer, U; Polyakov, IV; Barber, D; Janout, M; Lien, VS; Makhotin, M; Aksenov, Y</t>
  </si>
  <si>
    <t>Dmitrenko, I. A.; Kirillov, S. A.; Serra, N.; Koldunov, N. V.; Ivanov, V. V.; Schauer, U.; Polyakov, I. V.; Barber, D.; Janout, M.; Lien, V. S.; Makhotin, M.; Aksenov, Y.</t>
  </si>
  <si>
    <t>Heat loss from the Atlantic water layer in the northern Kara Sea: causes and consequences</t>
  </si>
  <si>
    <t>BARENTS SEA; OCEAN; MODEL; CIRCULATION; SVALBARD; FLUXES</t>
  </si>
  <si>
    <t>A distinct, subsurface density front along the eastern St. Anna Trough in the northern Kara Sea is inferred from hydrographic observations in 1996 and 2008-2010. Direct velocity measurements show a persistent northward subsurface current (similar to 18 cm s(-1)) along the St. Anna Trough eastern flank. This sheared flow, carrying the outflow from the Barents and Kara seas to the Arctic Ocean, is also evident from shipboard observations as well as from geostrophic velocities and numerical model simulations. Although we cannot substantiate our conclusions by direct observation-based estimates of mixing rates in the area, we hypothesize that the enhanced vertical mixing along the St. Anna Trough eastern flank favors the upward heat loss from the intermediate warm Atlantic water layer. Modeling results support this hypothesis. The upward heat flux inferred from hydrographic data and model simulations is of O(30-100) Wm(-2). The region of lowered sea ice thickness and concentration seen both in sea ice remote sensing observations and model simulations marks the Atlantic water pathway in the St. Anna Trough and adjacent Nansen Basin continental margin. In fact, the sea ice shows a delayed freeze-up onset during fall and a reduction in the sea ice thickness during winter. This is consistent with our results on the enhanced Atlantic water heat loss along the Atlantic water pathway in the St. Anna Trough.</t>
  </si>
  <si>
    <t>[Dmitrenko, I. A.; Kirillov, S. A.; Barber, D.] Univ Manitoba, Ctr Earth Observ Sci, Winnipeg, MB, Canada; [Serra, N.; Koldunov, N. V.] Univ Hamburg, Inst Oceanog, Hamburg, Germany; [Ivanov, V. V.; Makhotin, M.] Arctic &amp; Antarctic Res Inst, St Petersburg, Russia; [Ivanov, V. V.; Polyakov, I. V.] Univ Alaska Fairbanks, Int Arctic Res Ctr, Fairbanks, AK USA; [Schauer, U.; Janout, M.] Alfred Wegener Inst Polar &amp; Marine Res, Bremerhaven, Germany; [Lien, V. S.] Inst Marine Res, N-5024 Bergen, Norway; [Aksenov, Y.] Natl Oceanog Ctr Southampton, Southampton, Hants, England</t>
  </si>
  <si>
    <t>University of Manitoba; University of Hamburg; Arctic &amp; Antarctic Research Institute; University of Alaska System; University of Alaska Fairbanks; Helmholtz Association; Alfred Wegener Institute, Helmholtz Centre for Polar &amp; Marine Research; Institute of Marine Research - Norway; NERC National Oceanography Centre; University of Southampton</t>
  </si>
  <si>
    <t>Dmitrenko, IA (corresponding author), Univ Manitoba, Ctr Earth Observ Sci, Winnipeg, MB, Canada.</t>
  </si>
  <si>
    <t>igor.dmitrenko@umanitoba.ca</t>
  </si>
  <si>
    <t>Serra, Nuno/S-5579-2017; Lien, Vidar/ABC-8580-2020; Janout, Markus/AAI-7219-2020; Lien, Vidar S/G-6368-2010; Ivanov, Vladimir/AAX-6830-2020; Makhotin, Mikhail/K-8861-2016; Ivanov, Vladimir/J-5979-2014; Koldunov, Nikolay V. V./A-5439-2011</t>
  </si>
  <si>
    <t>Serra, Nuno/0000-0003-2886-9237; Ivanov, Vladimir/0000-0003-2569-6027; Koldunov, Nikolay V. V./0000-0002-3365-8146; Janout, Markus/0000-0003-4908-2855; Dmitrenko, Igor/0000-0001-8388-7839; Barber, David/0000-0001-9466-3291; Lien, Vidar S./0000-0002-5737-8878</t>
  </si>
  <si>
    <t>Canada Excellence Research Chair (CERC) program; Canada Research Chairs (CRC) program; National Sciences and Engineering Research Council of Canada (NSERC) [RGPIN-2014-03606]; NOAA; NSF; German BMBF; European Commission FP7 collaborative project MONARCH-A (FP7-Space-1) [242446]; EU FP7 Arctic Climate Change Economy and Society (ACCESS) project; RFBR [13-05-41443]; NERC [noc010010] Funding Source: UKRI; Natural Environment Research Council [noc010010] Funding Source: researchfish; Directorate For Geosciences; Office of Polar Programs (OPP) [1203473, 1249133] Funding Source: National Science Foundation</t>
  </si>
  <si>
    <t>Canada Excellence Research Chair (CERC) program; Canada Research Chairs (CRC) program(Canada Research Chairs); National Sciences and Engineering Research Council of Canada (NSERC)(Natural Sciences and Engineering Research Council of Canada (NSERC)); NOAA(National Oceanic Atmospheric Admin (NOAA) - USA); NSF(National Science Foundation (NSF)); German BMBF(Federal Ministry of Education &amp; Research (BMBF)); European Commission FP7 collaborative project MONARCH-A (FP7-Space-1); EU FP7 Arctic Climate Change Economy and Society (ACCESS) project; RFBR(Russian Foundation for Basic Research (RFBR)); NERC(UK Research &amp; Innovation (UKRI)Natural Environment Research Council (NERC)); Natural Environment Research Council(UK Research &amp; Innovation (UKRI)Natural Environment Research Council (NERC)); Directorate For Geosciences; Office of Polar Programs (OPP)(National Science Foundation (NSF)NSF - Directorate for Geosciences (GEO))</t>
  </si>
  <si>
    <t>This study was supported by the Canada Excellence Research Chair (CERC) program, the Canada Research Chairs (CRC) program, and the National Sciences and Engineering Research Council of Canada (NSERC) grant RGPIN-2014-03606. The 2008-2010 oceanographic observations in the St. Anna Trough were conducted under the working frame of the NABOS project with support from NOAA and NSF, the System Laptev Sea project funded through the German BMBF, and project Arctika (Russia). The numerical simulations were performed at the DKRZ, Hamburg, Germany, in the frame of the German BMBF project Nordatlantik (WP 4.1) and the European Commission FP7 collaborative project MONARCH-A (FP7-Space-2009-1 contract 242446). AARI co-authors of this study were supported by the EU FP7 Arctic Climate Change Economy and Society (ACCESS) project and RFBR grant 13-05-41443. We acknowledge Lars Kaleschke (University of Hamburg, Germany) for providing the sea ice concentration data through the Integrated Climate Data Center (ICDC) at the University of Hamburg, Germany. Yan Waddington and Torben Klagge have rendered valuable assistance in performing mooring deployment and recovery in the St. Anna Trough.</t>
  </si>
  <si>
    <t>10.5194/os-10-719-2014</t>
  </si>
  <si>
    <t>AS0AJ</t>
  </si>
  <si>
    <t>WOS:000343940000001</t>
  </si>
  <si>
    <t>Azaneu, M; Kerr, R; Mata, MM</t>
  </si>
  <si>
    <t>Azaneu, M.; Kerr, R.; Mata, M. M.</t>
  </si>
  <si>
    <t>Assessment of the representation of Antarctic Bottom Water properties in the ECCO2 reanalysis</t>
  </si>
  <si>
    <t>NORTHWESTERN WEDDELL SEA; SOUTHERN-OCEAN; DEEP-WATER; GENERAL-CIRCULATION; WEST ANTARCTICA; SLOPE FRONT; ICE-SHELF; ROSS SEA; VARIABILITY; MODEL</t>
  </si>
  <si>
    <t>We analyzed the ability of the Estimating the Circulation and Climate of the Ocean - Phase II (ECCO2) reanalysis to represent the hydrographic properties and variability of Antarctic Bottom Water (AABW) in the Southern Ocean. We used a 20-year (1992-2011) observational database to perform comparisons of hydrographic properties and reanalysis output for the same time period. Four case studies based on current meter data and the AABW volume transport estimates previously reported in the literature were also evaluated. The opening and maintenance of an oceanic polynya in the Weddell Sea sector is observed after 2004 in the reanalysis product. Moreover, intense deep water production due to deep convection occurs, which leads to a scenario in which the Weddell Sea is flooded with AABW. For this reason, our analyses focused on the period that was identified as more reliable (1992-2004). The main Southern Ocean oceanographic features, as well as the characteristic shape of the regional potential temperature-salinity (theta-S) diagrams, are coincident with observations. However, the reanalysis output produces surface waters that are generally denser than observations due to the reproduction of waters that are generally saltier than expected, which probably resulted from the strong seasonality of sea ice concentrations. Bottom waters are warmer and less dense, while intermediate waters are statistically closest to the observations. The differences in bottom water properties are partially due to the inability of the reanalysis to properly reproduce the formation and export of dense waters from the shelf and the consequent absence of the densest AABW variety for most of the analyzed period. Despite differences in the absolute values, the upper AABW limit (gamma(n) &gt;= 28.27 kgm(3) ) and AABW occupied area estimates are coincident with the observations in the World Ocean Circulation Experiment (WOCE) repeat sections SR2 and SR4. Moreover, the AABW volume export and current velocity variability are correlated with the observed time series in the most important region of dense water export (i.e., the Weddell Sea). Despite the consistency in terms of variability, the absolute volume transport and velocity estimates are underrepresented in all cases.</t>
  </si>
  <si>
    <t>[Azaneu, M.; Kerr, R.; Mata, M. M.] Univ Fed Rio Grande, Inst Oceanog, Lab Estudos Oceanos &amp; Clima, BR-96203900 Rio Grande, RS, Brazil</t>
  </si>
  <si>
    <t>Universidade Federal do Rio Grande</t>
  </si>
  <si>
    <t>Azaneu, M (corresponding author), Univ Fed Rio Grande, Inst Oceanog, Lab Estudos Oceanos &amp; Clima, BR-96203900 Rio Grande, RS, Brazil.</t>
  </si>
  <si>
    <t>m.azaneu@furg.br</t>
  </si>
  <si>
    <t>Kerr, Rodrigo/I-2494-2012; Mata, Mauricio/H-4605-2011</t>
  </si>
  <si>
    <t>Kerr, Rodrigo/0000-0002-2632-3137; do Valle Chagas Azaneu, Marina/0000-0002-7538-3056; Mata, Mauricio/0000-0002-9028-8284</t>
  </si>
  <si>
    <t>Brazilian Antarctic Program (PROANTAR) through the Brazilian Ministry of the Environment; Brazilian Ministry of Science, Technology and Innovation (MCTI); Council for Research and Scientific Development of Brazil (CNPq) [550370/2002-1, 520189/2006-0, 556848/2009-8, 405869/2013-4]; CAPES Foundation; FAPERGS</t>
  </si>
  <si>
    <t>Brazilian Antarctic Program (PROANTAR) through the Brazilian Ministry of the Environment; Brazilian Ministry of Science, Technology and Innovation (MCTI); Council for Research and Scientific Development of Brazil (CNPq)(Conselho Nacional de Desenvolvimento Cientifico e Tecnologico (CNPQ)Fundacao de Apoio a Pesquisa do Distrito Federal (FAPDF)); CAPES Foundation(Coordenacao de Aperfeicoamento de Pessoal de Nivel Superior (CAPES)); FAPERGS(Fundacao de Amparo a Ciencia e Tecnologia do Estado do Rio Grande do Sul (FAPERGS))</t>
  </si>
  <si>
    <t>This study is a contribution to the activities of the Brazilian High Latitudes Oceanography Group (GOAL) and the Brazilian National Institute of Science and Technology of Cryosphere (INCT-CRIOSFERA; 573720/2008-8). GOAL has been funded by the Brazilian Antarctic Program (PROANTAR) through the Brazilian Ministry of the Environment (MMA), the Brazilian Ministry of Science, Technology and Innovation (MCTI), and the Council for Research and Scientific Development of Brazil (CNPq; 550370/2002-1; 520189/2006-0; 556848/2009-8; 405869/2013-4). M. Azaneu and R. Kerr acknowledge financial support from the CAPES Foundation and FAPERGS. We thank Y. Fukamachi for providing data on the AABW volume transport for the eastern Kerguelen Plateau and also the Estimating the Circulation and Climate of the Ocean - Phase II (ECCO2) working group for producing and making their reanalysis output freely available.</t>
  </si>
  <si>
    <t>10.5194/os-10-923-2014</t>
  </si>
  <si>
    <t>AY3HR</t>
  </si>
  <si>
    <t>Green Published, Green Submitted, gold</t>
  </si>
  <si>
    <t>WOS:000347475600004</t>
  </si>
  <si>
    <t>Smith, JJP</t>
  </si>
  <si>
    <t>Smith, J. J. P.</t>
  </si>
  <si>
    <t>A Double-Edged Harpoon: The Trial of Science in the Antarctic Whaling Case before the International Court of Justice</t>
  </si>
  <si>
    <t>OCEAN YEARBOOK</t>
  </si>
  <si>
    <t>[Smith, J. J. P.] McGill Univ, Fac Law, Montreal, PQ, Canada</t>
  </si>
  <si>
    <t>McGill University</t>
  </si>
  <si>
    <t>Smith, JJP (corresponding author), McGill Univ, Fac Law, Montreal, PQ, Canada.</t>
  </si>
  <si>
    <t>0191-8575</t>
  </si>
  <si>
    <t>2211-6001</t>
  </si>
  <si>
    <t>OCEAN YEARB</t>
  </si>
  <si>
    <t>Ocean Yearb.</t>
  </si>
  <si>
    <t>10.1163/22116001-02801017</t>
  </si>
  <si>
    <t>Environmental Studies</t>
  </si>
  <si>
    <t>V04QU</t>
  </si>
  <si>
    <t>WOS:000213820300019</t>
  </si>
  <si>
    <t>Green, TK; Hatton, AD</t>
  </si>
  <si>
    <t>Hughes, RN; Hughes, DJ; Smith, IP</t>
  </si>
  <si>
    <t>Green, Tamara K.; Hatton, Angela D.</t>
  </si>
  <si>
    <t>THE CLAW HYPOTHESIS: A NEW PERSPECTIVE ON THE ROLE OF BIOGENIC SULPHUR IN THE REGULATION OF GLOBAL CLIMATE</t>
  </si>
  <si>
    <t>OCEANOGRAPHY AND MARINE BIOLOGY: AN ANNUAL REVIEW, VOL 52</t>
  </si>
  <si>
    <t>Oceanography and Marine Biology</t>
  </si>
  <si>
    <t>CLOUD-CONDENSATION-NUCLEI; DIMETHYLSULPHONIOPROPIONATE DMSP CONTENT; REMOTE MARINE ATMOSPHERE; GREENLAND ICE CORE; ANTARCTIC SEA-ICE; DIMETHYL SULFIDE; DIMETHYLSULFONIOPROPIONATE DMSP; BETA-DIMETHYLSULPHONIOPROPIONATE; GLYCINE BETAINE; SOUTHERN-OCEAN</t>
  </si>
  <si>
    <t>In 1987, R.J. Charlson et al. (Nature 326, 655-661) proposed that biogenic sulphur, primarily dimethyl sulphide (DMS), a by-product of dimethyl sulphoniopropionate (DMSP) produced by marine organisms, could act as cloud condensation nuclei (CCN) in the atmosphere. Higher levels of CCN would lead to increased cloud cover, with consequent changes to the radiation budget on Earth, thereby establishing a climatic feedback loop reliant on marine organisms. This CLAW hypothesis inspired a large body of research intended to test key aspects of the proposed feedback mechanism. We consider here the key components of the hypothesis as outlined by the original authors: light, temperature, salinity, DMS-CCN correlation, and the palaeo record. Literature reviewed here indicates that it is time to modify the CLAW hypothesis in light of recent advances in knowledge, particularly the emerging importance of microbial activity in the control of water column DMS concentrations and increased awareness of the importance of dimethylsulphoxide (DMSO) as a source and sink of DMS.</t>
  </si>
  <si>
    <t>[Green, Tamara K.; Hatton, Angela D.] Scottish Assoc Marine Sci, Dept Biogeochem &amp; Earth Sci, Oban PA37 1QA, Argyll, Scotland</t>
  </si>
  <si>
    <t>UHI Millennium Institute</t>
  </si>
  <si>
    <t>Green, TK (corresponding author), Scottish Assoc Marine Sci, Dept Biogeochem &amp; Earth Sci, Oban PA37 1QA, Argyll, Scotland.</t>
  </si>
  <si>
    <t>09002154@uhi.ac.uk; angela.hatton@sams.ac.uk</t>
  </si>
  <si>
    <t>Hatton, Angela D/D-6196-2013</t>
  </si>
  <si>
    <t>CRC PRESS-TAYLOR &amp; FRANCIS GROUP</t>
  </si>
  <si>
    <t>BOCA RATON</t>
  </si>
  <si>
    <t>6000 BROKEN SOUND PARKWAY NW, STE 300, BOCA RATON, FL 33487-2742 USA</t>
  </si>
  <si>
    <t>0078-3218</t>
  </si>
  <si>
    <t>978-1-4822-2066-7</t>
  </si>
  <si>
    <t>OCEANOGR MAR BIOL</t>
  </si>
  <si>
    <t>Oceanogr. Mar. Biol.</t>
  </si>
  <si>
    <t>10.1201/b17143</t>
  </si>
  <si>
    <t>BC1NT</t>
  </si>
  <si>
    <t>WOS:000350304100007</t>
  </si>
  <si>
    <t>Watson, SA; Morley, SA; Bates, AE; Clark, MS; Day, RW; Lamare, M; Martin, SM; Southgate, PC; Tan, KS; Tyler, PA; Peck, LS</t>
  </si>
  <si>
    <t>Watson, Sue-Ann; Morley, Simon A.; Bates, Amanda E.; Clark, Melody S.; Day, Robert W.; Lamare, Miles; Martin, Stephanie M.; Southgate, Paul C.; Tan, Koh Siang; Tyler, Paul A.; Peck, Lloyd S.</t>
  </si>
  <si>
    <t>Low global sensitivity of metabolic rate to temperature in calcified marine invertebrates</t>
  </si>
  <si>
    <t>OECOLOGIA</t>
  </si>
  <si>
    <t>Oxygen; Latitude; Activation energy; Energetics; Climate change</t>
  </si>
  <si>
    <t>COLD ADAPTATION; PHYSIOLOGICAL ECOLOGY; THERMAL TOLERANCE; POLAR FISH; BODY-MASS; DEPENDENCE; SIZE; LIFE; ECOSYSTEMS; SCALE</t>
  </si>
  <si>
    <t>Metabolic rate is a key component of energy budgets that scales with body size and varies with large-scale environmental geographical patterns. Here we conduct an analysis of standard metabolic rates (SMR) of marine ectotherms across a 70A degrees latitudinal gradient in both hemispheres that spanned collection temperatures of 0-30 A degrees C. To account for latitudinal differences in the size and skeletal composition between species, SMR was mass normalized to that of a standard-sized (223 mg) ash-free dry mass individual. SMR was measured for 17 species of calcified invertebrates (bivalves, gastropods, urchins and brachiopods), using a single consistent methodology, including 11 species whose SMR was described for the first time. SMR of 15 out of 17 species had a mass-scaling exponent between 2/3 and 1, with no greater support for a 3/4 rather than a 2/3 scaling exponent. After accounting for taxonomy and variability in parameter estimates among species using variance-weighted linear mixed effects modelling, temperature sensitivity of SMR had an activation energy (Ea) of 0.16 for both Northern and Southern Hemisphere species which was lower than predicted under the metabolic theory of ecology (Ea 0.2-1.2 eV). Northern Hemisphere species, however, had a higher SMR at each habitat temperature, but a lower mass-scaling exponent relative to SMR. Evolutionary trade-offs that may be driving differences in metabolic rate (such as metabolic cold adaptation of Northern Hemisphere species) will have important impacts on species abilities to respond to changing environments.</t>
  </si>
  <si>
    <t>[Watson, Sue-Ann; Tyler, Paul A.] Univ Southampton, Sch Ocean &amp; Earth Sci, Natl Oceanog Ctr Southampton, Southampton SO14 3ZH, Hants, England; [Morley, Simon A.; Clark, Melody S.; Peck, Lloyd S.] British Antarctic Survey, Nat Environm Res Council, Cambridge CB3 0ET, England; [Bates, Amanda E.] Univ Tasmania, Inst Marine &amp; Antarctic Studies, Hobart, Tas, Australia; [Day, Robert W.] Univ Melbourne, Dept Zool, Parkville, Vic 3010, Australia; [Lamare, Miles] Univ Otago, Dept Marine Sci, Dunedin, New Zealand; [Southgate, Paul C.] James Cook Univ, Ctr Sustainable Trop Fisheries &amp; Aquaculture, Sch Marine &amp; Trop Biol, Townsville, Qld 4811, Australia; [Tan, Koh Siang] Natl Univ Singapore, Trop Marine Sci Inst, Singapore 119223, Singapore</t>
  </si>
  <si>
    <t>University of Southampton; NERC National Oceanography Centre; UK Research &amp; Innovation (UKRI); Natural Environment Research Council (NERC); NERC British Antarctic Survey; University of Tasmania; University of Melbourne; University of Otago; James Cook University; National University of Singapore</t>
  </si>
  <si>
    <t>Morley, SA (corresponding author), British Antarctic Survey, Nat Environm Res Council, Madingley Rd, Cambridge CB3 0ET, England.</t>
  </si>
  <si>
    <t>smor@bas.ac.uk</t>
  </si>
  <si>
    <t>Day, Robert/K-6052-2012; Bates, Amanda E./ABD-6874-2021; , Tan KS/HLW-4582-2023; Watson, Sue-Ann/C-3172-2013; Tan, Koh Siang/GOH-0321-2022; Clark, Melody/D-7371-2014</t>
  </si>
  <si>
    <t>Day, Robert/0000-0001-5913-2292; Bates, Amanda E./0000-0002-0198-4537; Watson, Sue-Ann/0000-0002-9818-7429; Tan, Koh Siang/0000-0002-4599-9482; Clark, Melody/0000-0002-3442-3824; Lamare, Miles/0000-0001-8656-7240</t>
  </si>
  <si>
    <t>NERC; British Antarctic Survey; Collaborative Gearing Scheme Grant; NERC National Centre for Scientific Diving, Oban; NERC research station at Ny Alesund; Alfred Wegener Institute dive team under Max Schwanitz; TransAntarctic Association [TAA05/08]; Natural Environment Research Council [bas0100025, dml011000] Funding Source: researchfish; NERC [bas0100025, dml011000] Funding Source: UKRI</t>
  </si>
  <si>
    <t>NERC(UK Research &amp; Innovation (UKRI)Natural Environment Research Council (NERC)); British Antarctic Survey; Collaborative Gearing Scheme Grant; NERC National Centre for Scientific Diving, Oban; NERC research station at Ny Alesund; Alfred Wegener Institute dive team under Max Schwanitz; TransAntarctic Association; Natural Environment Research Council(UK Research &amp; Innovation (UKRI)Natural Environment Research Council (NERC)); NERC(UK Research &amp; Innovation (UKRI)Natural Environment Research Council (NERC))</t>
  </si>
  <si>
    <t>S.-A. W. was funded by a NERC Ph.D. studentship to the University of Southampton and the British Antarctic Survey. Antarctic fieldwork was funded by a Collaborative Gearing Scheme Grant. We thank the Rothera Research Station dive, boating and support team for assisting with animal collections. Diving in Antarctica under UK jurisdiction is supported by the NERC National Centre for Scientific Diving, Oban. Arctic research was supported by the NERC research station at Ny Alesund and diving supported by the Alfred Wegener Institute dive team under Max Schwanitz. S. M. M. was self funded. C. H. Lai and K. D. Nguyen helped with collections in Singapore. Research in New Zealand was supported by TransAntarctic Association Grant TAA05/08. F. J., T. S., A. J. and L. Gibson, J. Mallinson and S. J. M. Hughes also assisted with collection. We thank Andrew Clarke and two anonymous reviewers for comments that significantly improved the manuscript.</t>
  </si>
  <si>
    <t>0029-8549</t>
  </si>
  <si>
    <t>1432-1939</t>
  </si>
  <si>
    <t>Oecologia</t>
  </si>
  <si>
    <t>10.1007/s00442-013-2767-8</t>
  </si>
  <si>
    <t>288PQ</t>
  </si>
  <si>
    <t>WOS:000329624300005</t>
  </si>
  <si>
    <t>Menviel, L; England, MH; Meissner, KJ; Mouchet, A; Yu, J</t>
  </si>
  <si>
    <t>Menviel, L.; England, M. H.; Meissner, K. J.; Mouchet, A.; Yu, J.</t>
  </si>
  <si>
    <t>Atlantic-Pacific seesaw and its role in outgassing CO2 during Heinrich events</t>
  </si>
  <si>
    <t>PALEOCEANOGRAPHY</t>
  </si>
  <si>
    <t>DEEP-WATER FORMATION; ANTARCTIC ICE-SHEET; LAST GLACIAL CYCLE; NORTH-ATLANTIC; ATMOSPHERIC CO2; OCEAN CIRCULATION; GLOBAL CLIMATE; SOUTHERN-OCEAN; CARBON-CYCLE; SEA-LEVEL</t>
  </si>
  <si>
    <t>Paleoproxy records indicate that a marked weakening of the Atlantic Meridional Overturning Circulation (AMOC) during Heinrich events was often accompanied by a notable atmospheric CO2 increase. However, previous modeling studies display conflicting atmospheric CO2 responses to an AMOC shutdown. Here we use model simulations combined with paleoproxy records to show that depending on the deep and bottom water transport in the Northern and Southern Pacific Ocean during an AMOC weakening, the ocean can act either as a sink or a source of carbon. Results from idealized meltwater experiments as well as from a transient experiment covering Heinrich stadial 4 suggest that a shutdown of the AMOC during Heinrich stadials 4 (HS4) and 1 (HS1) led to an enhancement of Antarctic Bottom Water (AABW) and North Pacific Deep Water (NPDW) transport. We show that enhanced deep and bottom water transport in the Pacific Ocean ventilates deep Pacific carbon through the Southern Ocean, thus contributing to a rise in atmospheric CO2. This mechanism yields a good agreement between paleoproxy records and modeling results, thus highlighting the possible establishment of an Atlantic-Pacific seesaw during Heinrich stadials. Enhanced AABW and NPDW transport could account for most of the observed atmospheric CO2 increase during HS4 and for about 30% of the atmospheric CO2 increase during HS1.</t>
  </si>
  <si>
    <t>[Menviel, L.; England, M. H.; Meissner, K. J.] Univ New S Wales, Climate Change Res Ctr, Sydney, NSW 2052, Australia; [Menviel, L.; England, M. H.; Meissner, K. J.] ARC Ctr Excellence Climate Syst Sci, Sydney, NSW, Australia; [Mouchet, A.] UVSQ, LSCE, IPSL, CEA,CNRS, Gif Sur Yvette, France; [Mouchet, A.] Univ Liege, Astrophys Geophys &amp; Oceanog Dept, Liege, Belgium; [Yu, J.] Australian Natl Univ, Res Sch Earth Sci, Canberra, ACT, Australia</t>
  </si>
  <si>
    <t>University of New South Wales Sydney; ARC Centre of Excellence for Climate System Science; Universite Paris Saclay; Universite Paris Cite; CEA; Centre National de la Recherche Scientifique (CNRS); University of Liege; Australian National University</t>
  </si>
  <si>
    <t>Menviel, L (corresponding author), Univ New S Wales, Climate Change Res Ctr, Sydney, NSW 2052, Australia.</t>
  </si>
  <si>
    <t>l.menviel@unsw.edu.au</t>
  </si>
  <si>
    <t>England, Matthew/A-7539-2011; Menviel, Laurie/O-7833-2019; Yu, Jimin/I-7770-2012; Mouchet, Anne/K-1911-2014; Menviel, Laurie/D-6902-2013</t>
  </si>
  <si>
    <t>England, Matthew/0000-0001-9696-2930; Yu, Jimin/0000-0002-3896-1777; Mouchet, Anne/0000-0002-8846-3063; Meissner, Katrin/0000-0002-0716-7415; Menviel, Laurie/0000-0002-5068-1591</t>
  </si>
  <si>
    <t>Australian Research Council; ARC [FT100100443, FL100100214]; Australian Research Council [FT100100443] Funding Source: Australian Research Council</t>
  </si>
  <si>
    <t>Australian Research Council(Australian Research Council); ARC(Australian Research Council); Australian Research Council(Australian Research Council)</t>
  </si>
  <si>
    <t>This project was supported by the Australian Research Council. Model experiments were performed on a computational cluster owned by the Faculty of Science of the University of New South Wales as well as on a cluster from the NCI National Facility at the Australian National University. K.J. Meissner acknowledges funding from the ARC Future Fellowship program (FT100100443) and M. England funding from the ARC Laureate Fellowship program (FL100100214). We thank Editor H. Paelike and A. Schmittner, as well as an anonymous reviewer for their constructive comments.</t>
  </si>
  <si>
    <t>0883-8305</t>
  </si>
  <si>
    <t>1944-9186</t>
  </si>
  <si>
    <t>Paleoceanography</t>
  </si>
  <si>
    <t>10.1002/2013PA002542</t>
  </si>
  <si>
    <t>Geosciences, Multidisciplinary; Oceanography; Paleontology</t>
  </si>
  <si>
    <t>Geology; Oceanography; Paleontology</t>
  </si>
  <si>
    <t>AJ8SM</t>
  </si>
  <si>
    <t>Green Published, hybrid, Green Submitted</t>
  </si>
  <si>
    <t>WOS:000337977700005</t>
  </si>
  <si>
    <t>Crisan, F; Cristea, V</t>
  </si>
  <si>
    <t>Crisan, Florin; Cristea, Vasile</t>
  </si>
  <si>
    <t>The Contribution of the Cluj School of Biology to the Development of European Sozology in the Inter-War Period</t>
  </si>
  <si>
    <t>PHILOBIBLON-TRANSYLVANIAN JOURNAL OF MULTIDISCIPLINARY RESEARCH IN HUMANITIES</t>
  </si>
  <si>
    <t>sozology; nature protection; biologists; interwar period; Cluj-Napoca; Romania</t>
  </si>
  <si>
    <t>The movement of nature's protection in Romania had a number of promoters and the most representative of Alma Mater Napocensis were Emil G. Racovita, Alexandru Borza and Emil Pop. E.G. Racovita, Antarctic explorer, the creator in Cluj of the first academic institute of bio-speleological research in the world, was also a pioneer in defining and classifying protected areas. A. Borza, renowned botanist, the founder of the Botanical Garden of the University of Cluj, actively contributed to the establishment of the first national park in Romania. E.Pop, titular member of the Romanian Academy, supported the continuation of protective movement promoted by its illustrious predecessors.</t>
  </si>
  <si>
    <t>[Crisan, Florin; Cristea, Vasile] Babes Bolyai Univ, Dept Taxon &amp; Ecol, Cluj Napoca, Romania</t>
  </si>
  <si>
    <t>Babes Bolyai University from Cluj</t>
  </si>
  <si>
    <t>Crisan, F (corresponding author), Babes Bolyai Univ, Dept Taxon &amp; Ecol, Cluj Napoca, Romania.</t>
  </si>
  <si>
    <t>florincrisan1964@yahoo.com; cristea@grbot.ubbcluj.ro</t>
  </si>
  <si>
    <t>Crisan, Florin/V-1240-2017</t>
  </si>
  <si>
    <t>BIBLIOTECA CENTRALA UNIV LUCIAN BLAGA CLUJ-NAPOCA</t>
  </si>
  <si>
    <t>CLUJ-NAPOCA</t>
  </si>
  <si>
    <t>CLINICILOR ST NO 2, CLUJ-NAPOCA, 400371, ROMANIA</t>
  </si>
  <si>
    <t>1224-7448</t>
  </si>
  <si>
    <t>2247-8442</t>
  </si>
  <si>
    <t>PHILOBIBLON</t>
  </si>
  <si>
    <t>Philobiblon</t>
  </si>
  <si>
    <t>JAN-JUN</t>
  </si>
  <si>
    <t>V8K1L</t>
  </si>
  <si>
    <t>WOS:000421709200011</t>
  </si>
  <si>
    <t>Robinson, SA; Waterman, MJ</t>
  </si>
  <si>
    <t>Hanson, DT; Rice, SK</t>
  </si>
  <si>
    <t>Robinson, Sharon A.; Waterman, Melinda J.</t>
  </si>
  <si>
    <t>Sunsafe Bryophytes: Photoprotection from Excess and Damaging Solar Radiation</t>
  </si>
  <si>
    <t>PHOTOSYNTHESIS IN BRYOPHYTES AND EARLY LAND PLANTS</t>
  </si>
  <si>
    <t>Advances in Photosynthesis and Respiration</t>
  </si>
  <si>
    <t>UV-B RADIATION; XANTHOPHYLL CYCLE INTERCONVERSIONS; ANTARCTIC MOSS; ULTRAVIOLET-RADIATION; PHYSCOMITRELLA-PATENS; STRATOSPHERIC OZONE; CHLOROPHYLL FLUORESCENCE; PHYSIOLOGICAL-RESPONSES; CAROTENOID COMPOSITION; PIGMENT COMPOSITION</t>
  </si>
  <si>
    <t>Whilst light is essential for photosynthesis and development of plants, both excess photosynthetically active radiation and certain wavelengths (e.g. high energy ultraviolet-B) radiation can be damaging. Plants in general possess a suite of mechanisms that act to either prevent absorption of damaging and excess radiation or to mitigate against the damage that such radiation can cause once it is absorbed. Whilst bryophytes share many of these photoprotective mechanisms with the vascular plants, there are key differences in the photoprotection available to bryophytes. Some of these differences pertain to structural features, such as protective epidermal layers, that are available to vascular plants but not generally to bryophytes. Bryophytes thus have to invest more in cellular level photoprotection than vascular plants. In other respects bryophytes may retain mechanisms found in algal ancestors (e.g. thermal energy dissipation associated with the LHCSR protein) that have been lost during the evolution of vascular plants. Many bryophytes are able to manage light absorption during desiccation and rehydration and freezing and thawing, resulting in potentially novel mechanisms of energy dissipation. Given the high stress environments that many bryophytes inhabit, from hot or frozen deserts to alpine habitats with high incident UV-B radiation, it is unsurprising that they have a suite of photoprotective strategies.</t>
  </si>
  <si>
    <t>[Robinson, Sharon A.; Waterman, Melinda J.] Univ Wollongong, Inst Conservat Biol &amp; Environm Management, Wollongong, NSW 2522, Australia</t>
  </si>
  <si>
    <t>University of Wollongong</t>
  </si>
  <si>
    <t>Robinson, SA (corresponding author), Univ Wollongong, Inst Conservat Biol &amp; Environm Management, Wollongong, NSW 2522, Australia.</t>
  </si>
  <si>
    <t>sharonr@uow.edu.au</t>
  </si>
  <si>
    <t>Robinson, Sharon/B-2683-2008; Waterman, Melinda/N-5880-2019</t>
  </si>
  <si>
    <t>Robinson, Sharon/0000-0002-7130-9617; Waterman, Melinda/0000-0001-5907-4512</t>
  </si>
  <si>
    <t>1572-0233</t>
  </si>
  <si>
    <t>978-94-007-6988-5; 978-94-007-6987-8</t>
  </si>
  <si>
    <t>ADV PHOTOSYNTH RESP</t>
  </si>
  <si>
    <t>Adv. Photo. Respirat.</t>
  </si>
  <si>
    <t>10.1007/978-94-007-6988-5_7</t>
  </si>
  <si>
    <t>10.1007/978-94-007-6988-5</t>
  </si>
  <si>
    <t>Biochemistry &amp; Molecular Biology; Plant Sciences</t>
  </si>
  <si>
    <t>BA1AX</t>
  </si>
  <si>
    <t>WOS:000332364600008</t>
  </si>
  <si>
    <t>Bramley-Alves, J; King, DH; Robinson, SA; Miller, RE</t>
  </si>
  <si>
    <t>Bramley-Alves, Jessica; King, Diana H.; Robinson, Sharon A.; Miller, Rebecca E.</t>
  </si>
  <si>
    <t>Dominating the Antarctic Environment: Bryophytes in a Time of Change</t>
  </si>
  <si>
    <t>UV-B RADIATION; CLIMATE-CHANGE; ULTRAVIOLET-RADIATION; DESICCATION-TOLERANCE; OZONE DEPLETION; PIGMENT COMPOSITION; ANNULAR MODE; ICE LOSS; MOSS; TEMPERATURE</t>
  </si>
  <si>
    <t>Polar ecosystems, and particularly Antarctica, are one of the few environs in which bryophytes dominate the flora. Their success in these regions is due to bryophytes' ability to withstand an array of harsh conditions through their poikilohydric lifestyle. However, the unique conditions that allow bryophytes to proliferate over other forms of vegetation also create considerable limitations to growth and photosynthetic activity. High latitude areas are already experiencing some of the most pronounced and rapid climatic change, especially in the Arctic, the Sub-Antarctic Islands and Maritime Antarctica, and these are predicted to continue over the next century. This climatic change is already impacting the flora of the polar regions both via direct and/or indirect impacts on plant species. Water availability and temperature are undoubtedly the most influential factors that determine bryophyte productivity in the Antarctic, but the ozone hole is also having an impact either directly via increased ultraviolet-B radiation and/or indirectly through the increasing wind speeds associated with ozone depletion. In a time of shifting climate the dominance of bryophytes in these regions may be threatened.</t>
  </si>
  <si>
    <t>[Bramley-Alves, Jessica; King, Diana H.; Robinson, Sharon A.; Miller, Rebecca E.] Univ Wollongong, Inst Conservat Biol &amp; Environm Management, Wollongong, NSW 2522, Australia; [Miller, Rebecca E.] Monash Univ, Sch Biol Sci, Clayton, Vic 3800, Australia</t>
  </si>
  <si>
    <t>University of Wollongong; Monash University</t>
  </si>
  <si>
    <t>King, Diana/K-1061-2019; Robinson, Sharon/B-2683-2008</t>
  </si>
  <si>
    <t>King, Diana/0000-0001-6313-4450; Robinson, Sharon/0000-0002-7130-9617</t>
  </si>
  <si>
    <t>10.1007/978-94-007-6988-5_17</t>
  </si>
  <si>
    <t>WOS:000332364600018</t>
  </si>
  <si>
    <t>Muangmai, N; West, JA; Zuccarello, GC</t>
  </si>
  <si>
    <t>Muangmai, Narongrit; West, John A.; Zuccarello, Giuseppe C.</t>
  </si>
  <si>
    <t>Evolution of four Southern Hemisphere Bostrychia (Rhodomelaceae, Rhodophyta) species: phylogeny, species delimitation and divergence times</t>
  </si>
  <si>
    <t>PHYCOLOGIA</t>
  </si>
  <si>
    <t>Bostrychia; Cryptic species; Diversity; Molecular clock; Phylogeny; Rhodomeleaceae; Rhodophyta; Southern Hemisphere; Species delimitation</t>
  </si>
  <si>
    <t>COMPLEX RHODOMELACEAE; MOLECULAR PHYLOGENY; NEW-ZEALAND; PHAEOPHYCEAE; DIVERSITY; TAXONOMY; STICTOSIPHONIA</t>
  </si>
  <si>
    <t>Defining species boundaries is important to address evolutionary questions and understand true biodiversity in a region. Determining the actual number of species is not trivial, and numerous species-delimitation algorithms have been developed and extensively applied to a wide range of organisms. The cosmopolitan red-algal genus Bostrychia has been used as a model system to study evolutionary processes, yet phylogeny within the genus and its true species composition are still unresolved. The four species B. arbuscula, B. gracilis, B. intricata and B. vaga represented a distinctive morphotype that was once the basis for segregation into the separate genus Stictosiphonia, and all appeared to be restricted to the Southern Hemisphere. We sequenced genes from all three genomes [plastid: rbcL; mitochondrial: cytochrome c oxidase subunit I(COI); and nuclear: large-subunit ribosomal RNA] to examine the phylogenetic relationships of the four species and to establish their diacritical features. Our phylogenetic analyses from combined data sets strongly supported the monophyly of these species, with B. vaga as a sister species to the other three. Results from phylogenetic analyses of a combined data set and species-delimitation methods based on COI data demonstrated a congruent pattern of species boundaries, indicating cryptic species diversity within presently constituted B. intricata and B. vaga. We also estimated the divergence time of these species using substitution rates of combined rbcL and COI data sets calibrated from B. calliptera collected around the Isthmus of Panama. Results indicated that these four species formed in the middle Oligocene epoch (c. 30 million years ago), suggesting a post-Gondwana origin and relatively ancient divergence. We speculate that evolution of these species may have been due to transoceanic dispersal that was facilitated by the circulation of the Antarctic Circumpolar Current and subsequent isolation.</t>
  </si>
  <si>
    <t>[Muangmai, Narongrit; Zuccarello, Giuseppe C.] Victoria Univ Wellington, Sch Biol Sci, Wellington 6140, New Zealand; [West, John A.] Univ Melbourne, Sch Bot, Melbourne, Vic 3010, Australia</t>
  </si>
  <si>
    <t>Victoria University Wellington; University of Melbourne; Melbourne Bioinformatics</t>
  </si>
  <si>
    <t>Muangmai, N (corresponding author), Victoria Univ Wellington, Sch Biol Sci, Wellington 6140, New Zealand.</t>
  </si>
  <si>
    <t>seaweed_53@hotmail.com</t>
  </si>
  <si>
    <t>Muangmai, Narongrit/W-4073-2019; Zuccarello, Giuseppe C./D-8323-2015</t>
  </si>
  <si>
    <t>Muangmai, Narongrit/0000-0001-7954-7348; Zuccarello, Giuseppe C./0000-0003-0028-7227</t>
  </si>
  <si>
    <t>Victoria University of Wellington; Australian Research Council; Australian Biological Resources Study; Hermon Slade Foundation</t>
  </si>
  <si>
    <t>Victoria University of Wellington; Australian Research Council(Australian Research Council); Australian Biological Resources Study; Hermon Slade Foundation</t>
  </si>
  <si>
    <t>We express our appreciation to Christian Boedeker for comments on an earlier version of this manuscript, and anonymous reviewers who improved the manuscript. We thank those who helped us obtain algal samples: Fiona Scott, Maria Eliana Ramirez, Ceridwen Fraser, Mike Wilcox and Wendy Nelson. We also thank the Victoria University of Wellington for providing a scholarship to NM. Long-term financing for this work has been provided through personal funds of JAW and from the Australian Research Council, Australian Biological Resources Study and Hermon Slade Foundation grants to JAW/GCZ.</t>
  </si>
  <si>
    <t>0031-8884</t>
  </si>
  <si>
    <t>2330-2968</t>
  </si>
  <si>
    <t>Phycologia</t>
  </si>
  <si>
    <t>10.2216/14-044.1</t>
  </si>
  <si>
    <t>Plant Sciences; Marine &amp; Freshwater Biology</t>
  </si>
  <si>
    <t>AZ0XJ</t>
  </si>
  <si>
    <t>WOS:000347965000008</t>
  </si>
  <si>
    <t>Yu, NH; Kim, JA; Jeong, MH; Cheong, YH; Hong, SG; Jung, JS; Koh, YJ; Hur, JS</t>
  </si>
  <si>
    <t>Yu, Nan Hee; Kim, Jung A.; Jeong, Min-Hye; Cheong, Yong Hwa; Hong, Soon Gyu; Jung, Jae Sung; Koh, Young Jin; Hur, Jae-Seoun</t>
  </si>
  <si>
    <t>Diversity of endophytic fungi associated with bryophyte in the maritime Antarctic (King George Island)</t>
  </si>
  <si>
    <t>POLAR BIOLOGY</t>
  </si>
  <si>
    <t>Antarctic bryophyte; Biodiversity; Fungal endophytes; FISH; The maritime Antarctic</t>
  </si>
  <si>
    <t>COLD ADAPTATION; MOSSES; SUPPRESSION; MICROFUNGI; LICHENS; BOREAL</t>
  </si>
  <si>
    <t>Bryophytes comprise one of the richest microfungal microhabitats in the Antarctic environment. The maritime Antarctic is very vulnerable to rapid environmental change caused by global warming. The aim of this study was to investigate the importance of bryophytes as a microhabitat for fungal species in the maritime Antarctic by surveying endophytic fungal diversity from several bryophytes including Andreaea sp., Barbilophozia hatcheri, Chorisodontium aciphyllum, Polytrichum alpinum, Polytrichum strictum, Sanionia uncinata, and Warnstorfia sarmentosa. We collected 13 bryophyte samples at four localities on Barton Peninsula, King George Island. In total, 31 endophytic fungi morphotypes were isolated from bryophyte tissues by a thorough surface sterilization method. Using internal transcribed spacer sequence analysis, 16 endophytic fungal strains belonging to Ascomycota (12), Basidiomycota (1), Oomycota (1), and Zygomycota (2) phyla were obtained. Our results suggest the presence of a diverse range of fungal species even in a very limited area, and those bryophytes play an important role in conserving fungal diversity in this harsh environment. Growth rate measurements at a wide range of temperatures confirmed that most of the fungal strains were both mesophilic and psychrotolerant. This is the first report of endophytic fungi in Antarctic moss tissue by fluorescence in situ hybridization.</t>
  </si>
  <si>
    <t>[Yu, Nan Hee; Jeong, Min-Hye; Jung, Jae Sung] Sunchon Natl Univ, Dept Biol, Sunchon 540950, South Korea; [Kim, Jung A.; Cheong, Yong Hwa; Koh, Young Jin; Hur, Jae-Seoun] Sunchon Natl Univ, Korean Lichen Res Inst, Sunchon 540950, South Korea; [Hong, Soon Gyu] KORDI, Div Polar Life Sci, Korea Polar Res Inst, Inchon 406840, South Korea</t>
  </si>
  <si>
    <t>Sunchon National University; Sunchon National University; Korea Institute of Ocean Science &amp; Technology (KIOST); Korea Polar Research Institute (KOPRI)</t>
  </si>
  <si>
    <t>Hur, JS (corresponding author), Sunchon Natl Univ, Korean Lichen Res Inst, Sunchon 540950, South Korea.</t>
  </si>
  <si>
    <t>jshur1@sunchon.ac.kr</t>
  </si>
  <si>
    <t>Korea National Research Resource Center Program; Korean Polar Research Institute (KOPRI) [PE13030]</t>
  </si>
  <si>
    <t>Korea National Research Resource Center Program; Korean Polar Research Institute (KOPRI)</t>
  </si>
  <si>
    <t>This work was supported by grants from the Korea National Research Resource Center Program and the Korean Polar Research Institute (KOPRI, PE13030).</t>
  </si>
  <si>
    <t>0722-4060</t>
  </si>
  <si>
    <t>1432-2056</t>
  </si>
  <si>
    <t>POLAR BIOL</t>
  </si>
  <si>
    <t>Polar Biol.</t>
  </si>
  <si>
    <t>10.1007/s00300-013-1406-5</t>
  </si>
  <si>
    <t>Biodiversity Conservation; Ecology</t>
  </si>
  <si>
    <t>277WI</t>
  </si>
  <si>
    <t>WOS:000328849600003</t>
  </si>
  <si>
    <t>Pulsifer, PL; Huntington, HP; Pecl, GT</t>
  </si>
  <si>
    <t>Pulsifer, Peter L.; Huntington, Henry P.; Pecl, Gretta T.</t>
  </si>
  <si>
    <t>Introduction: local and traditional knowledge and data management in the Arctic</t>
  </si>
  <si>
    <t>POLAR GEOGRAPHY</t>
  </si>
  <si>
    <t>[Pulsifer, Peter L.] Univ Colorado, Natl Snow &amp; Ice Data Ctr, Exchange Local Observ &amp; Knowledge Arctic ELOKA, 449 UCB, Boulder, CO 80309 USA; [Huntington, Henry P.] Huntington Associates, Eagle River, AK 99577 USA; [Pecl, Gretta T.] Univ Tasmania, Coasts Ctr, Inst Marine &amp; Antarctic Studies Fisheries Aquacul, Hobart, Tas 7001, Australia</t>
  </si>
  <si>
    <t>University of Colorado System; University of Colorado Boulder; University of Tasmania</t>
  </si>
  <si>
    <t>Pulsifer, PL (corresponding author), Univ Colorado, Natl Snow &amp; Ice Data Ctr, Exchange Local Observ &amp; Knowledge Arctic ELOKA, 449 UCB, Boulder, CO 80309 USA.</t>
  </si>
  <si>
    <t>pulsifer@nsidc.org; hph@alaska.net; Gretta.Pecl@utas.edu.au</t>
  </si>
  <si>
    <t>Pecl, Gretta/D-7267-2011</t>
  </si>
  <si>
    <t>Pecl, Gretta/0000-0003-0192-4339; PULSIFER, PETER/0000-0001-9561-3640</t>
  </si>
  <si>
    <t>International Travel Bursary, Fisheries Research and Development Corporation (FRDC Australia); National Science Foundation grants ARC [0856634]; ARC [1231638]; Office of Polar Programs (OPP); Directorate For Geosciences [0856634] Funding Source: National Science Foundation</t>
  </si>
  <si>
    <t>International Travel Bursary, Fisheries Research and Development Corporation (FRDC Australia); National Science Foundation grants ARC; ARC(Australian Research Council); Office of Polar Programs (OPP); Directorate For Geosciences(National Science Foundation (NSF)NSF - Directorate for Geosciences (GEO))</t>
  </si>
  <si>
    <t>First and foremost, the Editors acknowledge the valuable contributions of all partners and particularly the indigenous knowledge holders and community members who have generously donated their time and knowledge to publishing this issue and to participating in the projects described herein. We would like to thank all of those people who took the time to participate in the Exchange for Local Observations and Knowledge of the Arctic (ELOKA) Workshop held at Boulder, Colorado, 15-17 November 2011. The ELOKA workshop spawned this special issue. Guest Editor Gretta Pecl's attendance at the ELOKA Workshop was funded by an International Travel Bursary from the Fisheries Research and Development Corporation (FRDC Australia). A special thanks goes to Anna Kerttula de Echave and Erica Key of the US National Science Foundation. Both have been tireless supporters of ELOKA and related efforts, providing encouragement and advice to the ELOKA team. The compilation of this special issue was supported by National Science Foundation grants ARC [0856634] and ARC [1231638].</t>
  </si>
  <si>
    <t>1088-937X</t>
  </si>
  <si>
    <t>1939-0513</t>
  </si>
  <si>
    <t>POLAR GEOGR</t>
  </si>
  <si>
    <t>Polar Geogr.</t>
  </si>
  <si>
    <t>10.1080/1088937X.2014.894591</t>
  </si>
  <si>
    <t>Geography, Physical</t>
  </si>
  <si>
    <t>Physical Geography</t>
  </si>
  <si>
    <t>V64QE</t>
  </si>
  <si>
    <t>WOS:000211114700001</t>
  </si>
  <si>
    <t>Farré, AB; Stephenson, SR; Chen, LL; Czub, M; Dai, Y; Demchev, D; Efimov, Y; Graczyk, P; Grythe, H; Keil, K; Kivekäs, N; Kumar, N; Liu, NY; Matelenok, I; Myksvoll, M; O'Leary, D; Raspotnik, A; Ryzhov, I; Solski, J; Suo, LL; Troein, C; Valeeva, V; Van Rijckevorsel, J; Wighting, J; Olsen, J; Sachin, PAP; Petersen, E</t>
  </si>
  <si>
    <t>Farre, Albert Buixade; Stephenson, Scott R.; Chen, Linling; Czub, Michael; Dai, Ying; Demchev, Denis; Efimov, Yaroslav; Graczyk, Piotr; Grythe, Henrik; Keil, Kathrin; Kivekas, Niku; Kumar, Naresh; Liu, Nengye; Matelenok, Igor; Myksvoll, Mari; O'Leary, Derek; Raspotnik, Andreas; Ryzhov, Ivan; Solski, Jan; Suo, Lingling; Troein, Caroline; Valeeva, Vilena; Van Rijckevorsel, Jaap; Wighting, Jonathan; Olsen, Julia; Sachin, Pavithran A. P.; Petersen, Edward</t>
  </si>
  <si>
    <t>Commercial Arctic shipping through the Northeast Passage: routes, resources, governance, technology, and infrastructure</t>
  </si>
  <si>
    <t>ICE; CONFLICT; CLOUD</t>
  </si>
  <si>
    <t>The Russian and Norwegian Arctic are gaining notoriety as an alternative maritime route connecting the Atlantic and Pacific Oceans and as sources of natural resources. The renewed interest in the Northeast Passage or the Northern Sea Route is fueled by a recession of Arctic sea ice coupled with the discovery of new natural resources at a time when emerging and global markets are in growing demand for them. Driven by the expectation of potential future economic importance of the region, political interest and governance has been rapidly developing, mostly within the Arctic Council. However, this paper argues that optimism regarding the potential of Arctic routes as an alternative to the Suez Canal is overstated. The route involves many challenges: jurisdictional disputes create political uncertainties; shallow waters limit ship size; lack of modern deepwater ports and search and rescue (SAR) capabilities requires ships to have higher standards of autonomy and safety; harsh weather conditions and free-floating ice make navigation more difficult and schedules more variable; and more expensive ship construction and operation costs lessen the economic viability of the route. Technological advances and infrastructure investments may ameliorate navigational challenges, enabling increased shipping of natural resources from the Arctic to global markets.</t>
  </si>
  <si>
    <t>[Farre, Albert Buixade; Troein, Caroline; Petersen, Edward] Tufts Univ, Fletcher Sch Law &amp; Diplomacy, 160 Packard Ave, Medford, MA 02155 USA; [Stephenson, Scott R.] Univ Connecticut, Dept Geog, Storrs, CT 06269 USA; [Chen, Linling; Demchev, Denis; Suo, Lingling] Nansen Environm &amp; Remote Sensing Ctr, Bergen, Norway; [Czub, Michael] Inst Oceanol Polish Acad Sci, Sopot, Poland; [Dai, Ying] Peking Univ, Sch Phys, Dept Atmospher &amp; Ocean Sci, Beijing, Peoples R China; [Efimov, Yaroslav] Gazprom, Moscow, Russia; [Graczyk, Piotr; Van Rijckevorsel, Jaap] UiT Arctic Univ Norway, Tromso, Norway; [Grythe, Henrik] Stockholm Univ, Atmospher Sci Unit, Stockholm, Sweden; [Keil, Kathrin] Arctic Inst, Inst Adv Sustainabil Studies, Potsdam, Germany; [Kivekas, Niku] Lund Univ, Sweden &amp; Finnish Meteorol Inst, Helsinki, Finland; [Kumar, Naresh] Panjab Univ, Ctr Study Geopolit, Chandigarh, India; [Liu, Nengye] Univ Dundee, Sch Law, Dundee, Scotland; [Matelenok, Igor] State Univ Aerosp Instrumentat, St Petersburg, Russia; [Myksvoll, Mari] Inst Marine Res, Bergen, Norway; [O'Leary, Derek] Univ Calif Berkeley, Dept Hist, Berkeley, CA 94720 USA; [Olsen, Julia] Nordland Res Inst, Bodo, Norway; [Sachin, Pavithran A. P.] Cochin Univ Sci &amp; Technol, Nansen Environm Res Ctr India, Cochin, Kerala, India; [Raspotnik, Andreas] Arctic Inst, Washington, DC USA; [Ryzhov, Ivan] Russian Fed Serv Hydrometeorol &amp; Environm Monitor, Arctic &amp; Antarctic Res Inst, St Petersburg, Russia; [Solski, Jan] UiT Arctic Univ Norway, K G Jebsen Ctr Law Sea, Tromso, Norway</t>
  </si>
  <si>
    <t>Tufts University; University of Connecticut; Nansen Environmental &amp; Remote Sensing Center (NERSC); Polish Academy of Sciences; Institute of Oceanology of the Polish Academy of Sciences; Peking University; Gazprom; UiT The Arctic University of Tromso; Stockholm University; Panjab University; University of Dundee; Saint Petersburg State University of Aerospace Instrumentation; Institute of Marine Research - Norway; University of California System; University of California Berkeley; Cochin University Science &amp; Technology; Arctic &amp; Antarctic Research Institute; UiT The Arctic University of Tromso</t>
  </si>
  <si>
    <t>Farré, AB (corresponding author), Tufts Univ, Fletcher Sch Law &amp; Diplomacy, 160 Packard Ave, Medford, MA 02155 USA.</t>
  </si>
  <si>
    <t>albertbuixade@gmail.com</t>
  </si>
  <si>
    <t>Grythe, Henrik/O-4933-2019; Myksvoll, Mari/HPD-9116-2023; Pavithran AP, Dr.Sachin/GLV-0966-2022; Graczyk, Piotr/O-9808-2014; Demchev, Denis/K-5354-2016; Efimov, Yaroslav/ABA-3471-2021; Demchev, Denis/AAI-2822-2020; Grythe, Henrik/Q-4072-2019; Czub, Michal/V-4867-2017</t>
  </si>
  <si>
    <t>Grythe, Henrik/0000-0001-5074-4858; Pavithran AP, Dr.Sachin/0000-0001-5192-2038; Demchev, Denis/0000-0001-6907-1729; Demchev, Denis/0000-0001-6907-1729; Stephen, Kathrin/0000-0001-9599-0366; Raspotnik, Andreas/0000-0001-5076-1711; Chen, Linling/0000-0002-7865-9177; Suo, Lingling/0000-0003-2385-4730; Solski, Jan/0000-0002-0240-1970; /0000-0002-2995-5017; Olsen, Julia/0000-0003-4507-6503; Matelenok, Igor/0000-0002-2303-206X; Graczyk, Piotr/0000-0001-9707-8522; Czub, Michal/0000-0001-5703-3549; Kivekas, Niku/0000-0002-9592-0584; Kumar, Naresh/0000-0001-5761-0019</t>
  </si>
  <si>
    <t>Nansen Environmental and Remote Sensing Center; Nansen Scientific Society (Bergen, Norway); Norwegian Ministry of Foreign Affairs [NOR13/0095]; University of the Arctic (Rovaniemi, Finland); Institute for Global Maritime Studies (Gloucester, MA, USA); Maj and Tor Nessling Foundation (Helsinki, Finland); Nordland Research Institute (Bodo, Norway); European Union [GA 295092]</t>
  </si>
  <si>
    <t>Nansen Environmental and Remote Sensing Center; Nansen Scientific Society (Bergen, Norway); Norwegian Ministry of Foreign Affairs; University of the Arctic (Rovaniemi, Finland); Institute for Global Maritime Studies (Gloucester, MA, USA); Maj and Tor Nessling Foundation (Helsinki, Finland); Nordland Research Institute (Bodo, Norway); European Union(European Union (EU))</t>
  </si>
  <si>
    <t>The summer school was sponsored by the Nansen Environmental and Remote Sensing Center and Nansen Scientific Society (Bergen, Norway; Grant 'Nansen-NVP summer school 2013'); the Norwegian Ministry of Foreign Affairs [ grant number NOR13/0095]; and the University of the Arctic (Rovaniemi, Finland). It was organized by the Norwegian Scientific Academy for Polar Research (Longyearbyen, Norway); the Nansen Environmental and Remote Sensing Center; the Nansen Scientific Society (Bergen, Norway); and the University Centre in Svalbard (Longyearbyen, Norway). Some participants received further financial support from the Institute for Global Maritime Studies (Gloucester, MA, USA); the Maj and Tor Nessling Foundation (Helsinki, Finland); the Nordland Research Institute (Bodo, Norway) and from the European Union under the FP7 project Indo-MareClim (GA 295092).</t>
  </si>
  <si>
    <t>10.1080/1088937X.2014.965769</t>
  </si>
  <si>
    <t>V64TK</t>
  </si>
  <si>
    <t>WOS:000211123100002</t>
  </si>
  <si>
    <t>Savours, A</t>
  </si>
  <si>
    <t>Savours, Ann</t>
  </si>
  <si>
    <t>The first publication of The South Polar Times, Volume IV</t>
  </si>
  <si>
    <t>POLAR RECORD</t>
  </si>
  <si>
    <t>Polar bibliophiles, librarians and readers will be familiar with the three handsome facsimile volumes of the first Antarctic newspaper, published in 1907 and 1914 and edited in turn by E. Shackleton, L.C. Bernacchi and A. Cherry-Garrard during the National Antarctic Expedition, 1901-1904 and the British Antarctic Expedition 1910-1913. These expeditions were led by Captain R.F. Scott R.N. in Discovery and Terra Nova respectively. From S.Y. Discovery, beset for two winters in the ice of McMurdo Sound were made the first extensive sledge journeys into the interior of the Antarctic continent, including the great ice sheet or plateau. These were further prolonged, following Shackleton's Nimrod expedition, while the pursuit of science during both Scott expeditions led to the publication in London of two monumental sets of scientific and geographical results, plus new charts and maps.</t>
  </si>
  <si>
    <t>Savours, A (corresponding author), Little Bridge Pl, Canterbury CT4 5LG, Kent, England.</t>
  </si>
  <si>
    <t>info@MJGulvin.com</t>
  </si>
  <si>
    <t>32 AVENUE OF THE AMERICAS, NEW YORK, NY 10013-2473 USA</t>
  </si>
  <si>
    <t>0032-2474</t>
  </si>
  <si>
    <t>1475-3057</t>
  </si>
  <si>
    <t>POLAR REC</t>
  </si>
  <si>
    <t>POLAR REC.</t>
  </si>
  <si>
    <t>10.1017/S0032247413000259</t>
  </si>
  <si>
    <t>Ecology; Environmental Sciences</t>
  </si>
  <si>
    <t>272PG</t>
  </si>
  <si>
    <t>WOS:000328472100011</t>
  </si>
  <si>
    <t>Everatt, MJ; Convey, P; Worland, MR; Bale, JS; Hayward, SAL</t>
  </si>
  <si>
    <t>Everatt, M. J.; Convey, P.; Worland, M. R.; Bale, J. S.; Hayward, S. A. L.</t>
  </si>
  <si>
    <t>Contrasting strategies of resistance vs. tolerance to desiccation in two polar dipterans</t>
  </si>
  <si>
    <t>POLAR RESEARCH</t>
  </si>
  <si>
    <t>Acclimation; dipteran; supercooling point; temperature; cross-tolerance</t>
  </si>
  <si>
    <t>ANTARCTIC MIDGE; FREEZE TOLERANCE; COLD TOLERANCE; HEAT-SHOCK; CRYOPROTECTIVE DEHYDRATION; ENVIRONMENTAL PHYSIOLOGY; SUBZERO TEMPERATURES; DROUGHT ACCLIMATION; ARCTIC COLLEMBOLAN; THERMAL TOLERANCES</t>
  </si>
  <si>
    <t>Low water availability is one of the principal stressors for terrestrial invertebrates in the polar regions, determining the survival of individuals, the success of species and the composition of communities. The Arctic and Antarctic dipterans Heleomyza borealis and Eretmoptera murphyi spend the majority of their biennial life cycles as larvae, and so are exposed to the full range of environmental conditions, including low water availability, over the annual cycle. In the current study, the desiccation resistance and desiccation tolerance of larvae were investigated, as well as their capacity for cross-tolerance to temperature stress. Larvae of H. borealis showed high levels of desiccation resistance, only losing 6.9% of their body water after 12 days at 98.2% relative humidity (RH). In contrast, larvae of E. murphyi lost 46.7% of their body water after 12 days at the same RH. Survival of E. murphyi larvae remained high in spite of this loss (&gt;80% survival). Following exposure to 98.2% RH, larvae of E. murphyi showed enhanced survival at -18 degrees C for 2 h. The supercooling point of larvae of both species was also lowered following prior treatment at 98.2% RH. Cross-tolerance to high temperatures (37 or 38.5 degrees C) was not noted following desiccation in E. murphyi, and survival even fell at 37 degrees C following a 12-day pre-treatment. The current study demonstrates two different strategies of responding to low water availability in the polar regions and indicates the potential for cross-tolerance, a capacity which is likely to be beneficial in the ever-changing polar climate.</t>
  </si>
  <si>
    <t>[Everatt, M. J.; Bale, J. S.; Hayward, S. A. L.] Univ Birmingham, Sch Biosci, Birmingham B15 2TT, W Midlands, England; [Convey, P.; Worland, M. R.] British Antarctic Survey, Nat Environm Res Council, Cambridge CB3 0ET, England; [Convey, P.] Univ Malaya, Natl Antarct Res Ctr, Kuala Lumpur 50603, Malaysia</t>
  </si>
  <si>
    <t>University of Birmingham; UK Research &amp; Innovation (UKRI); Natural Environment Research Council (NERC); NERC British Antarctic Survey; Universiti Malaya</t>
  </si>
  <si>
    <t>Everatt, MJ (corresponding author), Univ Birmingham, Sch Biosci, Birmingham B15 2TT, W Midlands, England.</t>
  </si>
  <si>
    <t>mjemarue@hotmail.co.uk</t>
  </si>
  <si>
    <t>Convey, Peter/AAV-5728-2020</t>
  </si>
  <si>
    <t>Convey, Peter/0000-0001-8497-9903; Hayward, Scott/0000-0002-1899-6630</t>
  </si>
  <si>
    <t>Natural Environment Research Council [RRBN15266]; British Antarctic Survey; University of Birmingham; Natural Environment Research Council; Natural Environment Research Council [bas0100025] Funding Source: researchfish; NERC [bas0100025] Funding Source: UKRI</t>
  </si>
  <si>
    <t>Natural Environment Research Council(UK Research &amp; Innovation (UKRI)Natural Environment Research Council (NERC)); British Antarctic Survey; University of Birmingham;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</si>
  <si>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MJE was funded by the Natural Environment Research Council (RRBN15266) and was supported by the British Antarctic Survey and the University of Birmingham. PC is supported through Natural Environment Research Council core funding to the British Antarctic Survey's Ecosystems programme. This paper also contributes to the Evolution and Biodiversity in Antarctica research programme of the Scientific Committee on Antarctic Research.</t>
  </si>
  <si>
    <t>OPEN ACADEMIA AB</t>
  </si>
  <si>
    <t>SPANGA</t>
  </si>
  <si>
    <t>STORMBYVAGEN 6, SPANGA, SE-163 55, SWEDEN</t>
  </si>
  <si>
    <t>0800-0395</t>
  </si>
  <si>
    <t>1751-8369</t>
  </si>
  <si>
    <t>POLAR RES</t>
  </si>
  <si>
    <t>Polar Res.</t>
  </si>
  <si>
    <t>10.3402/polar.v33.22963</t>
  </si>
  <si>
    <t>Ecology; Geosciences, Multidisciplinary; Oceanography</t>
  </si>
  <si>
    <t>Environmental Sciences &amp; Ecology; Geology; Oceanography</t>
  </si>
  <si>
    <t>AH9JI</t>
  </si>
  <si>
    <t>Green Accepted, gold, Green Published</t>
  </si>
  <si>
    <t>WOS:000336457800001</t>
  </si>
  <si>
    <t>Hughes, KA; Convey, P</t>
  </si>
  <si>
    <t>Hughes, Kevin A.; Convey, Peter</t>
  </si>
  <si>
    <t>Alien invasions in Antarctica-is anyone liable?</t>
  </si>
  <si>
    <t>Liability Annex; non-native species; Environmental Protocol; Antarctic Treaty area; eradication; environmental emergency</t>
  </si>
  <si>
    <t>BIOLOGICAL INVASIONS; BAHIA-PARAISO; TERRESTRIAL; IMPACTS; LIFE; CONSERVATION; BIODIVERSITY; ECOSYSTEMS; COMMUNITY; HISTORY</t>
  </si>
  <si>
    <t>The introduction of non-native species to Antarctica in association with human activities is a major threat to indigenous biodiversity and the region's unique ecosystems, as has been well-demonstrated in other ecosystems globally. Existing legislation contained in the Protocol on Environmental Protection to the Antarctic Treaty does not specifically make the eradication of non-native species mandatory, although it is implicit that human-assisted introductions should not take place. Furthermore, to date, eradications of non-native species in the Treaty area have been infrequent and slow to progress. In 2005 an additional Annex (VI) to the Protocol was agreed concerning Liability arising from environmental emergencies.'' This annex focusses on prevention of environmental emergencies, contingency planning and reclaiming costs incurred when responding to an environmental emergency caused by another operator within the Antarctic Treaty area. However, the types of environmental emergencies covered by the annex are not defined. In this paper we highlight potential difficulties with the application of Annex VI in the context of non-native species control and eradication, including, for example, whether a non-native species introduction would be classified as an environmental emergency'' and therefore be considered under the terms of the annex. Even if this were the case, we conclude that the slow pace of approval of the annex by Antarctic Treaty Parties may prevent it coming into force for many years and, once in force, in its current form it is unlikely to be useful for reclaiming costs associated with the eradication or management of a non-native species.</t>
  </si>
  <si>
    <t>[Hughes, Kevin A.; Convey, Peter] British Antarctic Survey, NERC, Cambridge CB3 0ET, England</t>
  </si>
  <si>
    <t>Hughes, KA (corresponding author), British Antarctic Survey, NERC, Madingley Rd, Cambridge CB3 0ET, England.</t>
  </si>
  <si>
    <t>kehu@bas.ac.uk</t>
  </si>
  <si>
    <t>Convey, Peter/AAV-5728-2020; Hughes, Kevin/JVZ-0793-2024</t>
  </si>
  <si>
    <t>Convey, Peter/0000-0001-8497-9903;</t>
  </si>
  <si>
    <t>NERC [bas0100025, bas010011] Funding Source: UKRI; Natural Environment Research Council [bas0100025, bas010011] Funding Source: researchfish</t>
  </si>
  <si>
    <t>10.3402/polar.v33.22103</t>
  </si>
  <si>
    <t>AH2AS</t>
  </si>
  <si>
    <t>WOS:000335923700001</t>
  </si>
  <si>
    <t>Cheng, WF; Zhang, J; Zhang, X; Zhu, JG; Yang, R; Wu, H</t>
  </si>
  <si>
    <t>Douglas, C; Yucheng, G</t>
  </si>
  <si>
    <t>Cheng, Wenfang; Zhang, Jie; Zhang, Xia; Zhu, Jiangang; Yang, Rui; Wu, Hao</t>
  </si>
  <si>
    <t>Research on Chinese Polar Knowledge Repository and Its Infrastructure</t>
  </si>
  <si>
    <t>PROCEEDINGS OF THIRTEENTH INTERNATIONAL SYMPOSIUM ON DISTRIBUTED COMPUTING AND APPLICATIONS TO BUSINESS, ENGINEERING AND SCIENCE, (DCABES 2014)</t>
  </si>
  <si>
    <t>International Symposium on Distributed Computing and Applications to Business Engineering &amp; Science</t>
  </si>
  <si>
    <t>13th International Symposium on Distributed Computing and Applications to Business, Engineering and Science (DCABES)</t>
  </si>
  <si>
    <t>NOV 24-27, 2014</t>
  </si>
  <si>
    <t>Xian Ning, PEOPLES R CHINA</t>
  </si>
  <si>
    <t>Polar Region; Entry; Knowledge Repository; Data Sharing</t>
  </si>
  <si>
    <t>The knowledge repository of China polar expedition is an open and authoritative online information repository. It publishes information entries relating to Chinese Arctic and Antarctic expeditions' activities. To better make use of the polar resource, this paper designs a basic structure on knowledge query, and presents an automatic query system for data sharing. The system gives the function module and its function description. This article states investigations in related with data source, data process and network structure, and proposes in the end the extension and development of the knowledge repository.</t>
  </si>
  <si>
    <t>[Cheng, Wenfang; Zhang, Jie; Zhang, Xia; Zhu, Jiangang; Yang, Rui; Wu, Hao] Polar Res Inst China, Shanghai 200136, Peoples R China; [Cheng, Wenfang; Zhang, Jie; Yang, Rui; Wu, Hao] Chinese Natl Arctic &amp; Antarctic Data Ctr, Shanghai 200136, Peoples R China</t>
  </si>
  <si>
    <t>Polar Research Institute of China</t>
  </si>
  <si>
    <t>Cheng, WF (corresponding author), Polar Res Inst China, Shanghai 200136, Peoples R China.</t>
  </si>
  <si>
    <t>chengwenfang@pric.gov.cn; zhangjie@pric.gov.cn; zhangxia@pric.gov.cn; zhujiangang@pric.gov.cn; yangrui@pric.gov.cn; wuhao@pric.gov.cn</t>
  </si>
  <si>
    <t>basic condition platform of Ministry of Science and Technology - Data Sharing Infrastructure of Earth System Science [2005DKA32300]; China polar science strategy research fund project [20120106]; State Oceanic Administration polar science key lab open research fund [KP201110]</t>
  </si>
  <si>
    <t>basic condition platform of Ministry of Science and Technology - Data Sharing Infrastructure of Earth System Science; China polar science strategy research fund project; State Oceanic Administration polar science key lab open research fund</t>
  </si>
  <si>
    <t>This research is funded by projects: basic condition platform of Ministry of Science and Technology - Data Sharing Infrastructure of Earth System Science (2005DKA32300), China polar science strategy research fund project (20120106), and the State Oceanic Administration polar science key lab open research fund (KP201110).</t>
  </si>
  <si>
    <t>IEEE</t>
  </si>
  <si>
    <t>345 E 47TH ST, NEW YORK, NY 10017 USA</t>
  </si>
  <si>
    <t>2379-3724</t>
  </si>
  <si>
    <t>978-1-4799-4169-8</t>
  </si>
  <si>
    <t>INT SYMP DISTR COMPU</t>
  </si>
  <si>
    <t>10.1109/DCABES.2014.16</t>
  </si>
  <si>
    <t>Computer Science, Interdisciplinary Applications; Computer Science, Theory &amp; Methods</t>
  </si>
  <si>
    <t>Computer Science</t>
  </si>
  <si>
    <t>BG9MC</t>
  </si>
  <si>
    <t>WOS:000393420900013</t>
  </si>
  <si>
    <t>Seppälä, A; Matthes, K; Randall, CE; Mironova, IA</t>
  </si>
  <si>
    <t>Seppala, Annika; Matthes, Katja; Randall, Cora E.; Mironova, Irina A.</t>
  </si>
  <si>
    <t>What is the solar influence on climate? Overview of activities during CAWSES-II</t>
  </si>
  <si>
    <t>PROGRESS IN EARTH AND PLANETARY SCIENCE</t>
  </si>
  <si>
    <t>Climate; Atmosphere; Solar irradiance; Total solar irradiance; TSI; Solar spectral irradiance; SSI; Energetic particles; EPP; Cosmic rays</t>
  </si>
  <si>
    <t>ENERGETIC PARTICLE-PRECIPITATION; GALACTIC COSMIC-RAYS; POLAR STRATOSPHERIC AEROSOLS; SPECTRAL IRRADIANCE; PROTON EVENTS; SHORT-TERM; MODEL; CYCLE; NOX; VARIABILITY</t>
  </si>
  <si>
    <t>This paper presents an overview of the main advances in the Key Questions identified by the Task Group 'What is the Solar Influence on Climate' by the SCOSTEP CAWSES-II science program. We go through different aspects of solar forcing from solar irradiance, including total solar irradiance (TSI) and solar spectral irradiance (SSI), to energetic particle forcing, including energetic particle precipitation (EPP) and cosmic rays (CR). Besides discussing the main advances in the timeframe 2009 to 2013, we also illustrate the proposed mechanism for climate variability for the different solar variability sources listed above. The key questions are as follows: What is the importance of spectral variations to solar influences on climate? What is the effect of energetic particle forcing on the whole atmosphere and what are the implications for climate? How well do models reproduce and predict solar irradiance and energetic particle influences on the atmosphere and climate?</t>
  </si>
  <si>
    <t>[Seppala, Annika] Finnish Meteorol Inst, POB 506, FI-00101 Helsinki, Finland; [Seppala, Annika] British Antarctic Survey, NERC, Cambridge CB3 0ET, England; [Matthes, Katja] GEOMAR Helmholtz Ctr Ocean Res Kiel, D-24105 Kiel, Germany; [Randall, Cora E.] Univ Colorado, LASP ATOC, Boulder, CO 80303 USA; [Mironova, Irina A.] St Petersburg State Univ, Inst Phys, St Petersburg 198504, Russia</t>
  </si>
  <si>
    <t>Finnish Meteorological Institute; UK Research &amp; Innovation (UKRI); Natural Environment Research Council (NERC); NERC British Antarctic Survey; Helmholtz Association; GEOMAR Helmholtz Center for Ocean Research Kiel; University of Colorado System; University of Colorado Boulder; Saint Petersburg State University</t>
  </si>
  <si>
    <t>Seppälä, A (corresponding author), Finnish Meteorol Inst, POB 506, FI-00101 Helsinki, Finland.</t>
  </si>
  <si>
    <t>Seppälä, Annika/C-8031-2014; Mironova, Irina A/I-1663-2012; Randall, Cora E/L-8760-2014; Matthes, Katja/F-7361-2014</t>
  </si>
  <si>
    <t>Seppälä, Annika/0000-0002-5028-8220; Mironova, Irina A/0000-0003-4437-834X; Matthes, Katja/0000-0003-1801-3072</t>
  </si>
  <si>
    <t>Finnish Academy [258165, 265005]; Helmholtz-University Young Investigators Group NATHAN - Helmholtz Association through the Presidents Initiative and Networking Fund; GEOMAR Helmholtz Centre for Ocean Research Kiel; NASA Living With a Star [NNX14AH54G, NNX10AQ54G]; NSF [AGS 1135432]; RFBR [N13-05-01063A]; European Union COST Action ES1005 TOSCA; SPARC/SOLARIS-HEPPA; NASA [122670, NNX10AQ54G] Funding Source: Federal RePORTER</t>
  </si>
  <si>
    <t>Finnish Academy(Research Council of Finland); Helmholtz-University Young Investigators Group NATHAN - Helmholtz Association through the Presidents Initiative and Networking Fund; GEOMAR Helmholtz Centre for Ocean Research Kiel(Helmholtz Association); NASA Living With a Star(National Aeronautics &amp; Space Administration (NASA)); NSF(National Science Foundation (NSF)); RFBR(Russian Foundation for Basic Research (RFBR)); European Union COST Action ES1005 TOSCA; SPARC/SOLARIS-HEPPA; NASA(National Aeronautics &amp; Space Administration (NASA))</t>
  </si>
  <si>
    <t>AS gratefully acknowledges funding from the Finnish Academy (Projects #258165 and #265005 CLASP). KM acknowledges support from the Helmholtz-University Young Investigators Group NATHAN funded by the Helmholtz Association through the Presidents Initiative and Networking Fund and the GEOMAR Helmholtz Centre for Ocean Research Kiel. CER gratefully acknowledges funding from NASA Living With a Star (programs NNX14AH54G and NNX10AQ54G) and NSF program AGS 1135432. IM acknowledges support from RFBR (grant N13-05-01063A) and useful discussions within the ISSI Teams on 'Study of Cosmic Ray Influence upon Atmospheric Processes' and 'Specification of Ionization Sources Affecting Atmospheric Processes'. AS and IM would like to thank Japan Geoscience Union for providing travel support for their attendance of the CAWSES-II symposium in Nagoya. We gratefully acknowledge the support from the European Union COST Action ES1005 TOSCA (http://www.tosca-cost.eu) and the SPARC/SOLARIS-HEPPA activity.</t>
  </si>
  <si>
    <t>SPRINGEROPEN</t>
  </si>
  <si>
    <t>CAMPUS, 4 CRINAN ST, LONDON, N1 9XW, ENGLAND</t>
  </si>
  <si>
    <t>2197-4284</t>
  </si>
  <si>
    <t>PROG EARTH PLANET SC</t>
  </si>
  <si>
    <t>Prog. Earth Planet. Sci.</t>
  </si>
  <si>
    <t>10.1186/s40645-014-0024-3</t>
  </si>
  <si>
    <t>V33UL</t>
  </si>
  <si>
    <t>WOS:000215790200023</t>
  </si>
  <si>
    <t>Garabato, ACN; Williams, AP; Bacon, S</t>
  </si>
  <si>
    <t>Garabato, Alberto C. Naveira; Williams, Adam P.; Bacon, Sheldon</t>
  </si>
  <si>
    <t>The three-dimensional overturning circulation of the Southern Ocean during the WOCE era</t>
  </si>
  <si>
    <t>PROGRESS IN OCEANOGRAPHY</t>
  </si>
  <si>
    <t>ANTARCTIC CIRCUMPOLAR CURRENT; LARGE-SCALE CIRCULATION; WATER MASS FORMATION; DIAPYCNAL FLUXES; AGULHAS CURRENT; HEAT-TRANSPORT; DRAKE PASSAGE; INDIAN-OCEAN; BOTTOM WATER; WEDDELL SEA</t>
  </si>
  <si>
    <t>A box inverse model of the Southern Ocean during the World Ocean Circulation Experiment is constructed to investigate the three-dimensional structure of the regional overturning circulation in that era. The model has many features in common with various preceding inverse studies, but also contains several novel elements that make it well suited for addressing many of the significant uncertainties that surround the circulation at present. The net overturning circulation of the Southern Ocean is found to consist of two well-defined cells of similar strength. The upper cell consists of a northward transport of 18.8 +/- 5.5 Sv of surface, mode and intermediate waters lighter than the 27.5 kg m(-3) isoneutral, and an equivalent southward flow in the approximate 27.5-27.9 kg m(-3) neutral density range, encompassing the bulk of the Upper Circumpolar Deep Water. The lower cell involves the northward export of 18.6 +/- 0.9 Sv of Antarctic Bottom Water and Lower Circumpolar Deep Water denser than 28.08 kg m(-3), and an opposing transport in the lighter classes of that water mass. Substantial structural differences between the overturning circulations of the Atlantic, Indian and Pacific basins are indicated by the model's solution. Overall, the diagnosed Southern Ocean circulation shares many qualitative and some quantitative features with previous inverse estimates, particularly as regards the large-scale, depth-integrated lateral circulation and associated energy fluxes in the subtropics and in the Antarctic Circumpolar Current, and the strength of the upper overturning cell. However, it also suggests several significant adjustments to current views of the regional circulation. Most notable amongst these are: the subpolar circulation of the Southern Ocean is more vigorous and zonally interconnected than generally thought; the associated lower overturning cell is more intense than indicated by most preceding estimates; contrary to common perception, sub-surface mixing processes play a role of comparable importance to airsea-ice exchanges of buoyancy in underpinning the dianeutral closure of the Southern Ocean overturning, even at shallow (mode and intermediate water) levels; and the connection between North Atlantic deep water formation and Southern Ocean upwelling is fundamentally three-dimensional, such that deep waters from the North Atlantic must upwell dianeutrally before being returned to the permanent pycnodine of the northern oceans. (C) 2013 Elsevier Ltd. All rights reserved.</t>
  </si>
  <si>
    <t>[Garabato, Alberto C. Naveira; Williams, Adam P.] Univ Southampton, Natl Oceanog Ctr, Southampton SO14 3ZH, Hants, England; [Bacon, Sheldon] Natl Oceanog Ctr, Southampton, Hants, England</t>
  </si>
  <si>
    <t>NERC National Oceanography Centre; University of Southampton; NERC National Oceanography Centre</t>
  </si>
  <si>
    <t>Garabato, ACN (corresponding author), Univ Southampton, Natl Oceanog Ctr, Southampton SO14 3ZH, Hants, England.</t>
  </si>
  <si>
    <t>acng@noc.soton.ac.uk</t>
  </si>
  <si>
    <t>Bacon, Sheldon/B-1519-2013; Garabato, Alberto Naveira/AAQ-1114-2020</t>
  </si>
  <si>
    <t>Bacon, Sheldon/0000-0002-2471-9373; Garabato, Alberto Naveira/0000-0001-6071-605X</t>
  </si>
  <si>
    <t>U.K. Natural Environment Research Council (NERC); ACNG [NE/C517633/1]; NERC [NE/E013341/1, NE/E01366X/1] Funding Source: UKRI; Natural Environment Research Council [NE/E013341/1, NE/E01366X/1, noc010012, NE/C517633/1] Funding Source: researchfish</t>
  </si>
  <si>
    <t>U.K. Natural Environment Research Council (NERC)(UK Research &amp; Innovation (UKRI)Natural Environment Research Council (NERC)); ACNG; NERC(UK Research &amp; Innovation (UKRI)Natural Environment Research Council (NERC)); Natural Environment Research Council(UK Research &amp; Innovation (UKRI)Natural Environment Research Council (NERC))</t>
  </si>
  <si>
    <t>We are grateful to the U.K. Natural Environment Research Council (NERC) for supporting APW through a Ph.D. studentship, and ACNG through an Advanced Research Fellowship (NE/C517633/1). We thank Ric Williams and an anonymous reviewer for valuable feedback, and Hartmut Hellmer for kindly providing the output from the BRIOS model.</t>
  </si>
  <si>
    <t>0079-6611</t>
  </si>
  <si>
    <t>PROG OCEANOGR</t>
  </si>
  <si>
    <t>Prog. Oceanogr.</t>
  </si>
  <si>
    <t>10.1016/j.pocean.2013.07.018</t>
  </si>
  <si>
    <t>AA3UH</t>
  </si>
  <si>
    <t>WOS:000331019300003</t>
  </si>
  <si>
    <t>Litzow, MA; Mueter, FJ</t>
  </si>
  <si>
    <t>Litzow, Michael A.; Mueter, Franz J.</t>
  </si>
  <si>
    <t>Assessing the ecological importance of climate regime shifts: An approach from the North Pacific Ocean</t>
  </si>
  <si>
    <t>ALTERNATIVE STABLE STATES; COMMUNITY REORGANIZATION; BERING-SEA; RESPONSES; DYNAMICS; SURVIVAL; ALASKA; VARIABILITY; RECRUITMENT; ECOSYSTEMS</t>
  </si>
  <si>
    <t>We used an indicator approach to address outstanding questions concerning the ecological importance of low-frequency climate variability in the northeast Pacific Ocean. Our data consist of a previously-published set of 33 climate and 64 biology time series, updated by us for the years 1965-2011 (for climate data) and 1965-2008 (for biology data). A model-selection approach showed that the first axis of variability in large-scale climate indices (PC1(ci)), the first and second axes for local climate parameters (PC1(cp) and PC2(cp)) and the second axis for biological variability (PC2(biol)) all showed temporal variability best described by abrupt shifts. In contrast, PC1(biol) showed gradual, rather than abrupt, temporal variability, suggesting that the leading axis of biological variability was not dominated by abrupt transitions following climate regime shifts. The leading mode of variability in detrended North Pacific sea surface temperature, the Pacific Decadal Oscillation, showed reduced amplitude from the late 1980s until the mid-2000s, and we found that this change in PDO behavior was associated with a decline in the strength of the leading pattern of basin-scale biological variability (PC1(biol)). A reversion to a PDO-negative state in the winter of 2007/08 was associated with the largest observed annual change in the PC1(bio)-PC2(bio) Phase space, suggesting renewed ecological importance of the PDO. However, a subset of biology time series (n = 23) for which more recent data were available did not show persistent change in PC1(bio) or PC2(bio) during 2008-2011, thus failing to support the hypothesis of widespread ecological response to the putative 2007/08 shift. To further assess the possible ecological importance of low-frequency climate variability in recent years, we compared changes in the PDO-North Pacific Gyre Oscillation (NPGO) phase space for 2007/08 with ecologically important (1976/77) and less important (1988/89) climate regime shifts of the past. We found that all three shifts involved PDO-NPGO variability of similar magnitude (i.e., similar pulse disturbances), but that the 1976/77 shift was followed by a period of stability in a new climate state (i.e., strong press disturbance), while the 1988/89 shift was not followed by a period of stability (weak press disturbance). Data through 2013 suggest that the press disturbance following 2007/08 is similar to that following 1976/77, implying that the putative 2007/08 shift may eventually prove to be ecologically important. Our pulse-press approach provides a formal framework for distinguishing transient and persistent climate perturbations at the ends of time series. (C) 2013 Elsevier Ltd. All rights reserved.</t>
  </si>
  <si>
    <t>[Litzow, Michael A.] Blue World Res, Anchorage, AK 99508 USA; [Litzow, Michael A.] Univ Tasmania, Inst Marine &amp; Antarctic Studies, Hobart, Tas 7001, Australia; [Mueter, Franz J.] Univ Alaska Fairbanks, Sch Fisheries &amp; Ocean Sci, Juneau, AK 99801 USA</t>
  </si>
  <si>
    <t>University of Tasmania; University of Alaska System; University of Alaska Fairbanks</t>
  </si>
  <si>
    <t>Litzow, MA (corresponding author), Univ Tasmania, Inst Marine &amp; Antarctic Studies, Private Bag 129, Hobart, Tas 7001, Australia.</t>
  </si>
  <si>
    <t>malitzow@utas.edu.au; fmueter@alaska.edu</t>
  </si>
  <si>
    <t>California Department of Boating and Waterways; North Pacific Research Board (NPRB) [1024]; NPRB BSIERP program [B68]</t>
  </si>
  <si>
    <t>California Department of Boating and Waterways; North Pacific Research Board (NPRB); NPRB BSIERP program</t>
  </si>
  <si>
    <t>We gratefully acknowledge the late Dan Goodman for his support of this work. We are also extremely grateful to the following people for assisting us with access to data: Jennifer Boldt, Jen Bowen, Greg Buck, Melissa Carter, Paul Crone, Sherri Dressel, Doug Eggers, Michael Folkes, Dana Hanselman, Steven Hare, Amy Hays, Jim Ianelli, Jim Ingraham, Bruce Kauffman, David Mackas, Steve Moffitt, Ian Perry, Jake Schweigert, Paul Spencer, Grant Thompson, Dan Urban, John Wallace and Muyin Wang. We also thank Nick Bond for helpful conversation and Steven Hare for his extensive assistance, and Stewart Frusher, Alistair Hobday, Nate Mantua and an anonymous reviewer for helpful comments on earlier versions of the paper. Scripps Pier SST data collection is made possible by the Shore Stations Program with current support from the California Department of Boating and Waterways. Funding for M.A.L. was provided by the North Pacific Research Board (NPRB; Project 1024), funding for F.J.M. was provided by the NPRB BSIERP program (Project B68). This is NPRB contribution 435 and BEST-BSIERP contribution 109.</t>
  </si>
  <si>
    <t>1873-4472</t>
  </si>
  <si>
    <t>10.1016/j.pocean.2013.08.003</t>
  </si>
  <si>
    <t>WOS:000331019300006</t>
  </si>
  <si>
    <t>Pardo, PC; Pérez, FF; Khatiwala, S; Ríos, AF</t>
  </si>
  <si>
    <t>Pardo, Paula C.; Perez, F. F.; Khatiwala, S.; Rios, A. F.</t>
  </si>
  <si>
    <t>Anthropogenic CO2 estimates in the Southern Ocean: Storage partitioning in the different water masses</t>
  </si>
  <si>
    <t>BOTTOM WATER; INDIAN-OCEAN; HYDROGRAPHIC SECTION; PREFORMED ALKALINITY; INORGANIC CARBON; TRANSIT-TIME; DEEP-OCEAN; ATLANTIC; CIRCULATION; AIR</t>
  </si>
  <si>
    <t>The role of the Southern Ocean (SO) remains a key issue in our understanding of the global carbon cycle and for predicting future climate change. A number of recent studies suggest that 30 to 40% of ocean uptake of anthropogenic carbon (CANT) occurs in the SO, accompanied by highly efficient transport of CANT by intermediate-depth waters out of that region. In contrast, storage of CANT in deep and bottom layers is still an open question. Significant discrepancies can be found between results from several indirect techniques and ocean models. Even though reference methodologies state that CANT concentrations in deep and bottom layers of the SO are negligible, recent results from tracer-based methods and ocean models as well as accurate measurements of Ar-39, CCl4 and CFCs along the continental slope and in the Antarctic deep and bottom waters contradict this conclusion. The role of the SO in the uptake, storage and transport of CANT has proved to be really important for the global ocean and there is a need for agreement between the different techniques. A CO2-data-based (back-calculation) method, the C-T(O) method, was developed with the aim of obtaining more accurate CANT concentration and inventory estimates in the SO region (south of 45 S). Data from the GLODAP (Global Ocean Data Analysis Project) and CARINA databases were used. The C-T(0.)). method tries to reduce at least two of the main caveats attributed to the back-calculation methods: the need for a better definition of water mass mixing and, most importantly, the unsteady state of the air-sea CO2 disequilibrium (Delta C-dis) term. Water mass mixing was computed on the basis of results from an extended Optimum Multi-Parametric (eOMP) analysis applied to the main water masses of the SO. Recently published parameterizations were used to obtain more reliable values of ACd,, and also of preformed alkalinity. The variability of the ACcus term (8Cdis) was approximated using results from an ocean carbon cycle model. Results from the C7. method are compared with those from the AC method, the TrOCA method, and two different tracer-based approaches, the transit-time distribution (TTD) and Green's function (GF) methods. We find that the TTD, GF and CT methods give very similar estimates for the SO's inventory (with reference to the year 1994) of 30 2, 22 2,29 3 PgC, respectively. Importantly, Antarctic Bottom Water shows CANT concentrations of 9 +/- 1, 3 +/- 0.3, 6 +/- 1 mu mol kg(-1), contributing 6-12% of the SO's inventory. The AC* and TrOCA methods seem to underestimate and overestimate, respectively, both the total C-ANT inventory and C-ANT concentrations in deep and bottom layers. Results from the O. method suggest that deep and bottom layers of the water column in the SO contain, in general, low concentrations of C-ANT compared with subsurface and intermediate layers but higher than those recorded in the global databases. It is important to note that, as deep and bottom layers in the SO fill two of the most voluminous water masses of the global ocean, even these relatively low values of C-ANT can be of considerable importance when computing the inventories in the water column, mostly in the SO but also in outer regions where bottom waters spread. (C) 2013 Elsevier Ltd. All rights reserved.</t>
  </si>
  <si>
    <t>[Pardo, Paula C.; Perez, F. F.; Rios, A. F.] CSIC, Spanish Natl Res Council, Inst Invest Marinas, Vigo 36208, Pontevedra, Spain; [Khatiwala, S.] Univ Oxford, Dept Earth Sci, Oxford OX1 3PR, England</t>
  </si>
  <si>
    <t>Consejo Superior de Investigaciones Cientificas (CSIC); CSIC - Instituto de Investigaciones Marinas (IIM); University of Oxford</t>
  </si>
  <si>
    <t>Pardo, PC (corresponding author), CSIC, Spanish Natl Res Council, Inst Invest Marinas, Eduardo Cabello 6, Vigo 36208, Pontevedra, Spain.</t>
  </si>
  <si>
    <t>pconde@iim.csic.es</t>
  </si>
  <si>
    <t>C. Pardo, Paula/A-8217-2019; Fernandez Perez, Fiz/B-9001-2011</t>
  </si>
  <si>
    <t>C. Pardo, Paula/0000-0001-6348-2332; Fernandez Perez, Fiz/0000-0003-4836-8974</t>
  </si>
  <si>
    <t>European Commission's Seventh Framework [264879]; Spanish Ministry of Sciences and Innovation; Fondo Europeo de Desarrollo Regional (FEDER) [CTM2010-17141/MAR]; U.S. NSF grant [OCE 10-60804]; Division Of Ocean Sciences; Directorate For Geosciences [1060804] Funding Source: National Science Foundation</t>
  </si>
  <si>
    <t>European Commission's Seventh Framework(European Union (EU)European Commission Joint Research Centre); Spanish Ministry of Sciences and Innovation(Spanish Government); Fondo Europeo de Desarrollo Regional (FEDER)(European Union (EU)Spanish Government); U.S. NSF grant(National Science Foundation (NSF)); Division Of Ocean Sciences; Directorate For Geosciences(National Science Foundation (NSF)NSF - Directorate for Geosciences (GEO))</t>
  </si>
  <si>
    <t>We thank the scientists and also the crew for participating in the different cruises and collecting data for the CARINA and GLO-DAP databases. The research leading to these results was supported through EU FP7 project CARBOCHANGE Changes in carbon uptake and emissions by oceans in a changing climate which received funding form the European Commission's Seventh Framework under grant agreement no. 264879 and by the Spanish Ministry of Sciences and Innovation, and was co-founded by the Fondo Europeo de Desarrollo Regional 2007-2012 (FEDER) through the CATARINA Project (CTM2010-17141/MAR). SK was funded by U.S. NSF grant OCE 10-60804. The corresponding author is contracted by the CARBOCHANGE Project.</t>
  </si>
  <si>
    <t>10.1016/j.pocean.2013.09.005</t>
  </si>
  <si>
    <t>WOS:000331019300014</t>
  </si>
  <si>
    <t>Ward, P; Tarling, GA; Thorpe, SE</t>
  </si>
  <si>
    <t>Ward, Peter; Tarling, Geraint A.; Thorpe, Sally E.</t>
  </si>
  <si>
    <t>Mesozooplankton in the Southern Ocean: Spatial and temporal patterns from Discovery Investigations</t>
  </si>
  <si>
    <t>ANTARCTIC CIRCUMPOLAR CURRENT; MARGINAL ICE-ZONE; COMMUNITY STRUCTURE; ZOOPLANKTON COMMUNITY; SCOTIA SEA; PLANKTON COMMUNITY; VERTICAL MIGRATION; PELAGIC COPEPODS; ATLANTIC SECTOR; POLAR FRONT</t>
  </si>
  <si>
    <t>Mesozooplankton samples taken during the Discovery Investigations in the Southern Ocean in the 1930s were analysed from a series of 5 transects along 80 W. The samples provide a unique level of depth-discrete resolution across large spatial scales, over most of the productive austral season. Stratified net hauls were taken between 0 and 1000 m within the period December 1933 to November 1934. Within the epipelagic (0-100 m), median zooplankton abundance (278 ind. m(-3)) was similar to 22 times greater than at 1000 m. A 3-4-fold variability of abundance in the epipelagic contrasted with depths &gt;250 m where variability was &lt;1-fold. Depth was the strongest factor separating samples (ANOSIM, R = 0.66 p = 0.1%), with a clear biological distinction between epipelagic and upper and lower mesopelagic horizons. Results from multidimensional scaling indicated that, when plankton abundance was integrated over all depth horizons, 3 different groups could be identified. These 'communities' were consistent with the spatial extents of Antarctic, Polar Frontal Zone, and sub-Antarctic water-mass regimes. Such groupings became less distinct when considering only deeper horizons (500-1000 m) and excluding seasonal migrants. Seasonal signals across all data became less distinct with depth. Rarefaction analysis indicated that diversity increased with depth. Although depth alone was the most important influence on sample diversity, (r(2) = 0.60), water mass regime and month improved the fit (r(2) = 0.71). Overall plankton diversity was highest in the sub-Antarctic zone. Following atmospheric and ocean warming that has taken place close to the study area in the last 80 years we hypothesise that species richness may increase in the Antarctic water masses as sub-Antarctic species increasingly encroach south. (C) 2013 Elsevier Ltd. All rights reserved.</t>
  </si>
  <si>
    <t>[Ward, Peter; Tarling, Geraint A.; Thorpe, Sally E.] British Antarctic Survey, NERC, Cambridge CB3 0ET, England</t>
  </si>
  <si>
    <t>Ward, P (corresponding author), British Antarctic Survey, NERC, Madingley Rd, Cambridge CB3 0ET, England.</t>
  </si>
  <si>
    <t>pwar@bas.ac.uk</t>
  </si>
  <si>
    <t>Thorpe, Sally/0000-0002-5193-6955</t>
  </si>
  <si>
    <t>EC's Framework 6 EUR-OCEANS European Network of Excellence; BAS via the Polar Data Centre and Ecosystems Programme; Natural Environment Research Council [bas0100025] Funding Source: researchfish; NERC [bas0100025] Funding Source: UKRI</t>
  </si>
  <si>
    <t>EC's Framework 6 EUR-OCEANS European Network of Excellence; BAS via the Polar Data Centre and Ecosystems Programme; Natural Environment Research Council(UK Research &amp; Innovation (UKRI)Natural Environment Research Council (NERC)); NERC(UK Research &amp; Innovation (UKRI)Natural Environment Research Council (NERC))</t>
  </si>
  <si>
    <t>This work forms part of a joint venture between the British Antarctic Survey (BAS) and National Oceanography Centre, Southampton. Its initial stages were funded by the EC's Framework 6 EUR-OCEANS European Network of Excellence (now the EUR-OCEANS Consortium) and then through BAS via the Polar Data Centre and Ecosystems Programme.</t>
  </si>
  <si>
    <t>10.1016/j.pocean.2013.10.011</t>
  </si>
  <si>
    <t>WOS:000331019300019</t>
  </si>
  <si>
    <t>Oh, J; Reischmann, E; Rial, JA</t>
  </si>
  <si>
    <t>Oh, Jeseung; Reischmann, Elizabeth; Rial, Jose A.</t>
  </si>
  <si>
    <t>Polar synchronization and the synchronized climatic history of Greenland and Antarctica</t>
  </si>
  <si>
    <t>QUATERNARY SCIENCE REVIEWS</t>
  </si>
  <si>
    <t>Polar synchronization; Climate synchronization; Paleoclimate; Climate modeling; Non-linear oscillator; Non-linear coupling; Polar climate</t>
  </si>
  <si>
    <t>EMPIRICAL MODE DECOMPOSITION; SEA-ICE EXTENT; NORTH-ATLANTIC; OCEAN TEMPERATURE; TIME-SERIES; OSCILLATIONS; SYSTEM; PHASE; VARIABILITY; CIRCULATION</t>
  </si>
  <si>
    <t>Stable isotope proxies from ice cores show subtle differences in the climatic fluctuations of the Arctic and Antarctic, and recent analyses have revealed evidence of polar synchronization at the millennial time scale. At this scale, we analogize the polar climates of the last ice ages to two coupled nonlinear oscillators, which adjust their natural rhythms until they synchronize at a common frequency and constant phase shift. Heat and mass transfers across the intervening ocean and atmosphere make the coupling possible. Here we statistically demonstrate the existence of this phenomenon in polar proxy records with methane-matched age models, and quantify their phase relationship. We show that the time series of representative proxy records of the last glaciation recorded in Greenland (GRIP, NGRIP) and Antarctica (Byrd, Dome C) satisfy phase synchronization conditions, independently of age, for periods ranging 1-6 ky, and can be transformed into one another by a pi/2 phase shift, with Antarctica temperature variations leading Greenland's. Based on these results, we use the polar synchronization paradigm to replicate the 800 ky-long, Antarctic, EPICA time series from a theoretical model that extends Greenland's 100 ky-long GRIP record to 800 ky. Statistical analysis of the simulated and actual Antarctic records shows that the procedure is stable to change in adjustable parameters, and requires the coupling between the polar climates to be proportional mainly to the difference in heat storage between the two regions. (C) 2013 Elsevier Ltd. All rights reserved.</t>
  </si>
  <si>
    <t>[Oh, Jeseung; Reischmann, Elizabeth; Rial, Jose A.] Univ N Carolina, Wave Propagat Lab, Dept Geol Sci, Chapel Hill, NC 27599 USA</t>
  </si>
  <si>
    <t>University of North Carolina; University of North Carolina Chapel Hill</t>
  </si>
  <si>
    <t>Oh, J (corresponding author), Univ N Carolina, Wave Propagat Lab, Dept Geol Sci, Chapel Hill, NC 27599 USA.</t>
  </si>
  <si>
    <t>hydrojs@gmail.com</t>
  </si>
  <si>
    <t>J. S. McDonnell Foundation; National Science Foundation</t>
  </si>
  <si>
    <t>J. S. McDonnell Foundation; National Science Foundation(National Science Foundation (NSF))</t>
  </si>
  <si>
    <t>This research is supported by grants from the J. S. McDonnell Foundation (21st Century Science Initiative on Complex systems), and the National Science Foundation (Paleoclimate and P2C2 programs). All data used in this paper was provided by the National Snow and Ice Data Center, University of Colorado at Boulder, and the WDC-A for Paleoclimatology, National Geophysical Data Center, Boulder, Colorado.</t>
  </si>
  <si>
    <t>0277-3791</t>
  </si>
  <si>
    <t>QUATERNARY SCI REV</t>
  </si>
  <si>
    <t>Quat. Sci. Rev.</t>
  </si>
  <si>
    <t>10.1016/j.quascirev.2013.10.025</t>
  </si>
  <si>
    <t>AB3EF</t>
  </si>
  <si>
    <t>WOS:000331673400011</t>
  </si>
  <si>
    <t>MurrayWallace, CV; Woodroffe, CD</t>
  </si>
  <si>
    <t>MurrayWallace, C., V; Woodroffe, C. D.</t>
  </si>
  <si>
    <t>Quaternary Sea-Level Changes: A Global Perspective</t>
  </si>
  <si>
    <t>QUATERNARY SEA-LEVEL CHANGES: A GLOBAL PERSPECTIVE</t>
  </si>
  <si>
    <t>AMINO-ACID RACEMIZATION; GREAT-BARRIER-REEF; LAST GLACIAL MAXIMUM; NORTHERN SPENCER GULF; NEW-SOUTH-WALES; ANTARCTIC ICE-SHEET; ATLANTIC COASTAL-PLAIN; OUTER CONTINENTAL-SHELF; URANIUM-SERIES AGES; HOLOCENE MARINE TRANSGRESSION</t>
  </si>
  <si>
    <t>Murray-Wallace, Colin V/U-5338-2017; Woodroffe, Colin D/K-5222-2015</t>
  </si>
  <si>
    <t>Woodroffe, Colin D/0000-0003-4476-6158; Murray-Wallace, Colin/0000-0002-3029-9141</t>
  </si>
  <si>
    <t>THE PITT BUILDING, TRUMPINGTON ST, CAMBRIDGE CB2 1RP, CAMBS, ENGLAND</t>
  </si>
  <si>
    <t>978-0-521-82083-7</t>
  </si>
  <si>
    <t>Geology; Paleontology</t>
  </si>
  <si>
    <t>BA6VH</t>
  </si>
  <si>
    <t>WOS:000337288700010</t>
  </si>
  <si>
    <t>Yang, YK; Palm, SP; Marshak, A</t>
  </si>
  <si>
    <t>Im, E; Yang, S; Zhang, P</t>
  </si>
  <si>
    <t>Yang, Yuekui; Palm, Stephen P.; Marshak, Alexander</t>
  </si>
  <si>
    <t>Properties and Potential Radiative Impacts of Antarctic Blowing Snow</t>
  </si>
  <si>
    <t>REMOTE SENSING OF THE ATMOSPHERE, CLOUDS, AND PRECIPITATION V</t>
  </si>
  <si>
    <t>Conference on Remote Sensing of the Atmosphere, Clouds, and Precipitation V</t>
  </si>
  <si>
    <t>OCT 13-15, 2014</t>
  </si>
  <si>
    <t>Beijing, PEOPLES R CHINA</t>
  </si>
  <si>
    <t>Blowing snow plays an important role in the studies of the Earth's cryosphere. Not only can it affects the ice sheet mass balance and hydrological processes through redistributing surface mass and driving spatial and temporal variations in snow accumulation, it also has a significant impact on the long wave radiation budget both at the surface and at the top of the atmosphere. In this article, we show that blowing snow has substantial impact on the Antarctic Outgoing Longwave Radiation (OLR). Significant cloud-free OLR differences are observed between the clear and blowing snow sky, with the sign and magnitude depending on season and time of the day.</t>
  </si>
  <si>
    <t>[Yang, Yuekui] Univ Space Res Assoc, Columbia, MD 98118 USA; [Yang, Yuekui; Palm, Stephen P.; Marshak, Alexander] NASA Goddard Space Flight Ctr, Greenbelt, MD USA; [Palm, Stephen P.] Sci Syst &amp; Applications Inc, Lanham, MD USA</t>
  </si>
  <si>
    <t>Universities Space Research Association (USRA); National Aeronautics &amp; Space Administration (NASA); NASA Goddard Space Flight Center</t>
  </si>
  <si>
    <t>Yang, YK (corresponding author), Univ Space Res Assoc, Columbia, MD 98118 USA.</t>
  </si>
  <si>
    <t>Yang, Yuekui/B-4326-2015; Marshak, Alexander/D-5671-2012</t>
  </si>
  <si>
    <t>Yang, Yuekui/0000-0002-1630-272X;</t>
  </si>
  <si>
    <t>NASA's CLIPSO/CloudSat Program; Cryosphere Science Program</t>
  </si>
  <si>
    <t>This work is supported by NASA's CLIPSO/CloudSat Program and the Cryosphere Science Program. Data used in this study are from the Level 1 and Atmosphere Archive and Distribution System (LAADS) at the NASA Goddard Space Flight Center and the Atmospheric Science Data Center (ASDC) at the NASA Langley Research Center</t>
  </si>
  <si>
    <t>978-1-62841-326-7</t>
  </si>
  <si>
    <t>10.1117/12.2068038</t>
  </si>
  <si>
    <t>Environmental Sciences; Meteorology &amp; Atmospheric Sciences; Optics</t>
  </si>
  <si>
    <t>Environmental Sciences &amp; Ecology; Meteorology &amp; Atmospheric Sciences; Optics</t>
  </si>
  <si>
    <t>BB9ZL</t>
  </si>
  <si>
    <t>WOS:000348833900017</t>
  </si>
  <si>
    <t>Lanyon, JM; Burgess, EA</t>
  </si>
  <si>
    <t>Holt, WV; Brown, JL; Comizzoli, P</t>
  </si>
  <si>
    <t>Lanyon, Janet M.; Burgess, Elizabeth A.</t>
  </si>
  <si>
    <t>Methods to Examine Reproductive Biology in Free-Ranging, Fully-Marine Mammals</t>
  </si>
  <si>
    <t>REPRODUCTIVE SCIENCES IN ANIMAL CONSERVATION: PROGRESS AND PROSPECTS</t>
  </si>
  <si>
    <t>Advances in Experimental Medicine and Biology</t>
  </si>
  <si>
    <t>Reproduction; Marine mammals; Techniques; Cetaceans; Sirenians</t>
  </si>
  <si>
    <t>BOTTLE-NOSED DOLPHINS; DUGONGS DUGONG-DUGON; WHALE BALAENOPTERA-ACUTOROSTRATA; IN-VITRO MATURATION; INTRACYTOPLASMIC SPERM INJECTION; ANTI-MULLERIAN HORMONE; ANTARCTIC MINKE WHALE; SEALS PHOCA-VITULINA; TURSIOPS-TRUNCATUS; LIFE-HISTORY</t>
  </si>
  <si>
    <t>Historical overexploitation of marine mammals, combined with present-day pressures, has resulted in severely depleted populations, with many species listed as threatened or endangered. Understanding breeding patterns of threatened marine mammals is crucial to assessing population viability, potential recovery and conservation actions. However, determining reproductive parameters of wild fully-marine mammals (cetaceans and sirenians) is challenging due to their wide distributions, high mobility, inaccessible habitats, cryptic lifestyles and in many cases, large body size and intractability. Consequently, reproductive biologists employ an innovative suite of methods to collect useful information from these species. This chapter reviews historic, recent and state-of-the-art methods to examine diverse aspects of reproduction in fully-aquatic mammals.</t>
  </si>
  <si>
    <t>[Lanyon, Janet M.; Burgess, Elizabeth A.] Univ Queensland, Sch Biol Sci, Brisbane, Qld 4072, Australia</t>
  </si>
  <si>
    <t>University of Queensland</t>
  </si>
  <si>
    <t>Lanyon, JM (corresponding author), Univ Queensland, Sch Biol Sci, Brisbane, Qld 4072, Australia.</t>
  </si>
  <si>
    <t>j.lanyon@uq.edu.au</t>
  </si>
  <si>
    <t>Lanyon, Janet/JYP-1848-2024</t>
  </si>
  <si>
    <t>Lanyon, Janet/0000-0003-1453-5594</t>
  </si>
  <si>
    <t>0065-2598</t>
  </si>
  <si>
    <t>2214-8019</t>
  </si>
  <si>
    <t>978-1-4939-0820-2; 978-1-4939-0819-6</t>
  </si>
  <si>
    <t>ADV EXP MED BIOL</t>
  </si>
  <si>
    <t>Adv.Exp.Med.Biol.</t>
  </si>
  <si>
    <t>10.1007/978-1-4939-0820-2_11</t>
  </si>
  <si>
    <t>10.1007/978-1-4939-0820-2</t>
  </si>
  <si>
    <t>Biodiversity Conservation; Reproductive Biology</t>
  </si>
  <si>
    <t>Biodiversity &amp; Conservation; Reproductive Biology</t>
  </si>
  <si>
    <t>BC1SF</t>
  </si>
  <si>
    <t>WOS:000350410000012</t>
  </si>
  <si>
    <t>Pujana, RR; Santillana, SN; Marenssi, SA</t>
  </si>
  <si>
    <t>Pujana, Roberto R.; Santillana, Sergio N.; Marenssi, Sergio A.</t>
  </si>
  <si>
    <t>Conifer fossil woods from the La Meseta Formation (Eocene of Western Antarctica): Evidence of Podocarpaceae-dominated forests</t>
  </si>
  <si>
    <t>REVIEW OF PALAEOBOTANY AND PALYNOLOGY</t>
  </si>
  <si>
    <t>Araucariaceae; Cupressaceae; West Antarctica; palaeobotany; early Eocene</t>
  </si>
  <si>
    <t>SANTA-CRUZ PROVINCE; SEYMOUR ISLAND; EARLY TERTIARY; MORPHOMETRIC-ANALYSIS; MATILDE FORMATION; ANATOMY; SYSTEMATICS; EVOLUTION; RECORD; FLORA</t>
  </si>
  <si>
    <t>A new collection of 120 fossil wood samples from early Eocene sediments of the la Meseta Formation is studied. Conifers represent 68% of the total amount of wood samples. The specimens show significant conifer diversity and were placed in seven fossil-species. Samples are assigned to the Podocarpaceae, probably Cupressaceae and Araucariaceae. New fossil-species of Protophyllocladoxylon and Phyllocladoxylon (Podocarpaceae) and two new nomenclatural combinations are proposed. Comments about the systematic position of each genus and species represented are made. The systematic is based on anatomical data and supported by statistical analysis. A PCA of 78 woods and 12 characters was performed to confirm the taxon delimitation and discrete clusters are represented in the plots for most of each species. Phyllocladoxylon antarcticum is the most common wood type followed by Cupressinoxylon, Agathoxylon and other Podocarpaceae. In accordance with previous studies, our samples suggest that during the early Eocene forests of the northeastern part of the Antarctic Peninsula were dominated by conifers, particularly Podocarpaceae. Crown Copyright (C) 2013 Published by Elsevier B.V. All rights reserved.</t>
  </si>
  <si>
    <t>[Pujana, Roberto R.] Museo Argentino Ciencias Nat Bernardino Rivadavia, Buenos Aires, DF, Argentina; [Pujana, Roberto R.; Marenssi, Sergio A.] Consejo Nacl Invest Cient &amp; Tecn, RA-1033 Buenos Aires, DF, Argentina; [Santillana, Sergio N.; Marenssi, Sergio A.] Inst Antartico Argentina, Buenos Aires, DF, Argentina; [Marenssi, Sergio A.] UBA, Buenos Aires, DF, Argentina</t>
  </si>
  <si>
    <t>Museo Argentino de Ciencias Naturales Bernardino Rivadavia (MACN); Consejo Nacional de Investigaciones Cientificas y Tecnicas (CONICET); Instituto Antartico Argentino; University of Buenos Aires</t>
  </si>
  <si>
    <t>Pujana, RR (corresponding author), Museo Argentino Ciencias Nat Bernardino Rivadavia, Angel Gallardo 470,C1405DJR, Buenos Aires, DF, Argentina.</t>
  </si>
  <si>
    <t>rpujana@macn.gov.ar</t>
  </si>
  <si>
    <t>Pujana, Roberto Roman/0000-0001-8006-3332</t>
  </si>
  <si>
    <t>Instituto Antartico Argentino; PICT of the ANPCyT [2006-32320, 2010-0649]; British Antarctic Survey</t>
  </si>
  <si>
    <t>Instituto Antartico Argentino; PICT of the ANPCyT; British Antarctic Survey</t>
  </si>
  <si>
    <t>The authors would like to thank Yi Zhang, Luis Palazzesi, Leandro C. A. Martinez, Marc Philippe and two anonymous reviewers for their various collaborations. Funds for this study were provided by the Instituto Antartico Argentino, British Antarctic Survey and PICT 2006-32320 and 2010-0649 grant of the ANPCyT.</t>
  </si>
  <si>
    <t>0034-6667</t>
  </si>
  <si>
    <t>1879-0615</t>
  </si>
  <si>
    <t>REV PALAEOBOT PALYNO</t>
  </si>
  <si>
    <t>Rev. Palaeobot. Palynology</t>
  </si>
  <si>
    <t>10.1016/j.revpalbo.2013.09.001</t>
  </si>
  <si>
    <t>Plant Sciences; Paleontology</t>
  </si>
  <si>
    <t>288GH</t>
  </si>
  <si>
    <t>WOS:000329599500008</t>
  </si>
  <si>
    <t>López, MC; Zambrano, JC</t>
  </si>
  <si>
    <t>Contreras Lopez, Manuel; Cevallos Zambrano, Jimmy</t>
  </si>
  <si>
    <t>CONTEMPORARY CLIMATE CHANGE AND CONJECTURE ABOUT THE RELATIONSHIP ANTARCTIC - SOUTH AMERICA THROUGH THE WIND WAVES</t>
  </si>
  <si>
    <t>REVISTA ESTUDIOS HEMISFERICOS Y POLARES</t>
  </si>
  <si>
    <t>Spanish</t>
  </si>
  <si>
    <t>Global Warming; El Nino; Southern Oscillation; Swell; Greenwich Island</t>
  </si>
  <si>
    <t>The aim of this paper is to illustrate some of the effects of contemporary climate change on the Antarctic territory, which could explain the drastic changes that are evident in Greenwich Island in the vicinity of the base summer Ecuadorian Pedro Vicente Maldonado. One of these effects is the change in position of generation area of southern swell. This change in the position of the generation area is consistent with the change in direction of the incident swell in central Chile and the Galapagos Islands, which is verified by analyzing time series of 19-year extension of reconstructed wind waves.</t>
  </si>
  <si>
    <t>[Contreras Lopez, Manuel] Univ Playa Ancha, Valparaiso, Chile; [Cevallos Zambrano, Jimmy] Univ Laica Eloy Alfaro Manabi, Manta, Ecuador</t>
  </si>
  <si>
    <t>Universidad de Playa Ancha; Universidad Laica Eloy Alfaro De Manabi</t>
  </si>
  <si>
    <t>López, MC (corresponding author), Univ Playa Ancha, Fac Ingn, Ctr Estudios, Avanzados Traslavina N450, Vina Del Mar, Chile.</t>
  </si>
  <si>
    <t>Manuel.contreras@upla.cl; jimmycev@hotmail.com</t>
  </si>
  <si>
    <t>Contreras-López, Manuel/D-3670-2012</t>
  </si>
  <si>
    <t>Contreras-López, Manuel/0000-0003-0366-6863</t>
  </si>
  <si>
    <t>CENTRO ESTUDIOS HEMISFERICOS &amp; POLARES</t>
  </si>
  <si>
    <t>VINA DEL MAR</t>
  </si>
  <si>
    <t>CALLE ROMA, 116, CALETA ABARCA, VINA DEL MAR, 2580060, CHILE</t>
  </si>
  <si>
    <t>0718-9230</t>
  </si>
  <si>
    <t>REV ESTUD HEMISFERIC</t>
  </si>
  <si>
    <t>Rev. Estud. Hemisfericos Polares</t>
  </si>
  <si>
    <t>JAN-MAR</t>
  </si>
  <si>
    <t>Area Studies</t>
  </si>
  <si>
    <t>V36HU</t>
  </si>
  <si>
    <t>WOS:000215960100002</t>
  </si>
  <si>
    <t>Montalbán, C</t>
  </si>
  <si>
    <t>Montalban, Cristina</t>
  </si>
  <si>
    <t>WHALING: PLATENSES LINKS AND MONTEVIDEAN TESTIMONIES</t>
  </si>
  <si>
    <t>Whaling; Argentina Fishing Company; Uruguayan Workers; Testimonies</t>
  </si>
  <si>
    <t>This research concern about whaling. This activity demonstrated from the colonial period, a close relationship between the River Plate harbours. This reality is founded on documents and bibliography, sources that helped us to develop the whaling theme in Antarctic and sub-Antarctic waters, demonstrating the industrialization capabilities and the high benefits especially obtained by English and American catchers. In the same way, we can comprobate clearly the frustrated Spanish attempts to control in such a manner to carry improving plans in this regard. But the real novelty was the finding -in a source as important as the time press- one series news that made us aware that a large group of young Uruguayans took part in several hunting whales campaigns integrated in Argentina Fishing Company personal. This unusual work was performed at the beginning of World War II, and according to the interesting testimonies of some of these guys, we could know some datas about life in that factory, notice of incredible average daily hunting, and even facts that evidence the strategic importance area in which denounced the presence and actions of German war ships.</t>
  </si>
  <si>
    <t>cristmon@adinet.com.uy</t>
  </si>
  <si>
    <t>WOS:000215960100003</t>
  </si>
  <si>
    <t>Hansom, JD; Forbes, DL; Etienne, S</t>
  </si>
  <si>
    <t>Kennedy, DM; Stephenson, WJ; Naylor, LA</t>
  </si>
  <si>
    <t>Hansom, J. D.; Forbes, D. L.; Etienne, S.</t>
  </si>
  <si>
    <t>The rock coasts of polar and sub-polar regions</t>
  </si>
  <si>
    <t>ROCK COAST GEOMORPHOLOGY: A GLOBAL SYNTHESIS</t>
  </si>
  <si>
    <t>Geological Society Memoirs</t>
  </si>
  <si>
    <t>ICE SCOUR DISTURBANCE; SEA-ICE; OCEAN WAVES; FIELD OBSERVATIONS; PILE-UP; RIDE-UP; ISLAND; SHORE; GEOMORPHOLOGY; NORTHERN</t>
  </si>
  <si>
    <t>Polar and subpolar coasts are distinctive owing to the presence of ice on land as permafrost, ground ice and glacier ice, and in the sea as tidewater glaciers, icebergs, ice shelves and sea ice. Most of these coasts remain glaciated or are recently deglaciated so their geomorphology carries a strong glacial signature. The morphogenetic environment of polar and subpolar coasts is dominated by extreme seasonality with winter development of sea ice and a shore-fast ice foot that excludes wave activity and is primarily protective. However, sea ice may also be erosional at any time of year but is most effective as an erosional agent on polar coasts between freeze-up and break-up, when wave activity forces sea ice to repeatedly impact the shore. Depending on latitude, the short summers are characterized by wave and sea ice erosion at high latitudes and by wave activity at lower latitudes. The contribution of frost weathering to cliff and shore platform development in polar and subpolar rock coasts is unclear, but is likely to be an important influence. Rock coasts are widespread in the Arctic and sub-Arctic, including Iceland, and in the Antarctic and sub-Antarctic the limited ice-free coast is almost entirely rock-dominated.</t>
  </si>
  <si>
    <t>[Hansom, J. D.] Univ Glasgow, Dept Geog &amp; Earth Sci, Glasgow G12 8QQ, Lanark, Scotland; [Forbes, D. L.] Geol Survey Canada, Bedford Inst Oceanog, Dartmouth, NS B2Y 4A2, Canada; [Forbes, D. L.] Mem Univ Newfoundland, Dept Geog, St John, NF A1B 3X9, Canada; [Etienne, S.] Ecole Prat Hautes Etud, CNRS GDR Mutat Polaires, CNRS Prodig UMR 8586, Lab Geomorphol &amp; Environm Littoral, F-35800 Dinard, France</t>
  </si>
  <si>
    <t>University of Glasgow; Bedford Institute of Oceanography; Natural Resources Canada; Lands &amp; Minerals Sector - Natural Resources Canada; Geological Survey of Canada; Memorial University Newfoundland; Centre National de la Recherche Scientifique (CNRS); CNRS - Institute for Humanities &amp; Social Sciences (INSHS)</t>
  </si>
  <si>
    <t>Hansom, JD (corresponding author), Univ Glasgow, Dept Geog &amp; Earth Sci, Glasgow G12 8QQ, Lanark, Scotland.</t>
  </si>
  <si>
    <t>jim.hansom@glasgow.ac.uk</t>
  </si>
  <si>
    <t>Etienne, Samuel/C-4455-2011</t>
  </si>
  <si>
    <t>ETIENNE, Samuel/0000-0003-3998-0467</t>
  </si>
  <si>
    <t>GEOLOGICAL SOC PUBLISHING HOUSE</t>
  </si>
  <si>
    <t>UNIT 7, BRASSMILL ENTERPRISE CTR, BRASSMILL LANE, BATH BA1 3JN, AVON, ENGLAND</t>
  </si>
  <si>
    <t>0435-4052</t>
  </si>
  <si>
    <t>978-1-86239-684-5</t>
  </si>
  <si>
    <t>GEOL SOC MEM</t>
  </si>
  <si>
    <t>10.1144/M40.16</t>
  </si>
  <si>
    <t>BB4UK</t>
  </si>
  <si>
    <t>WOS:000343328000016</t>
  </si>
  <si>
    <t>Miroshnychenko, OA</t>
  </si>
  <si>
    <t>Miroshnychenko, O. A.</t>
  </si>
  <si>
    <t>PSYCHOLOGICAL FACTORS OF A PERSONALITY ADAPTATION TO EXTREME TERMS OF A VITAL FUNCTION</t>
  </si>
  <si>
    <t>SCIENCE AND EDUCATION</t>
  </si>
  <si>
    <t>adaptation; orientation of personality; syndrome of the professional burning down; psychological factors; extreme terms of vital functions</t>
  </si>
  <si>
    <t>The article deals with the questions of a research of psychological features of winterers of the Ukrainian Antarctic station Vernadskiy, the role of personal psychological factors in adaptation to the extreme terms of vital functions is highlighted. Psychological researches of specialists, scientific activity of which is related to the stay in extreme terms, as one of directions includes determination of features of adaptation and psychology accompaniment of participants of the protracted expeditions. We consider that a large role is played by the psychological factors of functioning of personality in the process of adaptation of participants of arctic expeditions, and above all things it's such a central psychological formation of personality, as an orientation. The purpose of the article is the determination of psychological factors of adaptation of personality to the extreme terms of vital functions, in particular roles of orientation of personality in opposition stresses and professional burning down during the protracted professional activity at the station Academician Vernadskiy. In the conclusions we presented psychological qualities of the Ukrainian winterer's personalities that play a basic role in the process of adaptation of personality to the extreme terms of vital functions. The humanistic orientation of Ukrainian polars is manifested in the need for altruism, the desire to bring their activities and good behavior of others and society as a whole; the propensity for staging humanistic, altruistic goals in their lives, behavior and activity; the effort to achieve humanistic outcomes in their professional growth. The professional orientation of polars is manifested in the desire to achieve a high level of professional skills; the focus on finding and obtaining the required maximum professionally important information in isolated conditions; the propensity for staging major professional purposes (many of winterers want to finish the dissertation research); the desire to achieve significant results in their professional activities. This observed positive emotional well-being in the performance of professional activities. The economic focus turns to the interest in cost-effective individual activities and activities of the institution; to the focus on finding a new economic information, effective economic instruments and incentives. This desire to achieve significant results in their own economic activity is not the main determining motive in the harsh Antarctic conditions. The artistic orientation of the individual appears to desire a creative approach to business, interest in creative pursuit of new knowledge, facts, laws of the phenomena being studied, propensity to creative activity in all circumstances, pursuit of new creative results in behavior and activity. Also in the research and observations, we have identified the following personality traits of Ukrainian winterers: activity, curiosity, commitment, determination, persistence in achieving performance, commitment to the goal, organization, demands on ourselves accuracy.</t>
  </si>
  <si>
    <t>Olena, Miroshnychenko/AAG-8063-2019</t>
  </si>
  <si>
    <t>Olena, Miroshnychenko/0000-0002-5712-3752</t>
  </si>
  <si>
    <t>SOUTH UKRAINIAN NATL UNIV K D USHYNSKY</t>
  </si>
  <si>
    <t>ODESSA</t>
  </si>
  <si>
    <t>VUL STAROPORTOFRANKIVSKA, 26, ODESSA, 65000, UKRAINE</t>
  </si>
  <si>
    <t>2311-8466</t>
  </si>
  <si>
    <t>2414-4665</t>
  </si>
  <si>
    <t>SCI EDUC-UKRAINE</t>
  </si>
  <si>
    <t>Sci. Educ.</t>
  </si>
  <si>
    <t>Education &amp; Educational Research</t>
  </si>
  <si>
    <t>V2S1A</t>
  </si>
  <si>
    <t>WOS:000217860100026</t>
  </si>
  <si>
    <t>Moiseyenko, YV</t>
  </si>
  <si>
    <t>Moiseyenko, Ye. V.</t>
  </si>
  <si>
    <t>PECULIARITIES OF HUMAN ADAPTATION TO ANTARCTIC CONDITIONS</t>
  </si>
  <si>
    <t>adaptation; physiological functions; biorhythm; electrical brain activity; Antarctic</t>
  </si>
  <si>
    <t>The article examines the characteristics of human adaptation to long-term work at the Antarctic station. The study involved Ukrainian Antarctic winterers (94 men at the age of 25-50 years). Special attention was paid to the study of adaptive changes of mental and psycho-physiological functions. Analysis of the results of medical and biological examinations of people staying in the subpolar latitudes for a long time indicate that the processes of adaptation of various functional systems of the body to such conditions proceed in an extended mode and can not achieve the optimal physiological level. The result of it is the state of incomplete adaptation, which has a negative impact on physical health, psycho-physiological functions and working capacity of winterers. Such preventive measures as medical selection, appropriate use of medicated products, special instruction and training Antarctic stations operators are of great importance. The research revealed that after long-term adaptation in the Antarctic the peculiarities of biorhythmic organization of winterers' cerebral electrogenesis lie in increasing alpha-, beta- and theta-rhythms capacity in the central and frontal projection areas of the cerebral cortex, which can indicate excessive tensity of psycho-physiological functions. Winterer's adaption to work in the Antarctic conditions is characterized by phase course of psycho-physiological functions transformations depending on the seasons and duration of their staying in Antarctica. Biorhythmic organization of winterers' psychophysiological functions suffers during adaptation to Antarctic conditions. The load on the central regulation mechanisms increases, which can lead to faster depletion of adaptive reserves, psycho-emotional disorders and the emergence of conflict situations. Long-term expeditionary activity can be accompanied by changes in winterers' psychological qualities, which is confirmed by the results of psychological examination.</t>
  </si>
  <si>
    <t>WOS:000217860100028</t>
  </si>
  <si>
    <t>Edgar, GJ; Stuart-Smith, RD</t>
  </si>
  <si>
    <t>Edgar, Graham J.; Stuart-Smith, Rick D.</t>
  </si>
  <si>
    <t>Systematic global assessment of reef fish communities by the Reef Life Survey program</t>
  </si>
  <si>
    <t>SCIENTIFIC DATA</t>
  </si>
  <si>
    <t>The assessment of patterns in macroecology, including those most relevant to global biodiversity conservation, has been hampered by a lack of quantitative data collected in a consistent manner over the global scale. Global analyses of species' abundance data typically rely on records aggregated from multiple studies where different sampling methods and varying levels of taxonomic and spatial resolution have been applied. Here we describe the Reef Life Survey (RLS) reef fish dataset, which contains 134,759 abundance records, of 2,367 fish taxa, from 1,879 sites in coral and rocky reefs distributed worldwide. Data were systematically collected using standardized methods, offering new opportunities to assess broad-scale spatial patterns in community structure. The development of such a large dataset was made possible through contributions of investigators associated with science and conservation agencies worldwide, and the assistance of a team of over 100 recreational SCUBA divers, who undertook training in scientific techniques for underwater surveys and voluntarily contributed skills, expertise and their time to data collection.</t>
  </si>
  <si>
    <t>[Edgar, Graham J.; Stuart-Smith, Rick D.] Univ Tasmania, Inst Marine &amp; Antarctic Studies, Private Bag 49, Hobart, Tas 7001, Australia</t>
  </si>
  <si>
    <t>Edgar, GJ (corresponding author), Univ Tasmania, Inst Marine &amp; Antarctic Studies, Private Bag 49, Hobart, Tas 7001, Australia.</t>
  </si>
  <si>
    <t>G.Edgar@utas.edu.au</t>
  </si>
  <si>
    <t>Stuart-Smith, Rick D/M-1829-2013; Edgar, Graham/AAY-3797-2020; Stuart-Smith, Rick/I-5214-2019</t>
  </si>
  <si>
    <t>Stuart-Smith, Rick D/0000-0002-8874-0083; Edgar, Graham/0000-0003-0833-9001; Stuart-Smith, Rick/0000-0002-8874-0083</t>
  </si>
  <si>
    <t>Australian Research Council; Fulbright Visiting Scholarship; Winston Churchill Memorial Trust Fellowship; Institute for Marine and Antarctic Studies; Marine Biodiversity Hub; Australian Government's National Environmental Research Program; National Geographic Society; Conservation International; Wildlife Conservation Society; Winifred Violet Scott Trust; Ian Potter Foundation; Tasmanian Parks and Wildlife Service; University of Tasmania; ASSEMBLE Marine</t>
  </si>
  <si>
    <t>Australian Research Council(Australian Research Council); Fulbright Visiting Scholarship; Winston Churchill Memorial Trust Fellowship; Institute for Marine and Antarctic Studies; Marine Biodiversity Hub; Australian Government's National Environmental Research Program(Australian Government); National Geographic Society(National Geographic Society); Conservation International; Wildlife Conservation Society; Winifred Violet Scott Trust; Ian Potter Foundation; Tasmanian Parks and Wildlife Service; University of Tasmania; ASSEMBLE Marine</t>
  </si>
  <si>
    <t>We thank the many Reef Life Survey (RLS) divers who contributed to data collection (who are named on the RLS website), and Antonia Cooper, Just Berkhout, Marlene Davey, Jemina Stuart-Smith, Sylvia Buchanan, James Brook, Elizabeth Oh, Paul Day, Kevin Smith, Stuart Kininmonth, Jacqui Pocklington and Andy Myers for assistance with RLS projects and data management, and Sophie Edgar for preparing the map in Figure 1. Development of the RLS dataset was supported by the former Commonwealth Environment Research Facilities Program, while additional support from the Australian Research Council, a Fulbright Visiting Scholarship (to GJE), a Winston Churchill Memorial Trust Fellowship (to RSS), the Institute for Marine and Antarctic Studies, and the Marine Biodiversity Hub, a collaborative partnership funded under the Australian Government's National Environmental Research Program, have assisted in its expansion and management. We also acknowledge funding from the National Geographic Society, Conservation International, Wildlife Conservation Society, Winifred Violet Scott Trust, The Ian Potter Foundation, Tasmanian Parks and Wildlife Service, University of Tasmania and ASSEMBLE Marine for field surveys.</t>
  </si>
  <si>
    <t>2052-4463</t>
  </si>
  <si>
    <t>SCI DATA</t>
  </si>
  <si>
    <t>Sci. Data</t>
  </si>
  <si>
    <t>10.1038/sdata.2014.7</t>
  </si>
  <si>
    <t>V45VG</t>
  </si>
  <si>
    <t>WOS:000209843500052</t>
  </si>
  <si>
    <t>Roquet, F; Williams, G; Hindell, MA; Harcourt, R; McMahon, C; Guinet, C; Charrassin, JB; Reverdin, G; Boehme, L; Lovell, P; Fedak, M</t>
  </si>
  <si>
    <t>Roquet, Fabien; Williams, Guy; Hindell, Mark A.; Harcourt, Rob; McMahon, Clive; Guinet, Christophe; Charrassin, Jean-Benoit; Reverdin, Gilles; Boehme, Lars; Lovell, Phil; Fedak, Mike</t>
  </si>
  <si>
    <t>A Southern Indian Ocean database of hydrographic profiles obtained with instrumented elephant seals</t>
  </si>
  <si>
    <t>The instrumentation of southern elephant seals with satellite-linked CTD tags has offered unique temporal and spatial coverage of the Southern Indian Ocean since 2004. This includes extensive data from the Antarctic continental slope and shelf regions during the winter months, which is outside the conventional areas of Argo autonomous floats and ship-based studies. This landmark dataset of around 75,000 temperature and salinity profiles from 20-140 degrees E, concentrated on the sector between the Kerguelen Islands and Prydz Bay, continues to grow through the coordinated efforts of French and Australian marine research teams. The seal data are quality controlled and calibrated using delayed-mode techniques involving comparisons with other existing profiles as well as cross-comparisons similar to established protocols within the Argo community, with a resulting accuracy of +/- 0.03 degrees C in temperature and +/- 0.05 in salinity or better. The data offer invaluable new insights into the water masses, oceanographic processes and provides a vital tool for oceanographers seeking to advance our understanding of this key component of the global ocean climate.</t>
  </si>
  <si>
    <t>[Roquet, Fabien] Stockholm Univ, Dept Meteorol, S-10691 Stockholm, Sweden; [Williams, Guy; Hindell, Mark A.] Univ Tasmania, Antarctic Climate &amp; Ecosyst Cooperat Res Ctr, Hobart, Tas 7001, Australia; [Williams, Guy; Hindell, Mark A.] Univ Tasmania, Inst Marine &amp; Antarctic Studies, Hobart, Tas 7001, Australia; [Harcourt, Rob] Macquarie Univ, Dept Biol Sci, Sydney, NSW 2109, Australia; [McMahon, Clive] Sydney Inst Marine Sci, Mosman, NSW 2088, Australia; [Guinet, Christophe] Ctr Etud Biol Chize, CNRS UMR 7372, F-79360 Villiers En Bois, France; [Charrassin, Jean-Benoit; Reverdin, Gilles] Univ Paris 06, CNRS IRD MNHN, LOCEAN Sorbonne Univ, UPMC, F-75252 Paris, France; [Boehme, Lars; Lovell, Phil; Fedak, Mike] Univ St Andrews, Sea Mammal Res Unit, St Andrews KY16 8LB, Fife, Scotland</t>
  </si>
  <si>
    <t>Stockholm University; Antarctic Climate &amp; Ecosystems Cooperative Research Centre (ACE CRC); University of Tasmania; University of Tasmania; Macquarie University; Sydney Institute of Marine Science; Centre National de la Recherche Scientifique (CNRS); CNRS - Institute of Ecology &amp; Environment (INEE); Museum National d'Histoire Naturelle (MNHN); Sorbonne Universite; Institut de Recherche pour le Developpement (IRD); University of St Andrews</t>
  </si>
  <si>
    <t>Roquet, F (corresponding author), Stockholm Univ, Dept Meteorol, S-10691 Stockholm, Sweden.</t>
  </si>
  <si>
    <t>fabien.roquet@gmail.com</t>
  </si>
  <si>
    <t>Guinet, Christophe/AAR-8457-2020; McMahon, Clive R/D-5713-2013; Hindell, Mark A/K-1131-2013; Roquet, Fabien/N-3221-2019; Roquet, Fabien/D-4848-2013; Boehme, Lars/B-6567-2009; Fedak, Michael/B-3987-2009</t>
  </si>
  <si>
    <t>McMahon, Clive R/0000-0001-5241-8917; Roquet, Fabien/0000-0003-1124-4564; Boehme, Lars/0000-0003-3513-6816; Harcourt, Robert/0000-0003-4666-2934; Hindell, Mark/0000-0002-7823-7185; Fedak, Michael/0000-0002-9569-1128; Reverdin, Gilles/0000-0002-5583-8236</t>
  </si>
  <si>
    <t>CNRS institute INSU; CNRS institute INEE; CNES (TOSCA) IPEV; Total Foundation; ANR; Australian Government through the National Collaborative Research Infrastructure Strategy and the Super Science Initiative; Australian Government through the Antarctic Climate and Ecosystem Cooperative Research Centre (ACE CRC); Australian Antarctic Science (AAS) programs; National Oceanographic Partnership Program Office of Naval Research; Natural Environment Research Council; Natural Environment Research Council [NE/J005649/1, smru10001, NE/E018289/1, NE/G014833/1] Funding Source: researchfish; NERC [NE/E018289/1, NE/G014833/1, NE/J005649/1] Funding Source: UKRI</t>
  </si>
  <si>
    <t>CNRS institute INSU; CNRS institute INEE; CNES (TOSCA) IPEV; Total Foundation(Total SA); ANR(Agence Nationale de la Recherche (ANR)); Australian Government through the National Collaborative Research Infrastructure Strategy and the Super Science Initiative(Australian GovernmentDepartment of Industry, Innovation and Science); Australian Government through the Antarctic Climate and Ecosystem Cooperative Research Centre (ACE CRC)(Australian GovernmentDepartment of Industry, Innovation and ScienceCooperative Research Centres (CRC) Programme); Australian Antarctic Science (AAS) programs; National Oceanographic Partnership Program Office of Naval Research(Office of Naval Research);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</si>
  <si>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The French contribution of this international study was carried out as part of activities of the French observatory MEMO (Mammiferes Echantillonneurs du Milieu Marin), funded by the two CNRS institutes INSU and INEE. The project benefited from the financial and logistic support from CNES (TOSCA) IPEV, the Total Foundation and the ANR. MEMO is closely associated to the Coriolis centre, which distributes real-time and delayed-mode products, and is part of the SOERE consortium CTD02 (Coriolis-temps differe Observations Oceaniques, PI: G. Reverdin). Seal CTD data from the Integrated Marine Observing System (IMOS) were provided through the Australian Animal Tracking and Monitoring System facility. IMOS is supported by the Australian Government through the National Collaborative Research Infrastructure Strategy and the Super Science Initiative. This work was supported by the Australian Government through the Antarctic Climate and Ecosystem Cooperative Research Centre (ACE CRC) and the Australian Antarctic Science (AAS) programs. The Sea Mammal Research Unit Instrumentation Group (University of St Andrews, UK) designed and built the CTD-SRDL instruments. Funding for instrument development was mainly provided by the National Oceanographic Partnership Program Office of Naval Research and the Natural Environment Research Council.</t>
  </si>
  <si>
    <t>10.1038/sdata.2014.28</t>
  </si>
  <si>
    <t>Green Accepted, Green Published, Green Submitted, gold</t>
  </si>
  <si>
    <t>WOS:000209843500021</t>
  </si>
  <si>
    <t>Gastineau, R; Davidovich, N; Hansen, G; Rines, J; Wulff, A; Kaczmarska, I; Ehrman, J; Hermann, D; Maumus, F; Hardivillier, Y; Leignel, V; Jacquette, B; Méléder, V; Hallegraeff, G; Yallop, M; Perkins, R; Cadoret, JP; Saint-Jean, B; Carrier, G; Mouget, JL</t>
  </si>
  <si>
    <t>Bourgougnon, N</t>
  </si>
  <si>
    <t>Gastineau, Romain; Davidovich, Nikolai; Hansen, Gert; Rines, Jan; Wulff, Angela; Kaczmarska, Irena; Ehrman, James; Hermann, Dorothee; Maumus, Florian; Hardivillier, Yann; Leignel, Vincent; Jacquette, Boris; Meleder, Vona; Hallegraeff, Gustaaf; Yallop, Marian; Perkins, Rupert; Cadoret, Jean-Paul; Saint-Jean, Bruno; Carrier, Gregory; Mouget, Jean-Luc</t>
  </si>
  <si>
    <t>Haslea ostrearia-like Diatoms: Biodiversity out of the Blue</t>
  </si>
  <si>
    <t>SEA PLANTS</t>
  </si>
  <si>
    <t>Advances in Botanical Research</t>
  </si>
  <si>
    <t>GREEN PIGMENT MARENNINE; ISOPRENOID HBI ALKENES; POLYPHENOLIC PIGMENT; SEXUAL REPRODUCTION; PENNATE; GROWTH; LIGHT; SIMONSEN; SESTERTERPENOIDS; BACILLARIOPHYTA</t>
  </si>
  <si>
    <t>Diatoms are usually referred to as golden-brown microalgae, due to the colour of their plastids and to their pigment composition, mainly carotenoids (fucoxanthin, diadinoxanthin, diatoxanthin), which mask chlorophylls a and c. The species Haslea ostrearia Gaillon/Bory (Simonsen) appears unique because of its extraplastidial bluish colour, a consequence of the presence of a water-soluble blue pigment at cell apices, marennine. When released in seawater, marenbine can be fixed on gills of oysters and other bivalves, which turn green. This greening phenomenon is economically exploited in Southwestern France, as it gives an added value to oysters. For decades, this singularity ascribed a worldwide distribution to H. ostrearia, first as Vibrio ostrearius, then Navicula ostrearia, last as H. ostrearia, when the genus Haslea was proposed by R. Simonsen (1974). Indeed, this 'birthmark' (presence of blue apices) made H. ostrearia easily recognisable without further scrutiny and identification of the microalga as well as its presence easily deduced from the greening of bivalves. Consequently, the widely admitted cosmopolitan character of H. ostrearia has only been questioned recently, following the discovery in 2008, of a new species of blue diatom in the Black Sea, Haslea karadagensis. The biodiversity of blue diatoms suddenly increased with the finding of other blue species in the Mediterranean Sea, the Canary Islands, etc., the taxonomic characterization of which is in progress. This review thus focuses on the unsuspected biodiversity of blue diatoms within the genus Haslea. Methods for species determination (morphometrics, chemotaxonomy, genomics), as well as a new species, are presented and discussed.</t>
  </si>
  <si>
    <t>[Gastineau, Romain; Hermann, Dorothee; Hardivillier, Yann; Leignel, Vincent; Jacquette, Boris; Mouget, Jean-Luc] Univ Maine, MMS Mer, LUNAM, FR 3473, F-72017 Le Mans, France; [Davidovich, Nikolai] Natl Acad Sci, Karadag Nat Reserve, Feodosiya, Ukraine; [Hansen, Gert] Univ Copenhagen, Dept Biol, Marine Biol Sect, Copenhagen, Denmark; [Rines, Jan] Univ Rhode Isl, Grad Sch Oceanog, Narragansett, RI 02882 USA; [Wulff, Angela] Univ Gothenburg, Dept Biol &amp; Environm Sci, Gothenburg, Sweden; [Kaczmarska, Irena; Ehrman, James] Mt Allison Univ, Dept Biol, Sackville, NB E0A 3C0, Canada; [Maumus, Florian] INRA Ctr Versailles Grignon, Unite Rech Genom Info, UR 1164, Versailles, France; [Meleder, Vona] Univ Nantes, MMS Mer, LUNAM FR 3473, Nantes, France; [Hallegraeff, Gustaaf] Inst Marine &amp; Antarctic Studies IMAS, Hobart, Tas, Australia; [Yallop, Marian] Univ Bristol, Sch Biol Sci, Bristol, Avon, England; [Perkins, Rupert] Cardiff Univ, Sch Earth &amp; Ocean Sci, Cardiff CF10 3AX, S Glam, Wales; [Cadoret, Jean-Paul; Saint-Jean, Bruno; Carrier, Gregory] IFREMER, Lab Physiol &amp; Biotechnol Algues, Nantes, France</t>
  </si>
  <si>
    <t>Centre National de la Recherche Scientifique (CNRS); CNRS - Institute for Engineering &amp; Systems Sciences (INSIS); Le Mans Universite; National Academy of Sciences Ukraine; University of Copenhagen; University of Rhode Island; University of Gothenburg; Mount Allison University; INRAE; Universite Paris Saclay; Centre National de la Recherche Scientifique (CNRS); CNRS - Institute for Engineering &amp; Systems Sciences (INSIS); Nantes Universite; University of Tasmania; University of Bristol; Cardiff University; Ifremer</t>
  </si>
  <si>
    <t>Mouget, JL (corresponding author), Univ Maine, MMS Mer, LUNAM, FR 3473, F-72017 Le Mans, France.</t>
  </si>
  <si>
    <t>Jean-Luc.Mouget@univ-lemans.fr</t>
  </si>
  <si>
    <t>CADORET, Jean-Paul/IVH-1445-2023; , Marian/JSL-4087-2023; Gastineau, Romain/JCE-5897-2023; D., Nickolai/ABC-9342-2021; Davidovich, Nickolai/G-2304-2017; Hardivillier, Yann/AAF-7994-2020; Gastineau, Romain/ABD-5773-2020; Davidovich, Nickolai/N-2446-2019; Meleder, Vona/A-4735-2012; Maumus, Florian/O-5426-2016; Hansen, Gert/P-3328-2014; Hallegraeff, Gustaaf/C-8351-2013</t>
  </si>
  <si>
    <t>Gastineau, Romain/0000-0001-8661-5118; Davidovich, Nickolai/0000-0002-3510-0453; Gastineau, Romain/0000-0001-8661-5118; Davidovich, Nickolai/0000-0002-3510-0453; Cadoret, Jean-Paul/0000-0001-7542-5474; Meleder, Vona/0000-0002-1874-1929; Maumus, Florian/0000-0001-7325-0527; Hansen, Gert/0000-0002-5751-8316; carrier, gregory/0000-0001-6859-5707; Mouget, Jean-Luc/0000-0003-0154-7289; Hallegraeff, Gustaaf/0000-0001-8464-7343; Saint-Jean, Bruno/0000-0003-3915-5440</t>
  </si>
  <si>
    <t>ACADEMIC PRESS LTD-ELSEVIER SCIENCE LTD</t>
  </si>
  <si>
    <t>24-28 OVAL ROAD, LONDON NW1 7DX, ENGLAND</t>
  </si>
  <si>
    <t>0065-2296</t>
  </si>
  <si>
    <t>978-0-12-408062-1</t>
  </si>
  <si>
    <t>ADV BOT RES</t>
  </si>
  <si>
    <t>Adv. Bot. Res.</t>
  </si>
  <si>
    <t>10.1016/B978-0-12-408062-1.00015-9</t>
  </si>
  <si>
    <t>BA8OV</t>
  </si>
  <si>
    <t>WOS:000338387100016</t>
  </si>
  <si>
    <t>Hurd, CL; Harrison, PJ; Bischof, K; Lobban, CS</t>
  </si>
  <si>
    <t>Hurd, Catriona L.; Harrison, Paul J.; Bischof, Kai; Lobban, Christopher S.</t>
  </si>
  <si>
    <t>Seaweed Ecology and Physiology Second Edition Preface</t>
  </si>
  <si>
    <t>SEAWEED ECOLOGY AND PHYSIOLOGY, 2ND EDITION</t>
  </si>
  <si>
    <t>GIANT-KELP MACROCYSTIS; NITRATE REDUCTASE-ACTIVITY; GREEN-ALGA ULVA; CRUSTOSE CORALLINE ALGAE; BENTHIC MARINE-ALGAE; UV-B RADIATION; PORPHYRA-YEZOENSIS BANGIALES; FRAGILE SSP TOMENTOSOIDES; DISSOLVED ORGANIC-MATTER; INTER-TIDAL COMMUNITY</t>
  </si>
  <si>
    <t>[Hurd, Catriona L.] Univ Tasmania, Inst Marine &amp; Antarctic Studies, Hobart, Tas 7001, Australia; [Harrison, Paul J.] Univ British Columbia, Dept Earth &amp; Ocean Sci, Vancouver, BC V5Z 1M9, Canada; [Bischof, Kai] Univ Bremen, Dept Marine Bot, D-28359 Bremen, Germany; [Lobban, Christopher S.] Univ Guam, Div Nat Sci, Mangilao, GU USA</t>
  </si>
  <si>
    <t>University of Tasmania; University of British Columbia; University of Bremen; University of Guam</t>
  </si>
  <si>
    <t>Hurd, CL (corresponding author), Univ Tasmania, Inst Marine &amp; Antarctic Studies, Hobart, Tas 7001, Australia.</t>
  </si>
  <si>
    <t>Hurd, Catriona L/J-2411-2013</t>
  </si>
  <si>
    <t>978-0-521-14595-4</t>
  </si>
  <si>
    <t>XIII</t>
  </si>
  <si>
    <t>10.1017/CBO9781139192637</t>
  </si>
  <si>
    <t>Plant Sciences; Marine &amp; Freshwater Biology; Oceanography</t>
  </si>
  <si>
    <t>BA9XX</t>
  </si>
  <si>
    <t>WOS:000339956300001</t>
  </si>
  <si>
    <t>Coulson, SJ; Convey, P; Aakra, K; Aarvik, L; Avila-Jiménez, ML; Babenko, A; Biersma, EM; Boström, S; Brittain, JE; Carlsson, AM; Christoffersen, K; De Smet, WH; Ekrem, T; Fjellberg, A; Füreder, L; Gustafsson, D; Gwiazdowicz, DJ; Hansen, LO; Holmstrup, M; Hullé, M; Kaczmarek, L; Kolicka, M; Kuklinr, V; Lakka, HK; Lebedeva, N; Makarova, O; Maraldo, K; Melekhina, E; Odegaard, F; Pilskog, HE; Simon, JC; Sohlenius, B; Solhoy, T; Soli, G; Stur, E; Tanasevitch, A; Taskaeva, A; Velle, G; Zawierucha, K; Zmudczynska-Skarbek, K</t>
  </si>
  <si>
    <t>Coulson, S. J.; Convey, P.; Aakra, K.; Aarvik, L.; Avila-Jimenez, M. L.; Babenko, A.; Biersma, E. M.; Bostrom, S.; Brittain, J. E.; Carlsson, A. M.; Christoffersen, K.; De Smet, W. H.; Ekrem, T.; Fjellberg, A.; Fuereder, L.; Gustafsson, D.; Gwiazdowicz, D. J.; Hansen, L. O.; Holmstrup, M.; Hulle, M.; Kaczmarek, L.; Kolicka, M.; Kuklinr, V.; Lakka, H. -K.; Lebedeva, N.; Makarova, O.; Maraldo, K.; Melekhina, E.; Odegaard, F.; Pilskog, H. E.; Simon, J. C.; Sohlenius, B.; Solhoy, T.; Soli, G.; Stur, E.; Tanasevitch, A.; Taskaeva, A.; Velle, G.; Zawierucha, K.; Zmudczynska-Skarbek, K.</t>
  </si>
  <si>
    <t>The terrestrial and freshwater invertebrate biodiversity of the archipelagoes of the Barents Sea, Svalbard, Franz Josef Land and Novaya Zemlya</t>
  </si>
  <si>
    <t>SOIL BIOLOGY &amp; BIOCHEMISTRY</t>
  </si>
  <si>
    <t>Novaja Zemlja; Frans Josef Land; Spitsbergen; Spitzbergen; Biodiversity; Colonization; Isolation; High Arctic</t>
  </si>
  <si>
    <t>SIMULATED CLIMATE-CHANGE; TROLL THERMAL SPRINGS; GLACIER-FED RIVERS; MOSS-TURF HABITAT; HIGH ARCTIC APHID; POPULATION-DYNAMICS; COLD TOLERANCE; LIFE-HISTORY; SOIL FAUNA; ECHINOCOCCUS-MULTILOCULARIS</t>
  </si>
  <si>
    <t>Arctic terrestrial ecosystems are generally considered to be species poor, fragile and often isolated. Nonetheless, their intricate complexity, especially that of the invertebrate component, is beginning to emerge. Attention has become focused on the Arctic both due to the importance of this rapidly changing region for the Earth and also the inherent interest of an extreme and unique environment. The three archipelagoes considered here, Svalbard, Franz Josef Land and Novaya Zemlya, delineate the Barents Sea to the west, north and east. This is a region of convergence for Palearctic and Nearctic faunas re-colonising the Arctic following the retreat of the ice after the Last Glacial Maximum (LGM). Despite the harsh Arctic environment and the short period since deglaciation, the archipelagoes of the Barents Sea are inhabited by diverse invertebrate communities. But there is an obvious imbalance in our knowledge of many taxa of each archipelago, and in our knowledge of many taxa. Research effort in Svalbard is increasing rapidly while there are still few reports, particularly in the western literature, from Franz Josef Land and Novaya Zemlya. Nevertheless, there appears to be a surprising degree of dissimilarity between the invertebrate faunas, possibly reflecting colonization history. We provide a baseline synthesis of the terrestrial and freshwater invertebrate fauna of the Barents Sea archipelagoes, highlight the taxa present, the characteristic elements of fauna and the complexity of their biogeography. In doing so, we provide a background from which to assess responses to environmental change for a region under increasing international attention from scientific, industrial and political communities as well as non-governmental organizations and the general public. (C) 2013 Elsevier Ltd. All rights reserved.</t>
  </si>
  <si>
    <t>[Coulson, S. J.; Avila-Jimenez, M. L.; Carlsson, A. M.; Pilskog, H. E.] Univ Ctr Svalbard, Dept Arctic Biol, N-9171 Longyearbyen, Svalbard, Norway; [Convey, P.; Biersma, E. M.] British Antarctic Survey, Cambridge CB3 0ET, England; [Aakra, K.] Midt Troms Museum, N-9050 Storsteinnes, Norway; [Aarvik, L.; Brittain, J. E.; Hansen, L. O.; Soli, G.] Univ Oslo, Dept Zool, Nat Hist Museum, NO-0318 Oslo, Norway; [Babenko, A.] Russian Acad Sci, Inst Ecol &amp; Evolut, Moscow 119071, Russia; [Bostrom, S.; Sohlenius, B.] Swedish Museum Nat Hist, SE-10405 Stockholm, Sweden; [Carlsson, A. M.] Univ Lancaster, Lancaster Environm Ctr, Lancaster LA1 4YQ, England; [Christoffersen, K.] Univ Copenhagen, Freshwater Biol Lab, DK-2100 Copenhagen, Denmark; [Christoffersen, K.] Univ Copenhagen, Polar Sci Ctr, DK-2100 Copenhagen, Denmark; [De Smet, W. H.] Univ Antwerp, ECOBE Dept Biol, B-2610 Antwerp, Belgium; [Ekrem, T.] NTNU Univ Museum, Dept Nat Hist, NO-7491 Trondheim, Norway; [Fuereder, L.] Univ Innsbruck, Fac Biol, A-6020 Innsbruck, Austria; [Gustafsson, D.] Univ Utah, Dept Biol, Salt Lake City, UT 84112 USA; [Gwiazdowicz, D. J.] Poznan Univ Life Sci, Dept Forest Protect, PL-60625 Poznan, Poland; [Holmstrup, M.] Aarhus Univ, Dept Biosci, DK-8600 Silkeborg, Denmark; [Hulle, M.; Simon, J. C.] Univ Rennes 1, Ouest, INRA Agrocampus, IGEPP,UMR 1349, F-35653 Le Rheu, France; [Kaczmarek, L.; Kolicka, M.; Zawierucha, K.] Adam Mickiewicz Univ, Dept Anim Taxon &amp; Ecol, PL-61614 Poznan, Poland; [Kuklinr, V.] Russian Acad Sci, Murmansk Marine Biol Inst, Murmansk 183010, Russia; [Lakka, H. -K.] Univ Helsinki, Dept Environm Sci, Lahti 15140, Finland; [Lebedeva, N.] Russian Acad Sci, Southern Sci Ctr, Rostov Na Donu 344006, Russia; [Lebedeva, N.] Russian Acad Sci, Kola Sci Ctr, Azov Branch, Rostov Na Donu 344006, Russia; [Maraldo, K.] Aarhus Univ, Dept Agroecol, DK-8230 Tjele, Denmark; [Melekhina, E.; Taskaeva, A.] Russian Acad Sci, Komi Sci Ctr, Inst Biol, Ural Branch, Syktyvkar, Russia; [Odegaard, F.] Norwegian Inst Nat Res, NO-7485 Trondheim, Norway; [Pilskog, H. E.] Norwegian Univ Life Sci, Dept Ecol &amp; Nat Resource Management, NO-1432 As, Norway; [Solhoy, T.] Univ Bergen, Inst Biol, EECRG, N-5020 Bergen, Norway; [Tanasevitch, A.] Russian Acad Sci, Ctr Forest Ecol &amp; Prod, Moscow 117997, Russia; [Velle, G.] Uni Environm, Uni Res, N-5006 Bergen, Norway; [Zmudczynska-Skarbek, K.] Univ Gdansk, Dept Vertebrate Ecol &amp; Zool, PL-80308 Gdansk, Poland</t>
  </si>
  <si>
    <t>University Centre Svalbard (UNIS); UK Research &amp; Innovation (UKRI); Natural Environment Research Council (NERC); NERC British Antarctic Survey; University of Oslo; Russian Academy of Sciences; Swedish Museum of Natural History; Lancaster University; University of Copenhagen; University of Copenhagen; University of Antwerp; Norwegian University of Science &amp; Technology (NTNU); University of Innsbruck; Utah System of Higher Education; University of Utah; Poznan University of Life Sciences; Aarhus University; Universite de Rennes; Institut Agro; Agrocampus Ouest; INRAE; Adam Mickiewicz University; Russian Academy of Sciences; University of Helsinki; Southern Scientific Center, Russian Academy of Sciences; Russian Academy of Sciences; Russian Academy of Sciences; Kola Science Centre of the Russian Academy of Sciences; Aarhus University; Russian Academy of Sciences; Institute of Biology, Komi Scientific Centre, Ural Branch RAS; Komi Science Centre of the Ural Branch of the Russian Academy of Sciences; Norwegian Institute Nature Research; Norwegian University of Life Sciences; University of Bergen; Russian Academy of Sciences; Fahrenheit Universities; University of Gdansk</t>
  </si>
  <si>
    <t>Coulson, SJ (corresponding author), Univ Ctr Svalbard, Dept Arctic Biol, POB 156, N-9171 Longyearbyen, Svalbard, Norway.</t>
  </si>
  <si>
    <t>Steve.coulson@unis.no; pcon@bas.ac.uk; kjetil.aakra@mtmu.no; leif.aarvik@nhm.uio.no; mlavilaj@gmail.com; lsdc@mail.ru; elisebiersma@gmail.com; Sven.Bostrom@nrm.se; j.e.brittain@nhm.uio.no; anjamorven@gmail.com; kchristoffersen@bio.ku.dk; willem.desmet@ua.ac.be; torbjorn.ekrem@ntnu.no; arnecoll@gmail.com; Leopold.Fuereder@uibk.ac.at; kotatsu.no.leo@gmail.com; dagwiazd@au.poznan.pl; l.o.hansen@nhrm.uio.no; mho@dmu.dk; maurice.hulle@rennes.inra.fr; kaczmar@amu.edu.pl; malgorzata.kolicka@gmail.com; VV_Kuklin@mail.ru; hanna-kaisa.lakka@helsinki.fi; bird_happy@mail.ru; ol_makarova@mail.ru; kmaraldo@hotmail.com; melekhina@ib.komisc.ru; frode.odegaard@nina.no; hanne.pilskog@umb.no; Jean-Christophe.Simon@rennes.inra.fr; bjorn.sohlenius@nrm.se; geir.soli@nhm.uio.no; Elisabeth.Stur@ntnu.no; tanasevitch@gmail.com; taskaeva@ib.komisc.ru; gaute.velle@uni.no; k.p.zawierucha@gmail.com; biozmud@ug.ed.pl</t>
  </si>
  <si>
    <t>Biersma, Elisabeth Machteld/AAL-9818-2020; Simon, Jean-Christophe/I-2700-2014; Convey, Peter/AAV-5728-2020; Ekrem, Torbjørn/AAC-4087-2021; Lakka, Hanna-Kaisa/JDW-0276-2023; Tanasevitch, Andrei/HPD-2360-2023; Kuklin, Vadim/G-4773-2017; Holmstrup, Martin/E-8731-2017; Zawierucha, Krzysztof/HTP-6506-2023; Kaczmarek, Lukasz/A-2000-2008; Babenko, Anatoly B./I-6367-2013; Melekhina, Elena/AAZ-7842-2020; Melekhina, Elena/ABF-4456-2020; Zawierucha, Krzysztof/HDN-5985-2022; Lebedeva, Natalia V/A-9138-2012; De Smet, Willem H/C-3458-2008; Zmudczynska-Skarbek, Katarzyna/HNP-0022-2023; Gustafsson, Daniel/Q-2962-2019; Holmstrup, Martin/I-7463-2013; Biersma, Elisabeth Machteld/JKI-1084-2023; Christoffersen, Kirsten Seestern/K-8423-2014; Tanasevitch, Andrei/O-7401-2018; Taskaeva, Anastasia/Q-1637-2015</t>
  </si>
  <si>
    <t>Biersma, Elisabeth Machteld/0000-0002-9877-2177; Convey, Peter/0000-0001-8497-9903; Ekrem, Torbjørn/0000-0003-3469-9211; Lakka, Hanna-Kaisa/0000-0001-9017-3199; Babenko, Anatoly B./0000-0002-6077-0619; Melekhina, Elena/0000-0002-3738-6520; Zawierucha, Krzysztof/0000-0002-0754-1411; Lebedeva, Natalia V/0000-0003-3545-753X; Holmstrup, Martin/0000-0001-8395-6582; Christoffersen, Kirsten Seestern/0000-0002-3324-1017; Kolicka, Malgorzata/0000-0003-1580-7264; Zmudczynska-Skarbek, Katarzyna/0000-0003-2276-4565; Coulson, Stephen James/0000-0003-0935-959X; Kaczmarek, Lukasz/0000-0002-5260-6253; Avila, Maria/0000-0003-2123-2698; Hansen, Lars Ove/0000-0002-6313-0529; Tanasevitch, Andrei/0000-0002-9116-606X; Taskaeva, Anastasia/0000-0002-4519-8458; Gwiazdowicz, Dariusz/0000-0002-0064-2316; Hulle, Maurice/0000-0002-9520-3454; Makarova, Olga Lvowna/0000-0002-1820-2511</t>
  </si>
  <si>
    <t>Research Council of Norway [ES446370]; National Science Centre (Poland); [N N304 014939]; NERC [bas0100025] Funding Source: UKRI; Natural Environment Research Council [bas0100025, ceh010010] Funding Source: researchfish</t>
  </si>
  <si>
    <t>Research Council of Norway(Research Council of Norway); National Science Centre (Poland)(National Science Centre, Poland); ; NERC(UK Research &amp; Innovation (UKRI)Natural Environment Research Council (NERC)); Natural Environment Research Council(UK Research &amp; Innovation (UKRI)Natural Environment Research Council (NERC))</t>
  </si>
  <si>
    <t>This work results from the Research Council of Norway ES446370 support to S.J. Coulson for the Invertebrate Fauna of Svalbard workshop, March 2011. We are grateful to Oleksandr Holovachov for help with obtaining Russian Nematoda references and Malin Daase (Norwegian Polar Institute) and Anna Sjoblom (UNIS) for assistance with the preparation of the figures. We also express our thanks to the three anonymous reviewers who provided valuable contributions to the manuscript. L. Kaczmarek was partially funded by National Science Centre (Poland) and grant number N N304 014939.</t>
  </si>
  <si>
    <t>0038-0717</t>
  </si>
  <si>
    <t>1879-3428</t>
  </si>
  <si>
    <t>SOIL BIOL BIOCHEM</t>
  </si>
  <si>
    <t>Soil Biol. Biochem.</t>
  </si>
  <si>
    <t>10.1016/j.soilbio.2013.10.006</t>
  </si>
  <si>
    <t>Soil Science</t>
  </si>
  <si>
    <t>Agriculture</t>
  </si>
  <si>
    <t>287IU</t>
  </si>
  <si>
    <t>WOS:000329536200051</t>
  </si>
  <si>
    <t>Bockheim, JG; Haus, NW</t>
  </si>
  <si>
    <t>Hartemink, AE; McSweeney, K</t>
  </si>
  <si>
    <t>Bockheim, James G.; Haus, Nick W.</t>
  </si>
  <si>
    <t>Distribution of Organic Carbon in the Soils of Antarctica</t>
  </si>
  <si>
    <t>SOIL CARBON</t>
  </si>
  <si>
    <t>Progress in Soil Science</t>
  </si>
  <si>
    <t>International-Union-of-Soil-Sciences Global Soil Carbon Conference</t>
  </si>
  <si>
    <t>JUN 03-06, 2013</t>
  </si>
  <si>
    <t>Madison, WI</t>
  </si>
  <si>
    <t>NITROGEN; POOLS</t>
  </si>
  <si>
    <t>Antarctica can be divided into nine ice-free regions. Only 0.35 % of the continent is ice-free, amounting to 49,500 km(2). Profile quantities of soil organic carbon (SOC) determined on a mass per area basis are greatest along the Antarctic Peninsula, intermediate in East Antarctica, and lowest in the Transantarctic Mountains (TAMs). Sea-birds input very large quantities of manure in terrestrial environments and are the dominant factor influencing SOC levels in Antarctic soils. In the McMurdo Dry Valleys, profile quantities of SOC are related to proximity to water sources. From chronosequence studies, the amounts of SOC in the TAMs peak in about 2 kyr and decline thereafter but SOC storage in soils of the Antarctic Peninsula continue to rise after 8 kyr. Because of a dramatically warming climate, the ice-free area of Antarctica is increasing and there is evidence that the soils may be acting as a sink rather than a source for atmospheric carbon dioxide.</t>
  </si>
  <si>
    <t>[Bockheim, James G.; Haus, Nick W.] Univ Wisconsin, Dept Soil Sci, 1525 Observ Dr, Madison, WI 53706 USA</t>
  </si>
  <si>
    <t>University of Wisconsin System; University of Wisconsin Madison</t>
  </si>
  <si>
    <t>Bockheim, JG (corresponding author), Univ Wisconsin, Dept Soil Sci, 1525 Observ Dr, Madison, WI 53706 USA.</t>
  </si>
  <si>
    <t>bockheim@wisc.edu</t>
  </si>
  <si>
    <t>2352-4774</t>
  </si>
  <si>
    <t>978-3-319-04084-4; 978-3-319-04083-7</t>
  </si>
  <si>
    <t>PROGR SOIL SCI</t>
  </si>
  <si>
    <t>10.1007/978-3-319-04084-4_37</t>
  </si>
  <si>
    <t>BA6KO</t>
  </si>
  <si>
    <t>WOS:000337169400039</t>
  </si>
  <si>
    <t>Adhikari, S; Ivins, ER; Larour, E; Seroussi, H; Morlighem, M; Nowicki, S</t>
  </si>
  <si>
    <t>Adhikari, S.; Ivins, E. R.; Larour, E.; Seroussi, H.; Morlighem, M.; Nowicki, S.</t>
  </si>
  <si>
    <t>Future Antarctic bed topography and its implications for ice sheet dynamics</t>
  </si>
  <si>
    <t>SOLID EARTH</t>
  </si>
  <si>
    <t>GLACIAL ISOSTATIC-ADJUSTMENT; SEA-LEVEL RISE; LATE HOLOCENE; MODEL; FLOW; SURFACE; DRIVEN; SHELF; EARTH; SENSITIVITIES</t>
  </si>
  <si>
    <t>The Antarctic bedrock is evolving as the solid Earth responds to the past and ongoing evolution of the ice sheet. A recently improved ice loading history suggests that the Antarctic Ice Sheet (AIS) has generally been losing its mass since the Last Glacial Maximum. In a sustained warming climate, the AIS is predicted to retreat at a greater pace, primarily via melting beneath the ice shelves. We employ the glacial isostatic adjustment (GIA) capability of the Ice Sheet System Model (ISSM) to combine these past and future ice loadings and provide the new solid Earth computations for the AIS. We find that past loading is relatively less important than future loading for the evolution of the future bed topography. Our computations predict that the West Antarctic Ice Sheet (WAIS) may uplift by a few meters and a few tens of meters at years AD 2100 and 2500, respectively, and that the East Antarctic Ice Sheet is likely to remain unchanged or subside minimally except around the Amery Ice Shelf. The Amundsen Sea Sector in particular is predicted to rise at the greatest rate; one hundred years of ice evolution in this region, for example, predicts that the coastline of Pine Island Bay will approach roughly 45mmyr(-1) in viscoelastic vertical motion. Of particular importance, we systematically demonstrate that the effect of a pervasive and large GIA uplift in the WAIS is generally associated with the flattening of reverse bed slope, reduction of local sea depth, and thus the extension of grounding line (GL) towards the continental shelf. Using the 3-D higher-order ice flow capability of ISSM, such a migration of GL is shown to inhibit the ice flow. This negative feedback between the ice sheet and the solid Earth may promote stability in marine portions of the ice sheet in the future.</t>
  </si>
  <si>
    <t>[Adhikari, S.; Ivins, E. R.; Larour, E.; Seroussi, H.] CALTECH, Jet Prop Lab, Pasadena, CA 91109 USA; [Adhikari, S.] CALTECH, Div Geol &amp; Planetary Sci, Pasadena, CA 91125 USA; [Morlighem, M.] Univ Calif Irvine, Dept Earth Syst Sci, Irvine, CA 92697 USA; [Nowicki, S.] NASA, Goddard Space Flight Ctr, Greenbelt, MD 20771 USA</t>
  </si>
  <si>
    <t>California Institute of Technology; National Aeronautics &amp; Space Administration (NASA); NASA Jet Propulsion Laboratory (JPL); California Institute of Technology; University of California System; University of California Irvine; National Aeronautics &amp; Space Administration (NASA); NASA Goddard Space Flight Center</t>
  </si>
  <si>
    <t>Adhikari, S (corresponding author), CALTECH, Jet Prop Lab, 4800 Oak Grove Dr, Pasadena, CA 91109 USA.</t>
  </si>
  <si>
    <t>surendra.adhikari@jpl.nasa.gov</t>
  </si>
  <si>
    <t>Ivins, Erik R/C-2416-2011; Seroussi, Helene/AAX-5342-2021; Morlighem, Mathieu/O-9942-2014</t>
  </si>
  <si>
    <t>Seroussi, Helene/0000-0001-9201-1644; Morlighem, Mathieu/0000-0001-5219-1310; Ivins, Erik/0000-0003-0148-357X; Adhikari, Surendra/0000-0003-1021-6860</t>
  </si>
  <si>
    <t>1869-9510</t>
  </si>
  <si>
    <t>1869-9529</t>
  </si>
  <si>
    <t>Solid Earth</t>
  </si>
  <si>
    <t>10.5194/se-5-569-2014</t>
  </si>
  <si>
    <t>AK8CL</t>
  </si>
  <si>
    <t>WOS:000338654700005</t>
  </si>
  <si>
    <t>Michel, RFM; Schaefer, CEGR; Simas, FMB; Francelino, MR; Fernandes, EI; Lyra, GB; Bockheim, JG</t>
  </si>
  <si>
    <t>Michel, R. F. M.; Schaefer, C. E. G. R.; Simas, F. M. B.; Francelino, M. R.; Fernandes-Filho, E. I.; Lyra, G. B.; Bockheim, J. G.</t>
  </si>
  <si>
    <t>Active-layer thermal monitoring on the Fildes Peninsula, King George Island, maritime Antarctica</t>
  </si>
  <si>
    <t>FROZEN SOILS; PERMAFROST; TEMPERATURE; REGIME; ALASKA</t>
  </si>
  <si>
    <t>International attention to climate change phenomena has grown in the last decade; the active layer and permafrost are of great importance in understanding processes and future trends due to their role in energy flux regulation. The objective of this paper is to present active-layer temperature data for one Circumpolar Active Layer Monitoring South hemisphere (CALM-S) site located on the Fildes Peninsula, King George Island, maritime Antarctica over an 57-month period (2008-2012). The monitoring site was installed during the summer of 2008 and consists of thermistors (accuracy of +/- 0.2 degrees C), arranged vertically with probes at different depths, recording data at hourly intervals in a high-capacity data logger. A series of statistical analyses was performed to describe the soil temperature time series, including a linear fit in order to identify global trends, and a series of autoregressive integrated moving average (ARIMA) models was tested in order to define the best fit for the data. The affects of weather on the thermal regime of the active layer have been identified, providing insights into the influence of climate change on permafrost. The active-layer thermal regime in the studied period was typical of periglacial environments, with extreme variation in surface during the summer resulting in frequent freeze and thaw cycles. The active-layer thickness (ALT) over the studied period shows a degree of variability related to different annual weather conditions, reaching a maximum of 117.5 cm in 2009. The ARIMA model could describe the data adequately and is an important tool for more conclusive analysis and predictions when longer data sets are available. Despite the variability when comparing temperature readings and ACT over the studied period, no trend can be identified.</t>
  </si>
  <si>
    <t>[Michel, R. F. M.] Univ Estadual Santa Cruz, Ilheus, Brazil; [Schaefer, C. E. G. R.; Simas, F. M. B.; Francelino, M. R.; Fernandes-Filho, E. I.] Univ Fed Vicosa, Vicosa, MG, Brazil; [Lyra, G. B.] Univ Fed Rural Rio de Janeiro, Seropedica, Brazil; [Bockheim, J. G.] Univ Wisconsin, Madison, WI 53706 USA</t>
  </si>
  <si>
    <t>Universidade Estadual de Santa Cruz; Universidade Federal de Vicosa; Universidade Federal Rural do Rio de Janeiro (UFRRJ); University of Wisconsin System; University of Wisconsin Madison</t>
  </si>
  <si>
    <t>Michel, RFM (corresponding author), Univ Estadual Santa Cruz, Ilheus, Brazil.</t>
  </si>
  <si>
    <t>roberto@michel.com</t>
  </si>
  <si>
    <t>Lyra, Gustavo Bastos/L-3986-2019; Filho, Elpídio Inácio Fernandes/AAE-7315-2019; Lyra, Guilherme Bastos/AAL-2359-2020; Schaefer, Carlos Ernesto/AAY-4977-2020; Michel, Roberto Ferreira Machado/H-4578-2016; Francelino, Marcio Rocha/AAS-4224-2020; Filho, Elpidio I Fernandes/G-1560-2012</t>
  </si>
  <si>
    <t>Lyra, Gustavo Bastos/0000-0002-9882-7000; Filho, Elpídio Inácio Fernandes/0000-0002-9484-1411; Michel, Roberto Ferreira Machado/0000-0001-5951-4610; Francelino, Marcio Rocha/0000-0001-8837-1372; Fernandes Filho, Elpidio Inacio/0000-0003-2440-8329</t>
  </si>
  <si>
    <t>Brazilian Navy; MMA; UFV; FEAM-MG; CNPq</t>
  </si>
  <si>
    <t>Brazilian Navy; MMA; UFV; FEAM-MG; CNPq(Conselho Nacional de Desenvolvimento Cientifico e Tecnologico (CNPQ))</t>
  </si>
  <si>
    <t>This study was supported technically and logistically by the Brazilian Navy, MMA, UFV and FEAM-MG; grants were received from CNPq. We also thank the Chilean Antarctic Institute (INACH) for technical and logistical support during field activities. This is a contribution of the Terrantar laboratory, part of the Brazilian National Institute of Cryospheric Science and Technology.</t>
  </si>
  <si>
    <t>10.5194/se-5-1361-2014</t>
  </si>
  <si>
    <t>AY4KD</t>
  </si>
  <si>
    <t>WOS:000347545800055</t>
  </si>
  <si>
    <t>Ansorge, IJ; Durgadoo, JV; Treasure, AM</t>
  </si>
  <si>
    <t>Ansorge, Isabelle J.; Durgadoo, Jonathan V.; Treasure, Anne M.</t>
  </si>
  <si>
    <t>Sentinels to climate change. The need for monitoring at South Africa's Subantarctic laboratory</t>
  </si>
  <si>
    <t>SOUTH AFRICAN JOURNAL OF SCIENCE</t>
  </si>
  <si>
    <t>Prince Edward Islands; Subantarctic Front; Antarctic Circumpolar Current; climate change; oceanography</t>
  </si>
  <si>
    <t>PRINCE-EDWARD-ISLANDS; RECENT TRENDS; OCEAN; MARION; VARIABILITY; POPULATION; NUMBERS; ENVIRONMENT; DYNAMICS; EDDIES</t>
  </si>
  <si>
    <t>[Ansorge, Isabelle J.; Treasure, Anne M.] Univ Cape Town, Marine Res Inst Ma Re, Dept Oceanog, ZA-7925 Cape Town, South Africa; [Durgadoo, Jonathan V.] GEOMAR Helmholtz Ctr Ocean Res, Kiel, Germany</t>
  </si>
  <si>
    <t>University of Cape Town; Helmholtz Association; GEOMAR Helmholtz Center for Ocean Research Kiel</t>
  </si>
  <si>
    <t>Ansorge, IJ (corresponding author), Univ Cape Town, Marine Res Inst Ma Re, Dept Oceanog, ZA-7701 Rondebosch, South Africa.</t>
  </si>
  <si>
    <t>Isabelle.Ansorge@uct.ac.za</t>
  </si>
  <si>
    <t>ANSORGE, ISABELLE/AAY-7396-2020</t>
  </si>
  <si>
    <t>Durgadoo, Jonathan/0000-0001-6297-5178; Treasure, Anne/0000-0002-8345-4811</t>
  </si>
  <si>
    <t>Department of Science and Technology; Department of Environmental Affairs - Antarctic Logistics and Support division and Oceans and Coasts; South African National Antarctic Programme</t>
  </si>
  <si>
    <t>Department of Science and Technology(Department of Science &amp; Technology (India)); Department of Environmental Affairs - Antarctic Logistics and Support division and Oceans and Coasts; South African National Antarctic Programme</t>
  </si>
  <si>
    <t>The Department of Science and Technology, Department of Environmental Affairs - Antarctic Logistics and Support division and Oceans and Coasts as well as the South African National Antarctic Programme are acknowledged for financial and logistical support. We thank the various captains, officers and crew of the research and supply vessel SA Agulhas and more recently the SA Agulhas II for their endless support and outstanding professionalism over the past decade. The collegial collaboration with biological oceanographers from the Southern Ocean Group at Rhodes University is much appreciated.</t>
  </si>
  <si>
    <t>ACAD SCIENCE SOUTH AFRICA A S S AF</t>
  </si>
  <si>
    <t>LYNWOOD RIDGE</t>
  </si>
  <si>
    <t>PO BOX 72135, LYNWOOD RIDGE 0040, SOUTH AFRICA</t>
  </si>
  <si>
    <t>0038-2353</t>
  </si>
  <si>
    <t>1996-7489</t>
  </si>
  <si>
    <t>S AFR J SCI</t>
  </si>
  <si>
    <t>S. Afr. J. Sci.</t>
  </si>
  <si>
    <t>a0044</t>
  </si>
  <si>
    <t>10.1590/sajs.2014/a0044</t>
  </si>
  <si>
    <t>AA4MF</t>
  </si>
  <si>
    <t>Green Published, Green Accepted, gold, Green Submitted</t>
  </si>
  <si>
    <t>WOS:000331069000002</t>
  </si>
  <si>
    <t>Fiori, RAD; Boteler, DH; Gillies, DM</t>
  </si>
  <si>
    <t>Fiori, R. A. D.; Boteler, D. H.; Gillies, D. M.</t>
  </si>
  <si>
    <t>Assessment of GIC risk due to geomagnetic sudden commencements and identification of the current systems responsible</t>
  </si>
  <si>
    <t>SPACE WEATHER-THE INTERNATIONAL JOURNAL OF RESEARCH AND APPLICATIONS</t>
  </si>
  <si>
    <t>geomagnetic sudden commencement; geomagnetically induced currents; ionospheric convection electrojet</t>
  </si>
  <si>
    <t>HYDRO-QUEBEC; SOLAR-WIND; STORM; FIELD; DISTURBANCE; EVENT</t>
  </si>
  <si>
    <t>During periods of enhanced geomagnetic activity, geomagnetically induced currents (GIC) flow in power systems potentially causing damage to system components or failure of the system. The largest GIC are produced when there are large rates of change of the geomagnetic field (dB/dt). It is well established that the main phase of a geomagnetic storm, particularly the magnetic substorms occurring during that period, is a cause of large GIC and hence a risk factor for power systems. However, some power system disturbances have been associated with the occurrence of a storm sudden commencement (SSC) prior to the main phase. We investigate the magnetic signature observed on the ground and the associated solar wind and interplanetary magnetic field (IMF) conditions for both SSC and sudden impulse (SI) events, which are grouped together as sudden commencements (SC). SCs are primarily attributed to a sudden enhancement of the magnetopause current. For some events, we show that there is a high-latitude enhancement (HLE) of the SC amplitude and corresponding dB/dt. The limited spatial extent suggests an ionospheric current source. Examination of the polarity of the change in the X-component magnetic field shows that the HLE is due to a sudden increase of the ionospheric convection electrojets. The occurrence of the HLE is more prevalent for SSC-type SCs, SCs caused by coronal mass ejections as opposed to corotating interaction regions, and SCs associated with a large solar wind speed (v(sw)) prior to the SC or a large v(sw) at the time of the SC.</t>
  </si>
  <si>
    <t>[Fiori, R. A. D.; Boteler, D. H.] Nat Resources Canada, Geomagnet Lab, Ottawa, ON, Canada; [Gillies, D. M.] Univ Calgary, Dept Phys &amp; Astron, Calgary, AB T2N 1N4, Canada</t>
  </si>
  <si>
    <t>Natural Resources Canada; University of Calgary</t>
  </si>
  <si>
    <t>Fiori, RAD (corresponding author), Nat Resources Canada, Geomagnet Lab, Ottawa, ON, Canada.</t>
  </si>
  <si>
    <t>Robyn.Fiori@NRCan-RNCan.gc.ca</t>
  </si>
  <si>
    <t>Fiori, Robyn/0000-0002-7313-8890</t>
  </si>
  <si>
    <t>Natural Resources Canada Earth Sciences Sector; Public Safety Geosciences program; Canadian Space Agency</t>
  </si>
  <si>
    <t>Natural Resources Canada Earth Sciences Sector(Natural Resources Canada); Public Safety Geosciences program; Canadian Space Agency(Canadian Space Agency)</t>
  </si>
  <si>
    <t>This work was supported by the Natural Resources Canada Earth Sciences Sector, the Public Safety Geosciences program, and the Canadian Space Agency. We gratefully acknowledge data providers. Solar wind and IMF parameters from the OMNI database were provided by NASA's Goddard Space Flight Center (GSFC) Space Physics Data Facility Coordinated Data Analysis Web (CDAWeb). The SC list was provided by the International Service on Rapid Magnetic Variations published by the Observatorio de l'Ebre in association with the International Association of Geomagnetism and Aeronomy (IAGA) and the International Service of Geomagnetic Indices (ISGI). SYM-H index values were provided in the OMNI data files. For the ground magnetometer data, we gratefully acknowledge: INTERMAGNET, USGS, Danish Meteorological Institute, CARISMA, CANMOS, the S-RAMP Database, the SPIDR database, MACCS, GIMA, MEASURE, SAMBA, 210 Chain, SAMNET, the institutes that maintain the IMAGE magnetometer array, PENGUIN, AUTUMN, Greenland magnetometers operated by DTU Space, South Pole and McMurdo Magnetometer, ICESTAR, RAPIDMAG, PENGUIn, British Antarctic Survey, BGS, Pushkov Institute of Terrestrial Magnetism, Ionosphere and Radio Wave Propagation (IZMIRAN), and SuperMAG. The SOHO LASCO CME catalogue is generated and maintained at the CDAW Data Center by NASA and The Catholic University of America in cooperation with the Naval Research Laboratory. SOHO is a project of international cooperation between ESA and NASA. The authors thank M. H. Denton for providing event lists for the occurrence of high speed solar wind streams. Constructive and critical comments of both reviewers are greatly appreciated. This is NRCan ESS Contribution Number 20130219.</t>
  </si>
  <si>
    <t>1542-7390</t>
  </si>
  <si>
    <t>SPACE WEATHER</t>
  </si>
  <si>
    <t>Space Weather</t>
  </si>
  <si>
    <t>10.1002/2013SW000967</t>
  </si>
  <si>
    <t>Astronomy &amp; Astrophysics; Geochemistry &amp; Geophysics; Meteorology &amp; Atmospheric Sciences</t>
  </si>
  <si>
    <t>AB1KU</t>
  </si>
  <si>
    <t>WOS:000331551300008</t>
  </si>
  <si>
    <t>Traversi, R; Udisti, R; Frosini, D; Becagli, S; Ciardini, V; Funke, B; Lanconelli, C; Petkov, B; Scarchilli, C; Severi, M; Vitale, V</t>
  </si>
  <si>
    <t>Traversi, Rita; Udisti, Roberto; Frosini, Daniele; Becagli, Silvia; Ciardini, Virginia; Funke, Bernd; Lanconelli, Christian; Petkov, Boyan; Scarchilli, Claudio; Severi, Mirko; Vitale, Vito</t>
  </si>
  <si>
    <t>Insights on nitrate sources at Dome C (East Antarctic Plateau) from multi-year aerosol and snow records</t>
  </si>
  <si>
    <t>TELLUS SERIES B-CHEMICAL AND PHYSICAL METEOROLOGY</t>
  </si>
  <si>
    <t>nitrate; aerosol; Antarctica; Dome C; chemical composition</t>
  </si>
  <si>
    <t>SOUTH-POLE; ICE CORES; NITROGEN-OXIDES; SURFACE SNOW; VARIABILITY; CHEMISTRY; STRATOSPHERE; TROPOSPHERE; STATION; OZONE</t>
  </si>
  <si>
    <t>Here we present the first multi-year record of nitrate in the atmospheric aerosol (2005-2008) and surface snow (2006-08) from central Antarctica. PM10 and size-segregated aerosol, together with superficial snow, have been collected all year-round at high resolution (daily for all the snow samples and for most of aerosol samples) at Dome C since the 2004/05 field season and analysed for main and trace ionic markers. The suitability of the sampling location in terms of possible contamination from the base is shown in detail. In spite of the relevance of nitrate in Antarctic atmosphere, both for better understanding the chemistry of N cycle in the plateau boundary layer and for improving the interpretation of long-term nitrate records from deep ice core records, nitrate sources in Antarctica are not well constrained yet, neither in extent nor in timing. A recurring seasonal pattern was pointed out in both aerosol and snow records, showing summer maxima and winter minima, although aerosol maxima lead the snow ones of 1-2 months, possibly due to a higher acidity in the atmosphere in mid-summer, favouring the repartition of nitrate as nitric acid and thus its uptake by the surface snow layers. On the basis of a meteorological analysis of one major nitrate event, of data related to PSC I extent and of irradiance values, we propose that the high nitrate summer levels in aerosol and snow are likely due to a synergy of enhanced source of nitrate and/or its precursors (such as the stratospheric inputs), higher solar irradiance and higher oxidation rates in this season. Moreover, we show here a further evidence of the substantial contribution of HNO3/NOx re-emission from the snowpack, already shown in previous works, and which can explain a significant fraction of atmospheric nitrate, maintaining the same seasonal pattern in the snow. As concerning snow specifically, the presented data suggest that nitrate is likely to be controlled mainly by atmospheric processes, not on the daily timescale but rather on the seasonal one.</t>
  </si>
  <si>
    <t>[Traversi, Rita; Udisti, Roberto; Frosini, Daniele; Becagli, Silvia; Severi, Mirko] Univ Florence, Chem Dept Ugo Schiff, Florence, Italy; [Ciardini, Virginia; Scarchilli, Claudio] Lab Earth Observat &amp; Anal UTMEA TER ENEA, Rome, Italy; [Funke, Bernd] Inst Astrofis Andalucia CSIC, Granada, Spain; [Lanconelli, Christian; Petkov, Boyan; Vitale, Vito] ISAC CNR, Bologna, Italy</t>
  </si>
  <si>
    <t>University of Florence; Consejo Superior de Investigaciones Cientificas (CSIC); CSIC - Instituto de Astrofisica de Andalucia (IAA); Consiglio Nazionale delle Ricerche (CNR); Istituto di Scienze dell'Atmosfera e del Clima (ISAC-CNR)</t>
  </si>
  <si>
    <t>Traversi, R (corresponding author), Univ Florence, Chem Dept Ugo Schiff, Florence, Italy.</t>
  </si>
  <si>
    <t>rita.traversi@unifi.it</t>
  </si>
  <si>
    <t>vitale, vito/AAW-8441-2021; Lanconelli, Christian/Q-5848-2018; Udisti, Roberto/M-7966-2015; Becagli, Silvia/GNW-2665-2022; Traversi, Rita/M-7586-2015; Funke, Bernd/C-2162-2008; Severi, Mirko/J-2508-2012</t>
  </si>
  <si>
    <t>Lanconelli, Christian/0000-0002-9545-1255; Udisti, Roberto/0000-0003-4440-8238; Scarchilli, Claudio/0000-0002-2414-2439; Traversi, Rita/0000-0002-9790-2195; vitale, vito/0000-0003-0978-8976; Becagli, Silvia/0000-0003-3633-4849; Funke, Bernd/0000-0003-0462-4702; Petkov, Boyan/0000-0002-8328-340X; Severi, Mirko/0000-0003-1511-6762</t>
  </si>
  <si>
    <t>MIUR through the Italian 'Programma Nazionale di Ricerche in Antartide' (PNRA); 'PRIDE' project [2009/A2.21]; 'DECA-POL' PNRA project [2010/A3.05]; European Science Foundation; NSF [ANT-0944018, ANT-1245663]; Spanish MCINN [AYA2011-23552]; EC FEDER funds</t>
  </si>
  <si>
    <t>MIUR through the Italian 'Programma Nazionale di Ricerche in Antartide' (PNRA); 'PRIDE' project; 'DECA-POL' PNRA project; European Science Foundation(European Science Foundation (ESF)); NSF(National Science Foundation (NSF)); Spanish MCINN(Spanish Government); EC FEDER funds(European Union (EU))</t>
  </si>
  <si>
    <t>This research was performed in the framework of the Air-Glacs1181 'Station Concordia' project, which was funded by the MIUR through the Italian 'Programma Nazionale di Ricerche in Antartide' (PNRA) and in the framework of 'PRIDE' (2009/A2.21) and 'DECA-POL' (2010/A3.05) PNRA projects. The field operations benefited from the support of the French-Italian Concordia Station. This paper is a contribution to the HOLOCLIP project, which is funded by the European Science Foundation. This is HOLOCLIP publication no. 25. Meteorological data and information were obtained from IPEV/PNRA Project Routine Meteorological Observation at Station Concordia - www.climantartide.it. Moreover, the authors appreciate the support of the AMRC, SSEC, UW-Madison for the data set, NSF grant numbers ANT-0944018 and ANT-1245663. B. Funke was supported by the Spanish MCINN under grant AYA2011-23552 and EC FEDER funds. We are grateful to the anonymous reviewers whose comments markedly improved the final manuscript.</t>
  </si>
  <si>
    <t>1600-0889</t>
  </si>
  <si>
    <t>TELLUS B</t>
  </si>
  <si>
    <t>Tellus Ser. B-Chem. Phys. Meteorol.</t>
  </si>
  <si>
    <t>10.3402/tellusb.v66.22550</t>
  </si>
  <si>
    <t>AK4ZS</t>
  </si>
  <si>
    <t>WOS:000338434000001</t>
  </si>
  <si>
    <t>Robertson, B; Burri, L; Berge, K</t>
  </si>
  <si>
    <t>Robertson, Bruce; Burri, Lena; Berge, Kjetil</t>
  </si>
  <si>
    <t>Genotoxicity test and subchronic toxicity study with Superba™ krill oil in rats</t>
  </si>
  <si>
    <t>TOXICOLOGY REPORTS</t>
  </si>
  <si>
    <t>Krill oil; Omega-3 fatty acids; Phospholipids; Eicosapentaenoic acid; Docosahexaenoic acid; Astaxanthin</t>
  </si>
  <si>
    <t>N-3 FATTY-ACIDS; OMEGA-3-FATTY-ACIDS; PHOSPHOLIPIDS; FISH; ASTAXANTHIN; CONSUMPTION; METABOLISM; BEHAVIOR; MOUSE</t>
  </si>
  <si>
    <t>The safety of krill oil was assessed in a subchronic toxicity study and in a genotoxicity test. In a 13-week study, rats were fed krill oil or control diets. There were no differences noted in body weight, food consumption or in the functional observation battery parameters in either gender. Differences in both haematology and clinical chemistry values were noted in the krill oil-treated groups. However these findings were of no toxicological significance. Significant decreases in absolute and covariant heart weight in some krill oil-treated animals were noted although no corresponding histological changes were observed. In addition, periportal microvesicular hepatocyte vacuolation was noted histologically in males fed 5% krill oil. This finding was not associated with other indications of hepatic dysfunction. Given that the effects of the 13-week toxicity study were non-toxic in nature, the no observed adverse effect level (NOAEL) for the conditions of this study was considered to be 5% krill oil. The genotoxicity experiments documented no mutagenicity of krill oil in bacteria. (C) 2014 The Authors. Published by Elsevier Ireland Ltd. This is an open access article under the CC BY-NC-ND license</t>
  </si>
  <si>
    <t>[Robertson, Bruce] Charles River, Edinburgh EH33 2NE, Midlothian, Scotland; [Burri, Lena; Berge, Kjetil] Aker BioMarine Antarct AS, Fjordalleen 16,POB 1423 Vika, NO-0115 Oslo, Norway</t>
  </si>
  <si>
    <t>Berge, K (corresponding author), Aker BioMarine Antarct AS, Fjordalleen 16,POB 1423 Vika, NO-0115 Oslo, Norway.</t>
  </si>
  <si>
    <t>bruce.robertson@crl.com; lena.burri@akerbiomarine.com; kjetil.berge@akerbiomarine.com</t>
  </si>
  <si>
    <t>Aker BioMarine Antarctic AS, Oslo, Norway; Norwegian Research Council [199360]</t>
  </si>
  <si>
    <t>Aker BioMarine Antarctic AS, Oslo, Norway; Norwegian Research Council(Research Council of Norway)</t>
  </si>
  <si>
    <t>This work was funded by Aker BioMarine Antarctic AS, Oslo, Norway and by Norwegian Research Council grant nr. 199360. Many thanks go to Laura Stibich for carefully editing the manuscript.</t>
  </si>
  <si>
    <t>2214-7500</t>
  </si>
  <si>
    <t>TOXICOL REP</t>
  </si>
  <si>
    <t>Toxicol. Rep.</t>
  </si>
  <si>
    <t>10.1016/j.toxrep.2014.07.007</t>
  </si>
  <si>
    <t>Toxicology</t>
  </si>
  <si>
    <t>V3Q2L</t>
  </si>
  <si>
    <t>WOS:000218487800079</t>
  </si>
  <si>
    <t>Hallegraeff, GM</t>
  </si>
  <si>
    <t>Rossini, GP</t>
  </si>
  <si>
    <t>Hallegraeff, Gustaaf M.</t>
  </si>
  <si>
    <t>Harmful Algae and their Toxins: Progress, Paradoxes and Paradigm Shifts</t>
  </si>
  <si>
    <t>TOXINS AND BIOLOGICALLY ACTIVE COMPOUNDS FROM MICROALGAE, VOL 1: ORIGIN, CHEMISTRY AND DETECTION</t>
  </si>
  <si>
    <t>NEW-ZEALAND; CAUSATIVE ORGANISM; MARINE DIATOM; DOMOIC ACID; FATTY-ACIDS; RED TIDE; BLOOMS; DINOPHYCEAE; MORTALITY; SHELLFISH</t>
  </si>
  <si>
    <t>[Hallegraeff, Gustaaf M.] Univ Tasmania, Inst Marine &amp; Antarctic Studies, Private Bag 55, Hobart, Tas 7001, Australia</t>
  </si>
  <si>
    <t>Hallegraeff, GM (corresponding author), Univ Tasmania, Inst Marine &amp; Antarctic Studies, Private Bag 55, Hobart, Tas 7001, Australia.</t>
  </si>
  <si>
    <t>Hallegraeff@utas.edu.au</t>
  </si>
  <si>
    <t>Hallegraeff, Gustaaf/C-8351-2013</t>
  </si>
  <si>
    <t>Hallegraeff, Gustaaf/0000-0001-8464-7343</t>
  </si>
  <si>
    <t>978-1-4822-1069-9; 978-1-4822-1068-2</t>
  </si>
  <si>
    <t>Plant Sciences; Toxicology</t>
  </si>
  <si>
    <t>BF7MJ</t>
  </si>
  <si>
    <t>WOS:000384234600002</t>
  </si>
  <si>
    <t>Sutherland, WJ; Aveling, R; Brooks, TM; Clout, M; Dicks, LV; Fellman, L; Fleishman, E; Gibbons, DW; Keim, B; Lickorish, F; Monk, KA; Mortimer, D; Peck, LS; Pretty, J; Rockström, J; Rodríguez, JP; Smith, RK; Spalding, MD; Tonneijck, FH; Watkinson, AR</t>
  </si>
  <si>
    <t>Sutherland, William J.; Aveling, Rosalind; Brooks, Thomas M.; Clout, Mick; Dicks, Lynn V.; Fellman, Liz; Fleishman, Erica; Gibbons, David W.; Keim, Brandon; Lickorish, Fiona; Monk, Kathryn A.; Mortimer, Diana; Peck, Lloyd S.; Pretty, Jules; Rockstrom, Johan; Rodriguez, Jon Paul; Smith, Rebecca K.; Spalding, Mark D.; Tonneijck, Femke H.; Watkinson, Andrew R.</t>
  </si>
  <si>
    <t>A horizon scan of global conservation issues for 2014</t>
  </si>
  <si>
    <t>TRENDS IN ECOLOGY &amp; EVOLUTION</t>
  </si>
  <si>
    <t>climate change; diseases; future; horizon scan; priority setting</t>
  </si>
  <si>
    <t>GENETIC-CONTROL; UK; CHYTRIDIOMYCOSIS; OPPORTUNITIES; BIODIVERSITY; MACROALGAE; SUBSIDENCE; PROBIOTICS; QUESTIONS; IMPACTS</t>
  </si>
  <si>
    <t>This paper presents the output of our fifth annual horizon-scanning exercise, which aims to identify topics that increasingly may affect conservation of biological diversity, but have yet to be widely considered. A team of professional horizon scanners, researchers, practitioners, and a journalist identified 15 topics which were identified via an iterative, Delphi-like process. The 15 topics include a carbon market induced financial crash, rapid geographic expansion of macroalgal cultivation, genetic control of invasive species, probiotic therapy for amphibians, and an emerging snake fungal disease.</t>
  </si>
  <si>
    <t>[Sutherland, William J.; Dicks, Lynn V.; Smith, Rebecca K.] Univ Cambridge, Dept Zool, Conservat Sci Grp, Cambridge CB2 3EJ, England; [Aveling, Rosalind] Fauna &amp; Flora Int, Cambridge CB1 2JD, England; [Brooks, Thomas M.] Int Union Conservat Nat, CH-1196 Gland, Switzerland; [Clout, Mick] Univ Auckland, Sch Biol Sci, Ctr Biodivers &amp; Biosecur, Auckland 1, New Zealand; [Fellman, Liz] NERC, Swindon SN2 1EU, Wilts, England; [Fleishman, Erica] Univ Calif Davis, John Muir Inst Environm, Davis, CA 95616 USA; [Gibbons, David W.] Royal Soc Protect Birds, Sandy SG19 2DL, Beds, England; [Keim, Brandon] WIRED, San Francisco, CA 94107 USA; [Lickorish, Fiona] Cranfield Univ, Ctr Environm Risks &amp; Futures, Cranfield MK43 0AL, Beds, England; [Monk, Kathryn A.] Nat Resources Wales, Cardiff CF24 0TP, S Glam, Wales; [Mortimer, Diana] Joint Nat Conservat Comm, Peterborough PE1 1JY, Cambs, England; [Peck, Lloyd S.] British Antarctic Survey, Nat Environm Res Council, Cambridge CB3 0ET, England; [Pretty, Jules] Univ Essex, Essex Sustainabil Inst, Colchester CO4 3SQ, Essex, England; [Pretty, Jules] Univ Essex, Dept Biol Sci, Colchester CO4 3SQ, Essex, England; [Rockstrom, Johan] Stockholm Univ, Stockholm Resilience Ctr, SE-10619 Stockholm, Sweden; [Rodriguez, Jon Paul] Venezuelan Inst Sci Invest, Ctr Ecol, Caracas 1020A, Venezuela; [Spalding, Mark D.] Univ Cambridge, Dept Zool, Nat Conservancy, Global Marine Team, Cambridge CB2 3EJ, England; [Tonneijck, Femke H.] Wetlands Int, NL-6700 AL Wageningen, Netherlands; [Watkinson, Andrew R.] Univ E Anglia, Sch Environm Sci, Norwich NR4 7TJ, Norfolk, England</t>
  </si>
  <si>
    <t>University of Cambridge; University of Auckland; UK Research &amp; Innovation (UKRI); Natural Environment Research Council (NERC); University of California System; University of California Davis; Royal Society for Protection of Birds; Cranfield University; UK Research &amp; Innovation (UKRI); Natural Environment Research Council (NERC); NERC British Antarctic Survey; University of Essex; University of Essex; Stockholm University; Venezuelan Institute Science Research; University of Cambridge; University of East Anglia</t>
  </si>
  <si>
    <t>Sutherland, WJ (corresponding author), Univ Cambridge, Dept Zool, Conservat Sci Grp, Downing St, Cambridge CB2 3EJ, England.</t>
  </si>
  <si>
    <t>w.sutherland@zoo.cam.ac.uk</t>
  </si>
  <si>
    <t>Rodriguez, Jon P/A-1491-2009; Rodriguez, Jon P/G-7224-2012; Watkinson, Andrew R/N-1649-2013; Monk, Kathryn/GRR-2773-2022; Spalding, Mark/GVU-0739-2022; Sutherland, William/B-1291-2013; Pretty, Jules/D-4071-2012; Dicks, Lynn V./AFH-5289-2022</t>
  </si>
  <si>
    <t>Rodriguez, Jon P/0000-0001-5019-2870; Dicks, Lynn V./0000-0002-8304-4468; Sutherland, William/0000-0002-6498-0437; Brooks, Thomas/0000-0001-8159-3116; Clout, Mick/0000-0003-2864-4628; Smith, Rebecca/0000-0003-3294-7592; Spalding, Mark/0000-0001-9456-4533; Pretty, Jules/0000-0002-3897-6581; Lickorish, Fiona/0000-0002-0696-202X; Rockstrom, Johan/0000-0001-8988-2983</t>
  </si>
  <si>
    <t>UK Natural Environment Research Council; European Centre for the Environment and Human Health (University of Exeter Medical School); Royal Society for the Protection of Birds; NERC [bas0100025, NE/K015419/1] Funding Source: UKRI; Natural Environment Research Council [bas0100025, NE/K015419/1] Funding Source: researchfish</t>
  </si>
  <si>
    <t>UK Natural Environment Research Council(UK Research &amp; Innovation (UKRI)Natural Environment Research Council (NERC)); European Centre for the Environment and Human Health (University of Exeter Medical School); Royal Society for the Protection of Birds; NERC(UK Research &amp; Innovation (UKRI)Natural Environment Research Council (NERC)); Natural Environment Research Council(UK Research &amp; Innovation (UKRI)Natural Environment Research Council (NERC))</t>
  </si>
  <si>
    <t>This is an exercise of the Cambridge Conservation Initiative and was funded by the UK Natural Environment Research Council, European Centre for the Environment and Human Health (University of Exeter Medical School), and the Royal Society for the Protection of Birds. We thank Jessica Walsh for help with the meeting. We thank many individuals for suggesting issues or responding to questions. For suggesting specific issues that were modified and described in this article, we thank Allison Alberts and Philip Seddon (resurrection), John Lamoreux (probiotic therapy), Taej Mundkur (polyisobutylene), Kent Prior (fungal snake disease), and Marcel Silvius (peat subsidence).</t>
  </si>
  <si>
    <t>ELSEVIER SCIENCE LONDON</t>
  </si>
  <si>
    <t>84 THEOBALDS RD, LONDON WC1X 8RR, ENGLAND</t>
  </si>
  <si>
    <t>0169-5347</t>
  </si>
  <si>
    <t>1872-8383</t>
  </si>
  <si>
    <t>TRENDS ECOL EVOL</t>
  </si>
  <si>
    <t>Trends Ecol. Evol.</t>
  </si>
  <si>
    <t>10.1016/j.tree.2013.11.004</t>
  </si>
  <si>
    <t>Ecology; Evolutionary Biology; Genetics &amp; Heredity</t>
  </si>
  <si>
    <t>Environmental Sciences &amp; Ecology; Evolutionary Biology; Genetics &amp; Heredity</t>
  </si>
  <si>
    <t>295WV</t>
  </si>
  <si>
    <t>WOS:000330148000004</t>
  </si>
  <si>
    <t>Gienko, O</t>
  </si>
  <si>
    <t>Gienko, O.</t>
  </si>
  <si>
    <t>SPECIES DIVERSITY AND ECOLOGICAL FEATURES OF DIATOM ASSEMBLAGES FROM THE SURFACE LAYER OF THE WESTERN ANTARCTIC BOTTOM DEPOSITS (THE ARGENTINEAN ISLANDS)</t>
  </si>
  <si>
    <t>VISNYK OF TARAS SHEVCHENKO NATIONAL UNIVERSITY OF KYIV-GEOLOGY</t>
  </si>
  <si>
    <t>diatoms; marine bottom deposits; Argentinean Islands; Southern ocean</t>
  </si>
  <si>
    <t>This paper is devoted to diatom taxonomic diversity in marine surface deposits of the Argentinean Islands water area near the Academician Vernadsky Ukrainian Antarctic Station. The research is aimed at analyzing the palaeofacial conditions of diatom assemblage formation and various agents which affected their taxonomic composition and ecological structure. To study the fossil diatom assemblages, the material was treated in accordance with standard techniques. Diatom frustules were examined by light and scanning electron microscopy. Quantitative estimation showed up to 600-800 diatom frustules in each slide. The share has been identified for each species in the assemblage. The research yielded data on the taxonomy and ecological features of the diatom assemblages. There have been analyzed the major factors in the assemblage formation. The species composition of the assemblage suggests that the surface layer (0-3 cm) of the Argentinean Islands deposits was being formed in a hydrological environment similar to the present one. Lack of benthos can be accounted for by a sea depth of over 150 m below the photic zone. The predominant planktonic littoral cold-water species, cryophile diatom species and scarce oceanic warm-water ones must have occurred in the near shore waters with ice cover, which, due to cold winters, remained thick for 7-8 months per year. The results suggest that the temperature of the marine surface waters ranged from -1,5(circle)C to + 3(circle)C during the vegetation season. With average summer temperatures of + 0,5. + 1,5(circle)C, ice remained drifting in the waters throughout the summer. The distribution of planktonic diatom species in the surface bottom assemblages coincides with their modern areas, which is accounted for by weak sea surface currents and low hydrologic dynamics. It can be assumed that the oceanic subantarctic diatoms were brought into shallow Antarctic coastal waters by tides. Due to their sensitivity to changes in environmental variables, diatoms are widely used as an indicator in reconstructions of palaeoclimatic variations and fluctuations resulting from global warming, as well as in the geological and paleoceanological investigations of the South Ocean. However, fossil siliceous microalgae in the North-Western Antarctic bottom deposits had not been given a detailed description, which necessitated a thorough analysis of diatoms from the sediments in the Argentinean Islands water area. Our scientific research into the diatom flora development has enhanced the understanding of the Quaternary Antarctic palaeoclimate variables. The new diatom data may be of use to those undertaking paleoceanological and sedimentological inquiry.</t>
  </si>
  <si>
    <t>[Gienko, O.] Taras Schevchenko Natl Univ Kyiv, Inst Geol, 90 Vasylkivska Str, UA-03022 Kiev, Ukraine</t>
  </si>
  <si>
    <t>National Academy of Sciences Ukraine; Institute of Geological Sciences, National Academy of Sciences of Ukraine; Ministry of Education &amp; Science of Ukraine; Taras Shevchenko National University of Kyiv</t>
  </si>
  <si>
    <t>Gienko, O (corresponding author), Taras Schevchenko Natl Univ Kyiv, Inst Geol, 90 Vasylkivska Str, UA-03022 Kiev, Ukraine.</t>
  </si>
  <si>
    <t>ogienko@univ.kiev.ua</t>
  </si>
  <si>
    <t>NATL TARAS SHEVCHENKO UNIV KYIV</t>
  </si>
  <si>
    <t>KYIV</t>
  </si>
  <si>
    <t>BULVAR TARASA SHEVCHENKO, 14, OFIS 43, KYIV, 01601, UKRAINE</t>
  </si>
  <si>
    <t>2079-9063</t>
  </si>
  <si>
    <t>VISNYK TARAS SHEVCHE</t>
  </si>
  <si>
    <t>Visnyk Taras Shevchenko Natl. Univ. Kyiv-Geol.</t>
  </si>
  <si>
    <t>V8Q3E</t>
  </si>
  <si>
    <t>WOS:000421869700002</t>
  </si>
  <si>
    <t>MacLeod, N</t>
  </si>
  <si>
    <t>Keller, G; Kerr, AC</t>
  </si>
  <si>
    <t>MacLeod, Norman</t>
  </si>
  <si>
    <t>The geological extinction record: History, data, biases, and testing</t>
  </si>
  <si>
    <t>VOLCANISM, IMPACTS, AND MASS EXTINCTIONS: CAUSES AND EFFECTS</t>
  </si>
  <si>
    <t>Geological Society of America Special Papers</t>
  </si>
  <si>
    <t>International Conference on Volcanism, Impacts, and Mass Extinctions - Causes and Effects</t>
  </si>
  <si>
    <t>MAR 27-29, 2013</t>
  </si>
  <si>
    <t>Nat Hist Museum, London, ENGLAND</t>
  </si>
  <si>
    <t>Nat Hist Museum</t>
  </si>
  <si>
    <t>CRETACEOUS-TERTIARY BOUNDARY; CONFIDENCE-INTERVALS; PLANKTIC FORAMINIFERA; MASS EXTINCTIONS; ANTARCTIC OCEAN; STABLE-ISOTOPE; EL-KEF; ORIGINATION; SURVIVORSHIP; TRANSITION</t>
  </si>
  <si>
    <t>The geological record represents the only source of data available for documenting long-term historical patterns of extinction intensity and extinction susceptibility. Such data are critical for testing hypotheses of extinction causality in the modern world as well as in deep time. The study of extinction is relatively new. Prior to 1800, extinctions were not accepted as a feature of the natural environment. Even after extinctions were recognized to have occurred in Earth's geological past, they were deemed to have played a minor role in mediating evolutionary processes until the 1950s. Global extinction events are now recognized as having been a recurring feature of the history of life and to have played an important role in promoting biotic diversification. Interpretation of the geological extinction record is rendered complex as a result of several biasing factors that have to do with the spatial and temporal resolutions at which the data used to study extinctions have been recorded: fluctuations in sediment accumulation rates, the presence of hiatuses in the stratigraphic sections/cores from which fossils are collected, and variation in the volumes of sediments that can be searched for fossils of different ages. The action of these factors conspires to render the temporal and geographic records of fossil occurrences incomplete in many local stratigraphic sections and cores. In some cases, these stratigraphic and sampling uncertainties can be quantified and taken into account in interpretations of that record. However, their effects can never be eliminated entirely. Testing hypotheses of global extinction causality requires acknowledgment of the uncertainties inherent in extinction data, the search for unique predictions of historical patterns of variation or associations that can, in principle, be preserved in the fossil record and tied logically to the operation of specific causal processes, and to adoption of an explicitly comparative approach that establishes the presence of multiple instances of the predicted cause-effect couplets within a well-documented chronostratigraphic context.</t>
  </si>
  <si>
    <t>[MacLeod, Norman] Nat Hist Museum, Cromwell Rd, London SW7 5BD, England</t>
  </si>
  <si>
    <t>Natural History Museum London</t>
  </si>
  <si>
    <t>MacLeod, N (corresponding author), Nat Hist Museum, Cromwell Rd, London SW7 5BD, England.</t>
  </si>
  <si>
    <t>N.MacLeod@nhm.ac.uk</t>
  </si>
  <si>
    <t>GEOLOGICAL SOC AMER INC</t>
  </si>
  <si>
    <t>3300 PENROSE PL, PO BOX 9140, BOULDER, CO 80301 USA</t>
  </si>
  <si>
    <t>0072-1077</t>
  </si>
  <si>
    <t>978-0-8137-2505-5</t>
  </si>
  <si>
    <t>GEOL SOC AM SPEC PAP</t>
  </si>
  <si>
    <t>10.1130/2014.2505(01)</t>
  </si>
  <si>
    <t>Geosciences, Multidisciplinary; Paleontology</t>
  </si>
  <si>
    <t>BE7RR</t>
  </si>
  <si>
    <t>WOS:000375779400001</t>
  </si>
  <si>
    <t>Nicholls, RJ; Hanson, SE; Lowe, JA; Warrick, RA; Lu, XF; Long, AJ</t>
  </si>
  <si>
    <t>Nicholls, Robert J.; Hanson, Susan E.; Lowe, Jason A.; Warrick, Richard A.; Lu, Xianfu; Long, Antony J.</t>
  </si>
  <si>
    <t>Sea-level scenarios for evaluating coastal impacts</t>
  </si>
  <si>
    <t>WILEY INTERDISCIPLINARY REVIEWS-CLIMATE CHANGE</t>
  </si>
  <si>
    <t>GLACIAL ISOSTATIC-ADJUSTMENT; SHEET MASS-BALANCE; CLIMATE-CHANGE; ICE-SHEET; VULNERABILITY ASSESSMENT; RISE; TEMPERATURE; MODEL; ADAPTATION; DELTAS</t>
  </si>
  <si>
    <t>Global-mean sea-level rise will drive impacts and adaptation needs around the world's coasts over the 21st century and beyond. A key element in assessing these issues is the development of scenarios (or plausible futures) of local relative sea-level rise to support impact assessment and adaptation planning. This requires combining a number of different but uncertain components of sea level which can be linked to climatic and non-climatic (i.e., uplift/subsidence of coastal land) factors. A major concern remains about the possibility of significant contributions from the major Greenland and Antarctic ice sheets and this must be factored into the assessments, despite the uncertainty. This paper reviews the different mechanisms which contribute to sea-level change and considers a methodology for combining the available data to create relative (or local) sea-level rise scenarios suitable for impact and adaptation assessments across a range of sophistication of analysis. The methods that are developed are pragmatic and consider the different needs of impact assessment, adaptation planning, and long-term decision making. This includes the requirements of strategic decision makers who rightly focus on low probability but high consequence changes and their consequences. Hence plausible high end sea-level rise scenarios beyond the conventional Intergovernmental Panel on Climate Change (IPCC) range and which take into account evidence beyond that from the current generation of climate models are developed and their application discussed. Continued review and development of sea-level scenarios is recommended, starting with assimilating the insights of the forthcoming IPCC AR5 assessment. (C) 2013 John Wiley &amp; Sons, Ltd.</t>
  </si>
  <si>
    <t>[Nicholls, Robert J.; Hanson, Susan E.] Univ Southampton, Fac Engn, Southampton SO9 5NH, Hants, England; [Nicholls, Robert J.; Hanson, Susan E.] Univ Southampton, Environm &amp; Tyndall Ctr Climate Change Res, Southampton SO9 5NH, Hants, England; [Lowe, Jason A.] Univ Reading, Reading Unit, Met Off Hadley Ctr, Reading, Berks, England; [Warrick, Richard A.] Curtin Univ, Int Inst AgriFood Secur, Perth, WA 6845, Australia; [Lu, Xianfu] United Nations Dev Programme, Bur Dev Policy, New York, NY USA; [Long, Antony J.] Univ Durham, Dept Geog, Durham, England</t>
  </si>
  <si>
    <t>University of Southampton; University of Southampton; Met Office - UK; Hadley Centre; University of Reading; Curtin University; Durham University</t>
  </si>
  <si>
    <t>Nicholls, RJ (corresponding author), Univ Southampton, Fac Engn, Southampton SO9 5NH, Hants, England.</t>
  </si>
  <si>
    <t>r.j.nicholls@soton.ac.uk</t>
  </si>
  <si>
    <t>Nicholls, Robert James/ABD-1481-2020; Lowe, Jason/GQI-4036-2022; Nicholls, Robert James/G-3898-2010</t>
  </si>
  <si>
    <t>Nicholls, Robert James/0000-0002-9715-1109; Nicholls, Robert James/0000-0002-9715-1109; Long, Antony/0000-0002-7605-1205; Hanson, Susan/0000-0002-2198-1595</t>
  </si>
  <si>
    <t>Joint UK DECC/Defra Met Office Hadley Centre Climate Programme [GA01101]</t>
  </si>
  <si>
    <t>Joint UK DECC/Defra Met Office Hadley Centre Climate Programme</t>
  </si>
  <si>
    <t>Jason Lowe is supported by the Joint UK DECC/Defra Met Office Hadley Centre Climate Programme (GA01101). The authors would like to acknowledge Dr. Tim Carter, SYKE, Helsinki, Finland, for his contributions to an earlier version of this paper. Dr. John Hunter kindly provided Figure 6.</t>
  </si>
  <si>
    <t>1757-7780</t>
  </si>
  <si>
    <t>1757-7799</t>
  </si>
  <si>
    <t>WIRES CLIM CHANGE</t>
  </si>
  <si>
    <t>Wiley Interdiscip. Rev.-Clim. Chang.</t>
  </si>
  <si>
    <t>10.1002/wcc.253</t>
  </si>
  <si>
    <t>Environmental Studies; Meteorology &amp; Atmospheric Sciences</t>
  </si>
  <si>
    <t>Science Citation Index Expanded (SCI-EXPANDED); Social Science Citation Index (SSCI)</t>
  </si>
  <si>
    <t>Environmental Sciences &amp; Ecology; Meteorology &amp; Atmospheric Sciences</t>
  </si>
  <si>
    <t>273TM</t>
  </si>
  <si>
    <t>WOS:000328559200010</t>
  </si>
  <si>
    <t>Henríquez, M; Vergara, K; Norambuena, J; Beiza, A; Maza, F; Ubilla, P; Araya, I; Chávez, R; San-Martín, A; Darias, J; Darias, MJ; Vaca, I</t>
  </si>
  <si>
    <t>Henriquez, Marlene; Vergara, Karen; Norambuena, Javiera; Beiza, Andrea; Maza, Felipe; Ubilla, Pamela; Araya, Ivanna; Chavez, Renato; San-Martin, Aurelio; Darias, Jos; Darias, Maria J.; Vaca, Inmaculada</t>
  </si>
  <si>
    <t>Diversity of cultivable fungi associated with Antarctic marine sponges and screening for their antimicrobial, antitumoral and antioxidant potential</t>
  </si>
  <si>
    <t>WORLD JOURNAL OF MICROBIOLOGY &amp; BIOTECHNOLOGY</t>
  </si>
  <si>
    <t>Antarctic sponges; Fungi; Geomyces sp.; Antimicrobial; Antitumoral; Antioxidant</t>
  </si>
  <si>
    <t>WHITE-NOSE SYNDROME; PHYLOGENETIC DIVERSITY; BIOACTIVE METABOLITES; HALICLONA-SIMULANS; SUBERITES-ZETEKI; NATURAL-PRODUCTS; COASTAL WATERS; PENICILLIUM; IDENTIFICATION; MICROORGANISMS</t>
  </si>
  <si>
    <t>The diversity of sponge-associated fungi has been poorly investigated in remote geographical areas like Antarctica. In this study, 101 phenotypically different fungal isolates were obtained from 11 sponge samples collected in King George Island, Antarctica. The analysis of ITS sequences revealed that they belong to the phylum Ascomycota. Sixty-five isolates belong to the genera Geomyces, Penicillium, Epicoccum, Pseudeurotium, Thelebolus, Cladosporium, Aspergillus, Aureobasidium, Phoma, and Trichocladium but 36 isolates could not be identified at genus level. In order to estimate the potential of these isolates as producers of interesting bioactivities, antimicrobial, antitumoral and antioxidant activities of fungal culture extracts were assayed. Around 51 % of the extracts, mainly from the genus Geomyces and non identified relatives, showed antimicrobial activity against some of the bacteria tested. On the other hand, around 42 % of the extracts showed potent antitumoral activity, Geomyces sp. having the best performance. Finally, the potential of the isolated fungi as producers of antioxidant activity seems to be moderate. Our results suggest that fungi associated with Antarctic sponges, particularly Geomyces, would be valuable sources of antimicrobial and antitumoral compounds. To our knowledge, this is the first report describing the biodiversity and the metabolic potential of fungi associated with Antarctic marine sponges.</t>
  </si>
  <si>
    <t>[Henriquez, Marlene; Vergara, Karen; Norambuena, Javiera; Beiza, Andrea; Maza, Felipe; Araya, Ivanna; San-Martin, Aurelio; Vaca, Inmaculada] Univ Chile, Dept Quim, Fac Ciencias, Santiago, Chile; [Ubilla, Pamela; Chavez, Renato] Univ Santiago Chile USACH, Dept Biol, Fac Quim &amp; Biol, Santiago, Chile; [Darias, Jos] CSIC, Inst Prod Nat &amp; Agrobiol, Tenerife 28206, Spain; [Darias, Maria J.] Ctr St Carles de la Rapita, IRTA, San Carlos de la Rapita 43540, Spain; [Darias, Maria J.] UMR226 I SEM Inst Sci Evolut Montpellier, IRD, F-34196 Montpellier 5, France</t>
  </si>
  <si>
    <t>Universidad de Chile; Universidad de Santiago de Chile; Consejo Superior de Investigaciones Cientificas (CSIC); CSIC - Instituto de Productos Naturales y Agrobiologia (IPNA); IRTA; Institut de Recherche pour le Developpement (IRD)</t>
  </si>
  <si>
    <t>Vaca, I (corresponding author), Univ Chile, Dept Quim, Fac Ciencias, Las Palmeras 3425, Santiago, Chile.</t>
  </si>
  <si>
    <t>inmavaca@uchile.cl</t>
  </si>
  <si>
    <t>Darias, Maria J./D-5715-2012; Vaca, Inmaculada/I-2758-2013</t>
  </si>
  <si>
    <t>Darias, Maria J./0000-0003-1954-6284; Norambuena, Javiera/0000-0002-2992-4907; Vaca, Inmaculada/0000-0002-8952-9036; Maza, Felipe/0009-0003-1353-1484; Chavez, Renato/0000-0003-1754-3610</t>
  </si>
  <si>
    <t>FONDECYT [11090192]; Instituto Antartico Chileno (INACH); Programa Bicentenario de Ciencia y Tecnologia'' (Chile) project [PDA13]</t>
  </si>
  <si>
    <t>FONDECYT(Comision Nacional de Investigacion Cientifica y Tecnologica (CONICYT)CONICYT FONDECYT); Instituto Antartico Chileno (INACH); Programa Bicentenario de Ciencia y Tecnologia'' (Chile) project</t>
  </si>
  <si>
    <t>We thank Antarctic collaborator Carol San Martin, and all the team of Professor Julio Escudero Base in Antarctica for allowing us to use their accommodations and laboratory facilities. We also thank to Mitzy Vega and Patricio Romero for lab assistance. This work was supported by FONDECYT grant 11090192, Instituto Antartico Chileno (INACH) and Programa Bicentenario de Ciencia y Tecnologia'' (Chile) project PDA13.</t>
  </si>
  <si>
    <t>0959-3993</t>
  </si>
  <si>
    <t>1573-0972</t>
  </si>
  <si>
    <t>WORLD J MICROB BIOT</t>
  </si>
  <si>
    <t>World J. Microbiol. Biotechnol.</t>
  </si>
  <si>
    <t>10.1007/s11274-013-1418-x</t>
  </si>
  <si>
    <t>Biotechnology &amp; Applied Microbiology</t>
  </si>
  <si>
    <t>283LS</t>
  </si>
  <si>
    <t>WOS:000329248200007</t>
  </si>
  <si>
    <t>Haulena, M</t>
  </si>
  <si>
    <t>West, G; Heard, D; Caulkett, N</t>
  </si>
  <si>
    <t>Haulena, Martin</t>
  </si>
  <si>
    <t>Otariid Seals</t>
  </si>
  <si>
    <t>ZOO ANIMAL AND WILDLIFE IMMOBILIZATION AND ANESTHESIA, 2ND EDITION</t>
  </si>
  <si>
    <t>LIONS ZALOPHUS-CALIFORNIANUS; ANTARCTIC FUR SEALS; ISOFLURANE ANESTHESIA; EUMETOPIAS-JUBATUS; CHEMICAL IMMOBILIZATION; KETAMINE; MEDETOMIDINE; RESTRAINT; TILETAMINE; REVERSAL</t>
  </si>
  <si>
    <t>Vancouver Aquarium, Vancouver, BC V6B 3X8, Canada</t>
  </si>
  <si>
    <t>Haulena, M (corresponding author), Vancouver Aquarium, POB 3232, Vancouver, BC V6B 3X8, Canada.</t>
  </si>
  <si>
    <t>Martin.Haulena@vanaqua.org</t>
  </si>
  <si>
    <t>MALDEN</t>
  </si>
  <si>
    <t>COMMERCE PLACE, 350 MAIN STREET, MALDEN 02148, MA USA</t>
  </si>
  <si>
    <t>978-1-118-79292-6; 978-0-8138-1183-3</t>
  </si>
  <si>
    <t>10.1002/9781118792919</t>
  </si>
  <si>
    <t>Veterinary Sciences</t>
  </si>
  <si>
    <t>BB9MQ</t>
  </si>
  <si>
    <t>WOS:000348499200048</t>
  </si>
  <si>
    <t>Schmidt-Roach, S; Miller, KJ; Lundgren, P; Andreakis, N</t>
  </si>
  <si>
    <t>Schmidt-Roach, Sebastian; Miller, Karen J.; Lundgren, Petra; Andreakis, Nikos</t>
  </si>
  <si>
    <t>With eyes wide open: a revision of species within and closely related to the Pocillopora damicornis species complex (Scleractinia; Pocilloporidae) using morphology and genetics</t>
  </si>
  <si>
    <t>ZOOLOGICAL JOURNAL OF THE LINNEAN SOCIETY</t>
  </si>
  <si>
    <t>Australia; coral; cryptic species; evolution; fine-scale morphology; Great Barrier Reef; morphometric analysis; speciation; species boundaries; Unified Species Concept</t>
  </si>
  <si>
    <t>ASEXUAL REPRODUCTION; GENUS POCILLOPORA; LUNAR PERIODICITY; CORALS; CNIDARIA; REEF; ANTHOZOA; MITOCHONDRIAL; HYBRIDIZATION; EVOLUTION</t>
  </si>
  <si>
    <t>Molecular studies have been instrumental for refining species boundaries in the coral genus Pocillopora and revealing hidden species diversity within the extensively studied global species Pocillopora damicornis. Here we formally revise the taxonomic status of species closely related to and within the P.damicornis species complex, taking into account both genetic evidence and new data on morphometrics, including fine-scale corallite and coenosteum structure. We found that mitochondrial molecular phylogenies are congruent with groups based on gross-morphology, therefore reflecting species-level differentiation. However, high levels of gross morphological plasticity and shared morphological characteristics mask clear separation for some groups. Fine-scale morphological variation, particularly the shape and type of columella, was useful for differentiating between clades and provides an excellent signature of the evolutionary relationships among genetic lineages. As introgressive hybridization and incomplete lineage sorting complicate the delineation of species within the genus on the basis of a single species concept, the Unified Species Concept may represent a suitable approach in revising Pocillopora taxonomy. Eight species are herein described (P.damicornis, P.acuta, P.aliciae, P.verrucosa, P.meandrina, P.eydouxi, P.cf. brevicornis), including a novel taxon - Pocillopora bairdi sp. nov. (Schmidt-Roach, this study). Citation synonyms and type materials are presented.(c) 2014 The Linnean Society of London</t>
  </si>
  <si>
    <t>[Schmidt-Roach, Sebastian; Miller, Karen J.] Univ Tasmania, Inst Marine &amp; Antarctic Studies, Hobart, Tas 7001, Australia; [Schmidt-Roach, Sebastian; Andreakis, Nikos] Australian Inst Marine Sci, Townsville, Qld 4810, Australia; [Lundgren, Petra] Great Barrier Reef Marine Pk Author, Townsville, Qld 4810, Australia; [Lundgren, Petra] Monash Univ, Sch Biomed Sci, Dept Anat &amp; Dev Biol, Clayton, Vic 3800, Australia</t>
  </si>
  <si>
    <t>University of Tasmania; Australian Institute of Marine Science; Monash University</t>
  </si>
  <si>
    <t>Schmidt-Roach, S (corresponding author), Univ Tasmania, Inst Marine &amp; Antarctic Studies, Hobart, Tas 7001, Australia.</t>
  </si>
  <si>
    <t>s.schmidt-roach@aims.gov.au</t>
  </si>
  <si>
    <t>Miller, Karen/A-7902-2011; Miller, Karen/V-4098-2019; Schmidt-Roach, Sebastian/N-7129-2013; Andreakis, Nikos/A-4010-2010</t>
  </si>
  <si>
    <t>Lundgren, Petra/0000-0002-1270-2005; Andreakis, Nikos/0000-0001-7120-4279</t>
  </si>
  <si>
    <t>Commonwealth Environment Research Facilities (CERF) programme; Australian Government initiative supporting world class public research; Winifred Violet Scott Estate Trust; Endeavour International Postgraduate Research Scholarship (EIPRS); CERF Marine Biodiversity Hub scholarship</t>
  </si>
  <si>
    <t>Commonwealth Environment Research Facilities (CERF) programme; Australian Government initiative supporting world class public research(Australian Government); Winifred Violet Scott Estate Trust; Endeavour International Postgraduate Research Scholarship (EIPRS)(Australian Government); CERF Marine Biodiversity Hub scholarship</t>
  </si>
  <si>
    <t>We thank the following people for their assistance in accessing/identifying type materials: C. Luter from the Museum of Natural History Berlin, Germany; E. Sjolin from the Museum of Evolution, Uppsala University, Sweden; M. Reilly from the Hunterian Museum, University of Glasgow, UK; and A. Andouche from the Natural History Museum Paris, France. We also thank Barbara Done from the Museum of Tropical Queensland (MTQ) for her assistance with the deposition of specimens, and P. Muir (MTQ) for his help with the SEM analysis and advice. Carden C. Wallace (MTQ) provided taxonomic advice. We thank J.E.N. Veron for his feedback on the manuscript. We also thank E. Woolsey, A. Baird, and G. Torda for field assistance as well as the staff of One Tree Island Research Station, Lizard Island Research Station, Orpheus Island Research, and the Rottnest Island Marine Park Authority. We thank UTas dive officer S. Talbot for his support of the conducted dive operations and C. Mundy ( UTas) for assistance with the statistical analysis. This work was funded through the Commonwealth Environment Research Facilities (CERF) programme, an Australian Government initiative supporting world class public research. The CERF Marine Biodiversity Hub is a collaborative partnership between the University of Tasmania, CSIRO Wealth from Oceans Flagship, Geoscience Australia, Australian Institute of Marine Science, and Museum Victoria. Additionally, this study was kindly supported by a research award from the Winifred Violet Scott Estate Trust. S.S.-R. is also supported by an Endeavour International Postgraduate Research Scholarship (EIPRS), CERF Marine Biodiversity Hub scholarship. This paper represents part of the Ph.D. thesis of S.S.-R..</t>
  </si>
  <si>
    <t>OXFORD UNIV PRESS</t>
  </si>
  <si>
    <t>GREAT CLARENDON ST, OXFORD OX2 6DP, ENGLAND</t>
  </si>
  <si>
    <t>0024-4082</t>
  </si>
  <si>
    <t>1096-3642</t>
  </si>
  <si>
    <t>ZOOL J LINN SOC-LOND</t>
  </si>
  <si>
    <t>Zool. J. Linn. Soc.</t>
  </si>
  <si>
    <t>10.1111/zoj12092</t>
  </si>
  <si>
    <t>AA0JX</t>
  </si>
  <si>
    <t>WOS:000330782500001</t>
  </si>
  <si>
    <t>Grubb, MP; Dooley, KS; Freeman, CD; Peterson, KA; North, SW</t>
  </si>
  <si>
    <t>Grubb, Michael P.; Dooley, Kristin S.; Freeman, C. Daniel; Peterson, Kirk A.; North, Simon W.</t>
  </si>
  <si>
    <t>Experimental and theoretical investigation of correlated fine structure branching ratios arising from state-selected predissociation of BrO (A2Π3/2)</t>
  </si>
  <si>
    <t>PHYSICAL CHEMISTRY CHEMICAL PHYSICS</t>
  </si>
  <si>
    <t>MULTIREFERENCE CONFIGURATION-INTERACTION; DISCRETE VARIABLE REPRESENTATION; ORBIT MATRIX-ELEMENTS; GAUSSIAN-BASIS SETS; PHOTODISSOCIATION DYNAMICS; ABSORPTION-COEFFICIENTS; MOLECULAR CALCULATIONS; HERZBERG CONTINUUM; ANTARCTIC OZONE; CROSS-SECTIONS</t>
  </si>
  <si>
    <t>We present results for the v'-dependent predissociation dynamics of the BrO (A(2)Pi(3/2)) state using velocity map ion imaging. Correlated fine structure branching ratios, Br(P-2(J)) + O(P-3(J)), have been measured for v' = 5-16 states. The experimental branching ratios are non-statistical and strongly dependent on the initial vibronic state. The current measurements represent an extensive dataset containing rich information about the predissociation dynamics of this system and should provide a stringent test for modern theory. New high level ab initio excited state potentials are presented and have been optimized using experimental v'-dependent predissociation lifetimes and calculated coupling constants. Comparisons between the experimental branching ratios and the predictions based on diabatic and adiabatic limiting models are presented. We find that the adiabatic model is most consistent with the observed trends in the correlated branching ratios, in contrast to previous studies on the related ClO system.</t>
  </si>
  <si>
    <t>[Grubb, Michael P.; Dooley, Kristin S.; Freeman, C. Daniel; North, Simon W.] Texas A&amp;M Univ, Dept Chem, College Stn, TX 77842 USA; [Peterson, Kirk A.] Washington State Univ, Dept Chem, Pullman, WA 99164 USA</t>
  </si>
  <si>
    <t>Texas A&amp;M University System; Texas A&amp;M University College Station; Washington State University</t>
  </si>
  <si>
    <t>North, SW (corresponding author), Texas A&amp;M Univ, Dept Chem, POB 30012, College Stn, TX 77842 USA.</t>
  </si>
  <si>
    <t>swnorth@tamu.edu</t>
  </si>
  <si>
    <t>Peterson, Kirk A/HCH-8734-2022; North, Simon/G-5054-2012</t>
  </si>
  <si>
    <t>Peterson, Kirk A/0000-0003-4901-3235; North, Simon/0000-0002-0795-796X</t>
  </si>
  <si>
    <t>Robert A. Welch Foundation [A-1405]</t>
  </si>
  <si>
    <t>Robert A. Welch Foundation(The Welch Foundation)</t>
  </si>
  <si>
    <t>The authors acknowledge Andrew Orr-Ewing and Gerrit Groenenboom for stimulating discussions. Together with Gerrit Groenenboom, Millard Alexander is also thanked for his generous help in manipulating the ab initio spin-orbit matrix elements. Support for this project was provided by the Robert A. Welch Foundation (Grant A-1405).</t>
  </si>
  <si>
    <t>1463-9076</t>
  </si>
  <si>
    <t>1463-9084</t>
  </si>
  <si>
    <t>PHYS CHEM CHEM PHYS</t>
  </si>
  <si>
    <t>Phys. Chem. Chem. Phys.</t>
  </si>
  <si>
    <t>10.1039/c3cp53766h</t>
  </si>
  <si>
    <t>Chemistry, Physical; Physics, Atomic, Molecular &amp; Chemical</t>
  </si>
  <si>
    <t>Chemistry; Physics</t>
  </si>
  <si>
    <t>264OM</t>
  </si>
  <si>
    <t>WOS:000327888100026</t>
  </si>
  <si>
    <t>Love, SG; Harvey, RP</t>
  </si>
  <si>
    <t>Love, Stanley G.; Harvey, Ralph P.</t>
  </si>
  <si>
    <t>Crew autonomy for deep space exploration: Lessons from the Antarctic Search for Meteorites</t>
  </si>
  <si>
    <t>ACTA ASTRONAUTICA</t>
  </si>
  <si>
    <t>Human space flight; Crew autonomy; Human exploration; Deep space exploration; Space flight analog; Antarctica</t>
  </si>
  <si>
    <t>Future piloted missions to explore asteroids, Mars, and other targets beyond the Moon will experience strict limitations on communication between vehicles in space and control centers on Earth. These limitations will require crews to operate with greater autonomy than any past space mission has demonstrated. The Antarctic Search for Meteorites (ANSMET) project, which regularly sends small teams of researchers to remote parts of the southern continent, resembles a space mission in many ways but does not rely upon a control center. It provides a useful crew autonomy model for planners of future deep space exploration missions. In contrast to current space missions, ANSMET gives the crew the authority to adjust competing work priorities, task assignments, and daily schedules; allows the crew to be the primary monitor of mission progress; demands greater crew accountability for operational errors; requires the crew to make the most of limited communication bandwidth; adopts systems designed for simple operation and failure recovery; and grants the crew a leading role in the selection and stowage of their equipment. Published by Elsevier Ltd. on behalf of IAA.</t>
  </si>
  <si>
    <t>[Love, Stanley G.] NASA Johnson Space Ctr, Houston, TX 77058 USA; [Harvey, Ralph P.] Case Western Reserve Univ, Dept Earth Environm &amp; Planetary Sci, Cleveland, OH 44106 USA</t>
  </si>
  <si>
    <t>National Aeronautics &amp; Space Administration (NASA); NASA Johnson Space Center; University System of Ohio; Case Western Reserve University</t>
  </si>
  <si>
    <t>Love, SG (corresponding author), NASA Johnson Space Ctr, Mail Code CB,2101 NASA Pkwy, Houston, TX 77058 USA.</t>
  </si>
  <si>
    <t>stanley.g.love@nasa.gov; rph@case.edu</t>
  </si>
  <si>
    <t>NASA; NSF</t>
  </si>
  <si>
    <t>NASA(National Aeronautics &amp; Space Administration (NASA)); NSF(National Science Foundation (NSF))</t>
  </si>
  <si>
    <t>NASA and NSF funding supported this work. The authors thank Jeff Hanley and Lee Morin for their valuable feedback on an early draft of this paper, and two anonymous reviewers for suggestions that improved the final version.</t>
  </si>
  <si>
    <t>0094-5765</t>
  </si>
  <si>
    <t>1879-2030</t>
  </si>
  <si>
    <t>ACTA ASTRONAUT</t>
  </si>
  <si>
    <t>Acta Astronaut.</t>
  </si>
  <si>
    <t>10.1016/j.actaastro.2013.08.001</t>
  </si>
  <si>
    <t>Engineering, Aerospace</t>
  </si>
  <si>
    <t>Engineering</t>
  </si>
  <si>
    <t>245SJ</t>
  </si>
  <si>
    <t>WOS:000326483800008</t>
  </si>
  <si>
    <t>Carter, CG; Mente, E</t>
  </si>
  <si>
    <t>Carter, Chris G.; Mente, Elena</t>
  </si>
  <si>
    <t>Protein synthesis in crustaceans: a review focused on feeding and nutrition</t>
  </si>
  <si>
    <t>CENTRAL EUROPEAN JOURNAL OF BIOLOGY</t>
  </si>
  <si>
    <t>Fisheries; Aquaculture; Crustaceans; Protein metabolism; Protein synthesis</t>
  </si>
  <si>
    <t>SYNTHESIS RATES; DYNAMIC ACTION; CHITIN SYNTHESIS; RNA SYNTHESIS; MOLT CYCLE; TURNOVER; GROWTH; TEMPERATURE; METABOLISM; ISOPOD</t>
  </si>
  <si>
    <t>This review aimed to place crustacean research on in vivo protein synthesis into a broader context, assess its potential for providing further insights into crustacean nutrition and physiology, and recommend future directions relevant to crustacean aquaculture. In crustaceans the flooding dose measurement of protein synthesis is the only method that has been used, it is relatively complex, time consuming and uses radioactive labels. Protein synthesis provides a subtle approach to assessing imbalances and deficiencies in dietary amino acid and energy. In addition, the calculation of protein synthesis retention efficiency (SRE) is recommended in order to understand and optimize parameters such as feeding regime and diet composition. For prawns, SRE was highest at optimum dietary protein content and quality. Similarly the most efficient feeding regimes in juvenile lobsters were demonstrated by the highest efficiency of retaining synthesized protein. Understanding how various abiotic and biotic factors influence protein synthesis has great potential for improving different aspects of crustacean aquaculture but very few studies have done this; better knowledge of how abiotic and biotic factors affect crustacean protein synthesis will contribute to optimising growth of crustaceans in culture.</t>
  </si>
  <si>
    <t>[Carter, Chris G.] Univ Tasmania, Inst Marine &amp; Antarctic Studies, Hobart, Tas 7001, Australia; [Mente, Elena] Univ Thessaly, Dept Ichthyol &amp; Aquatic Environm, Sch Agr Sci, GR-38446 N Thessaly, Greece</t>
  </si>
  <si>
    <t>Carter, CG (corresponding author), Univ Tasmania, Inst Marine &amp; Antarctic Studies, Hobart, Tas 7001, Australia.</t>
  </si>
  <si>
    <t>chris.carter@utas.edu.au</t>
  </si>
  <si>
    <t>Carter, Chris Guy/A-3438-2008; Mente, Eleni-Elena/HOC-1476-2023</t>
  </si>
  <si>
    <t>Carter, Chris Guy/0000-0001-5210-1282;</t>
  </si>
  <si>
    <t>VERSITA</t>
  </si>
  <si>
    <t>WARSAW</t>
  </si>
  <si>
    <t>SOLIPSKA 14A-1, 02-482 WARSAW, POLAND</t>
  </si>
  <si>
    <t>1895-104X</t>
  </si>
  <si>
    <t>1644-3632</t>
  </si>
  <si>
    <t>CENT EUR J BIOL</t>
  </si>
  <si>
    <t>Cent. Eur. J. Biol.</t>
  </si>
  <si>
    <t>10.2478/s11535-013-0134-0</t>
  </si>
  <si>
    <t>236UH</t>
  </si>
  <si>
    <t>WOS:000325824400001</t>
  </si>
  <si>
    <t>Nelson, TM; Rogers, TL; Brown, MV</t>
  </si>
  <si>
    <t>Nelson, Tiffanie M.; Rogers, Tracey L.; Brown, Mark V.</t>
  </si>
  <si>
    <t>The Gut Bacterial Community of Mammals from Marine and Terrestrial Habitats</t>
  </si>
  <si>
    <t>PLOS ONE</t>
  </si>
  <si>
    <t>CHEMICAL ECOLOGY; ZOSTERA-MARINA; MICROBIOTA; DIET; INVERTEBRATES; PHYLOGENY; TAXONOMY; DEFENSE; GROWTH; LEAVES</t>
  </si>
  <si>
    <t>After birth, mammals acquire a community of bacteria in their gastro-intestinal tract, which harvests energy and provides nutrients for the host. Comparative studies of numerous terrestrial mammal hosts have identified host phylogeny, diet and gut morphology as primary drivers of the gut bacterial community composition. To date, marine mammals have been excluded from these comparative studies, yet they represent distinct examples of evolutionary history, diet and lifestyle traits. To provide an updated understanding of the gut bacterial community of mammals, we compared bacterial 16S rRNA gene sequence data generated from faecal material of 151 marine and terrestrial mammal hosts. This included 42 hosts from a marine habitat. When compared to terrestrial mammals, marine mammals clustered separately and displayed a significantly greater average relative abundance of the phylum Fusobacteria. The marine carnivores (Antarctic and Arctic seals) and the marine herbivore (dugong) possessed significantly richer gut bacterial community than terrestrial carnivores and terrestrial herbivores, respectively. This suggests that evolutionary history and dietary items specific to the marine environment may have resulted in a gut bacterial community distinct to that identified in terrestrial mammals. Finally we hypothesize that reduced marine trophic webs, whereby marine carnivores (and herbivores) feed directly on lower trophic levels, may expose this group to high levels of secondary metabolites and influence gut microbial community richness.</t>
  </si>
  <si>
    <t>[Nelson, Tiffanie M.] Univ New S Wales, Sch Biol Earth &amp; Environm Sci, Evolut &amp; Ecol Res Ctr, POB 1, Kensington, NSW 2033, Australia; [Nelson, Tiffanie M.; Rogers, Tracey L.] Australian Inst Marine Sci, Arafura Timor Res Facil, Casuarina, Australia; [Brown, Mark V.] Univ New S Wales, Sch Biotechnol &amp; Biomol Sci, Evolut &amp; Ecol Res Ctr, Kensington, NSW 2033, Australia</t>
  </si>
  <si>
    <t>University of New South Wales Sydney; Australian Institute of Marine Science; University of New South Wales Sydney</t>
  </si>
  <si>
    <t>Nelson, TM (corresponding author), Univ New S Wales, Sch Biol Earth &amp; Environm Sci, Evolut &amp; Ecol Res Ctr, POB 1, Kensington, NSW 2033, Australia.</t>
  </si>
  <si>
    <t>t.nelson@aims.gov.au</t>
  </si>
  <si>
    <t>Rogers, Tracey L/C-3419-2008; Nelson, Tiffanie/A-9907-2013</t>
  </si>
  <si>
    <t>Rogers, Tracey/0000-0002-7141-4177; Nelson, Tiffanie/0000-0002-5341-312X</t>
  </si>
  <si>
    <t>Secretaria de Ciencia y Tecnologia; Direccion Nacional del Antartico (PICTO) [36054]; Australian Research Council; Winifred Scott Foundation; Evolution and Ecology Research Centre, University of New South Wales, Sydney, Australia</t>
  </si>
  <si>
    <t>Secretaria de Ciencia y Tecnologia(Secretaria de Ciencia y Tecnologia (SECYT)); Direccion Nacional del Antartico (PICTO); Australian Research Council(Australian Research Council); Winifred Scott Foundation; Evolution and Ecology Research Centre, University of New South Wales, Sydney, Australia</t>
  </si>
  <si>
    <t>Funding for the field support was provided by the Secretaria de Ciencia y Tecnologia and the Direccion Nacional del Antartico (PICTO No. 36054), the Australian Research Council, Winifred Scott Foundation, and the Evolution and Ecology Research Centre, University of New South Wales, Sydney, Australia. The funders had no role in study design, data collection and analysis, decision to publish, or preparation of the manuscript.</t>
  </si>
  <si>
    <t>PUBLIC LIBRARY SCIENCE</t>
  </si>
  <si>
    <t>SAN FRANCISCO</t>
  </si>
  <si>
    <t>1160 BATTERY STREET, STE 100, SAN FRANCISCO, CA 94111 USA</t>
  </si>
  <si>
    <t>1932-6203</t>
  </si>
  <si>
    <t>PLoS One</t>
  </si>
  <si>
    <t>DEC 30</t>
  </si>
  <si>
    <t>e83655</t>
  </si>
  <si>
    <t>10.1371/journal.pone.0083655</t>
  </si>
  <si>
    <t>282SX</t>
  </si>
  <si>
    <t>gold, Green Published, Green Submitted</t>
  </si>
  <si>
    <t>WOS:000329194700055</t>
  </si>
  <si>
    <t>Ramesh, S; Ramadass, GA; Ravichandran, M; Atmanand, MA</t>
  </si>
  <si>
    <t>Ramesh, S.; Ramadass, G. A.; Ravichandran, M.; Atmanand, M. A.</t>
  </si>
  <si>
    <t>Dissolved oxygen as a tracer for intermediate water mixing characteristics in the Indian Ocean</t>
  </si>
  <si>
    <t>CURRENT SCIENCE</t>
  </si>
  <si>
    <t>Dissolved oxygen; intermediate water; mixing characteristics; tracer</t>
  </si>
  <si>
    <t>HYDROGRAPHIC SECTION; SEASONAL VARIABILITY; CIRCULATION; BASIN</t>
  </si>
  <si>
    <t>The mixing characteristics of intermediate water at the Central Indian Ocean Basin (CIOB) and the Arabian Sea using dissolved oxygen (DO) as a tracer were studied. Only a few datasets are available in the literature for north-south mixing in this region. Our studies using DO sensor mounted on a remotely operated vehicle in comparison with array for real-time geostrophic oceanography (ARGO) reveal the influence of sub-Antarctic mode water (SAMW) in the study region. Reduction in second oxygen maximum concentration anomaly from south to north may be due to very low concentrated oxygen minimum zone in the Arabian Sea and influence of Red Sea water and the Persian Gulf water. We observed second oxygen maximum concentration at a depth of 300-700 m at CIOB from 150 to 220 mu M, compared to the Arabian Sea profiles in the 25-40 mu M range with peak value at a depth at 450 m. The present study highlights the usage of high-resolution DO data as tracer for intermediate water circulation in the Indian Ocean and also shows the influence of SAMW up to 8 degrees N along 75 degrees E.</t>
  </si>
  <si>
    <t>[Ramesh, S.; Ramadass, G. A.; Atmanand, M. A.] Natl Inst Ocean Technol MoES, Chennai 600100, Tamil Nadu, India; [Ravichandran, M.] Indian Natl Ctr Ocean Informat Serv MoES, Hyderabad 500055, Andhra Pradesh, India</t>
  </si>
  <si>
    <t>Ministry of Earth Sciences (MoES) - India; National Institute of Ocean Technology (NIOT); Ministry of Earth Sciences (MoES) - India; Indian National Centre for Ocean Information Services (INCOIS)</t>
  </si>
  <si>
    <t>Ramesh, S (corresponding author), Natl Inst Ocean Technol MoES, Chennai 600100, Tamil Nadu, India.</t>
  </si>
  <si>
    <t>sramesh@niot.res.in</t>
  </si>
  <si>
    <t>Ravichandran, M./AAM-1351-2020; M A, Atmanand/A-1610-2016</t>
  </si>
  <si>
    <t>Ravichandran, Muthalagu/0000-0002-4602-0731</t>
  </si>
  <si>
    <t>Ministry of Earth Sciences, New Delhi; NIOT, Chennai</t>
  </si>
  <si>
    <t>We thank the Ministry of Earth Sciences, New Delhi for providing financial support to develop ROSUB 6000 under the Poly Metallic Nodule and Gas Hydrate programme. We also thank the ROSUB team and Manager, Vessel Management Cell, NIOT, Chennai for their support during ROSUB 6000 sea trials.</t>
  </si>
  <si>
    <t>INDIAN ACAD SCIENCES</t>
  </si>
  <si>
    <t>BANGALORE</t>
  </si>
  <si>
    <t>C V RAMAN AVENUE, SADASHIVANAGAR, P B #8005, BANGALORE 560 080, INDIA</t>
  </si>
  <si>
    <t>0011-3891</t>
  </si>
  <si>
    <t>CURR SCI INDIA</t>
  </si>
  <si>
    <t>Curr. Sci.</t>
  </si>
  <si>
    <t>DEC 25</t>
  </si>
  <si>
    <t>294IB</t>
  </si>
  <si>
    <t>WOS:000330037600023</t>
  </si>
  <si>
    <t>Subramanian, S; Beans-Picón, G; Swaminathan, SK; Millar, CD; Lambert, DM</t>
  </si>
  <si>
    <t>Subramanian, Sankar; Beans-Picon, Gabrielle; Swaminathan, Siva K.; Millar, Craig D.; Lambert, David M.</t>
  </si>
  <si>
    <t>Evidence for a recent origin of penguins</t>
  </si>
  <si>
    <t>BIOLOGY LETTERS</t>
  </si>
  <si>
    <t>penguin evolution; climate change; rate of evolution</t>
  </si>
  <si>
    <t>SPHENISCIFORMES; DIVERSITY; BIRDS</t>
  </si>
  <si>
    <t>Penguins are a remarkable group of birds, with the 18 extant species living in diverse climatic zones from the tropics to Antarctica. The timing of the origin of these extant penguins remains controversial. Previous studies based on DNA sequences and fossil records have suggested widely differing times for the origin of the group. This has given rise to widely differing biogeographic narratives about their evolution. To resolve this problem, we sequenced five introns from 11 species representing all genera of living penguins. Using these data and other available DNA sequences, together with the ages of multiple penguin fossils to calibrate the molecular clock, we estimated the age of the most recent common ancestor of extant penguins to be 20.4 Myr (17.0-23.8 Myr). This time is half of the previous estimates based on molecular sequence data. Our results suggest that most of the major groups of extant penguins diverged 11-16 Ma. This overlaps with the sharp decline in Antarctic temperatures that began approximately 12 Ma, suggesting a possible relationship between climate change and penguin evolution.</t>
  </si>
  <si>
    <t>[Subramanian, Sankar; Lambert, David M.] Griffith Univ, Environm Futures Ctr, Nathan, Qld 4111, Australia; [Beans-Picon, Gabrielle; Millar, Craig D.] Massey Univ, Allan Wilson Ctr Mol Ecol &amp; Evolut, Auckland, New Zealand; [Swaminathan, Siva K.] Environm Protect Training &amp; Res Inst, Hyderabad 500032, Andhra Pradesh, India</t>
  </si>
  <si>
    <t>Griffith University; Massey University</t>
  </si>
  <si>
    <t>Subramanian, S (corresponding author), Griffith Univ, Environm Futures Ctr, Nathan, Qld 4111, Australia.</t>
  </si>
  <si>
    <t>s.subramanian@griffith.edu.au; d.lambert@griffith.edu.au</t>
  </si>
  <si>
    <t>Subramanian, Sankar/B-6647-2008</t>
  </si>
  <si>
    <t>Subramanian, Sankar/0000-0002-2375-3254; Lambert, David/0000-0002-5821-3637</t>
  </si>
  <si>
    <t>Australia India Strategic Research Fund; Massey University; Australian Research Council</t>
  </si>
  <si>
    <t>Australia India Strategic Research Fund(Australian GovernmentDepartment of Industry, Innovation and Science); Massey University; Australian Research Council(Australian Research Council)</t>
  </si>
  <si>
    <t>We thank the Australia India Strategic Research Fund, Massey University and the Australian Research Council for financial support.</t>
  </si>
  <si>
    <t>ROYAL SOC</t>
  </si>
  <si>
    <t>6-9 CARLTON HOUSE TERRACE, LONDON SW1Y 5AG, ENGLAND</t>
  </si>
  <si>
    <t>1744-9561</t>
  </si>
  <si>
    <t>1744-957X</t>
  </si>
  <si>
    <t>BIOL LETTERS</t>
  </si>
  <si>
    <t>Biol. Lett.</t>
  </si>
  <si>
    <t>DEC 23</t>
  </si>
  <si>
    <t>10.1098/rsbl.2013.0748</t>
  </si>
  <si>
    <t>Biology; Ecology; Evolutionary Biology</t>
  </si>
  <si>
    <t>Life Sciences &amp; Biomedicine - Other Topics; Environmental Sciences &amp; Ecology; Evolutionary Biology</t>
  </si>
  <si>
    <t>297YG</t>
  </si>
  <si>
    <t>WOS:000330290400032</t>
  </si>
  <si>
    <t>Poigner, H; Monien, P; Monien, D; Kriews, M; Brumsack, HJ; Wilhelms-Dick, D; Abele, D</t>
  </si>
  <si>
    <t>Poigner, Harald; Monien, Patrick; Monien, Donata; Kriews, Michael; Brumsack, Hans-Juergen; Wilhelms-Dick, Dorothee; Abele, Doris</t>
  </si>
  <si>
    <t>Influence of the porewater geochemistry on Fe and Mn assimilation in Laternula elliptica at King George Island (Antarctica)</t>
  </si>
  <si>
    <t>ESTUARINE COASTAL AND SHELF SCIENCE</t>
  </si>
  <si>
    <t>Antarctica; bivalve; hemolymph; porewater; Fe; Mn</t>
  </si>
  <si>
    <t>MYTILUS-EDULIS; DECEPTION-ISLAND; METAL CONCENTRATIONS; ORGANIC-MATTER; DISSOLVED IRON; MASS-BALANCE; TRACE-METALS; PORE WATERS; POTTER COVE; MANGANESE</t>
  </si>
  <si>
    <t>A high input of lithogenic sediment from glaciers was assumed to be responsible for high Fe and Mn contents in the Antarctic soft shell clam Laternula elliptica at King George Island. Indeed, withdrawal experiments indicated a strong influence of environmental Fe concentrations on Fe contents in bivalve hemolymph, but no significant differences in hemolymph and tissue concentrations were found among two sites of high and lower input of lithogenic debris. Comparing Fe and Mn concentrations of porewater, bottom water, and hemolymph from sampling sites, Mn appears to be assimilated as dissolved species, whereas Fe apparently precipitates as ferrihydrite within the oxic sediment or bottom water layer prior to assimilation by the bivalve. Hence, we attribute the high variability of Fe and Mn accumulation in tissues of L. elliptica around Antarctica to differences in the geochemical environment of the sediment and the resulting Fe and Mn flux across the benthic boundary. (C) 2013 Elsevier Ltd. All rights reserved.</t>
  </si>
  <si>
    <t>[Poigner, Harald; Kriews, Michael; Abele, Doris] Helmholtz Ctr Polar &amp; Marine Res, Alfred Wegener Inst, D-27570 Bremerhaven, Germany; [Monien, Patrick; Monien, Donata; Brumsack, Hans-Juergen; Wilhelms-Dick, Dorothee] Carl von Ossietzky Univ Oldenburg, Inst Chem &amp; Biol Marine Environm ICBM, D-26129 Oldenburg, Germany</t>
  </si>
  <si>
    <t>Helmholtz Association; Alfred Wegener Institute, Helmholtz Centre for Polar &amp; Marine Research; Carl von Ossietzky Universitat Oldenburg</t>
  </si>
  <si>
    <t>Poigner, H (corresponding author), Helmholtz Ctr Polar &amp; Marine Res, Alfred Wegener Inst, Handelshafen 12, D-27570 Bremerhaven, Germany.</t>
  </si>
  <si>
    <t>harald.poigner@awi.de; monien@icbm.de; donata.monien@uni-oldenburg.de; michael.kriews@awi.de; brumsack@icbm.de; dorothee.dick@awi.de; doris.abele@awi.de</t>
  </si>
  <si>
    <t>Monien, Patrick/K-8338-2017; Brumsack, Hans-Juergen/O-7942-2016</t>
  </si>
  <si>
    <t>Monien, Patrick/0000-0002-4000-5362; Brumsack, Hans-Juergen/0000-0002-5549-5018; Abele, Doris/0000-0002-5766-5017</t>
  </si>
  <si>
    <t>German Research Foundation (DFG) [AB 124/11-1, BR 775/25-1, GRK 717]</t>
  </si>
  <si>
    <t>German Research Foundation (DFG)(German Research Foundation (DFG))</t>
  </si>
  <si>
    <t>We would like to thank Stefanie Meyer (AWI) for her support during expedition preparations. Further we would like to thank her and Ilsetraut Stoking (AWI) for their help in the laboratories. The divers and the crew of the Argentinean Antarctic Station Carlini are thanked for their logistic help. Additional analysis of reference materials were done by Norman Loftfield (Institute of Soil Science of Temperate Ecosystems, University of Gottingen) to prove the correctness of our digestion procedure. This work was supported by the German Research Foundation (DFG) under grants AB 124/11-1 and BR 775/25-1 in the framework of priority program 1158 - Antarctic Research and is associated to the IMCOAST project. Dorothee Wilhelms-Dick acknowledges the DFG for financial support (GRK 717: Proxies in Earth History). We also thank the two anonymous reviewers and the editor who greatly improved the manuscript.</t>
  </si>
  <si>
    <t>ACADEMIC PRESS LTD- ELSEVIER SCIENCE LTD</t>
  </si>
  <si>
    <t>24-28 OVAL RD, LONDON NW1 7DX, ENGLAND</t>
  </si>
  <si>
    <t>0272-7714</t>
  </si>
  <si>
    <t>1096-0015</t>
  </si>
  <si>
    <t>ESTUAR COAST SHELF S</t>
  </si>
  <si>
    <t>Estuar. Coast. Shelf Sci.</t>
  </si>
  <si>
    <t>DEC 20</t>
  </si>
  <si>
    <t>10.1016/j.ecss.2013.10.027</t>
  </si>
  <si>
    <t>278EG</t>
  </si>
  <si>
    <t>WOS:000328871300030</t>
  </si>
  <si>
    <t>Charrier, M; Marie, A; Guillaume, D; Bédouet, L; Le Lannic, J; Roiland, C; Berland, S; Pierre, JS; Le Floch, M; Frenot, Y; Lebouvier, M</t>
  </si>
  <si>
    <t>Charrier, Maryvonne; Marie, Arul; Guillaume, Damien; Bedouet, Laurent; Le Lannic, Joseph; Roiland, Claire; Berland, Sophie; Pierre, Jean-Sebastien; Le Floch, Marie; Frenot, Yves; Lebouvier, Marc</t>
  </si>
  <si>
    <t>Soil Calcium Availability Influences Shell Ecophenotype Formation in the Sub-Antarctic Land Snail, Notodiscus hookeri</t>
  </si>
  <si>
    <t>SIZE; PROTEINS; GASTROPODA; RESOLUTION; COMPONENT; NMR</t>
  </si>
  <si>
    <t>Ecophenotypes reflect local matches between organisms and their environment, and show plasticity across generations in response to current living conditions. Plastic responses in shell morphology and shell growth have been widely studied in gastropods and are often related to environmental calcium availability, which influences shell biomineralisation. To date, all of these studies have overlooked micro-scale structure of the shell, in addition to how it is related to species responses in the context of environmental pressure. This study is the first to demonstrate that environmental factors induce a bi-modal variation in the shell micro-scale structure of a land gastropod. Notodiscus hookeri is the only native land snail present in the Crozet Archipelago (sub-Antarctic region). The adults have evolved into two ecophenotypes, which are referred to here as MS (mineral shell) and OS (organic shell). The MS- ecophenotype is characterised by a thick mineralised shell. It is primarily distributed along the coastline, and could be associated to the presence of exchangeable calcium in the clay minerals of the soils. The Os-ecophenotype is characterised by a thin organic shell. It is primarily distributed at high altitudes in the mesic and xeric fell-fields in soils with large particles that lack clay and exchangeable calcium. Snails of the Os-ecophenotype are characterised by thinner and larger shell sizes compared to snails of the MS- ecophenotype, indicating a trade-off between mineral thickness and shell size. This pattern increased along a temporal scale; whereby, older adult snails were more clearly separated into two clusters compared to the younger adult snails. The prevalence of glycine-rich proteins in the organic shell layer of N. hookeri, along with the absence of chitin, differs to the organic scaffolds of molluscan biominerals. The present study provides new insights for testing the adaptive value of phenotypic plasticity in response to spatial and temporal environmental variations.</t>
  </si>
  <si>
    <t>[Charrier, Maryvonne; Pierre, Jean-Sebastien] Univ Europeenne Bretagne, Univ Rennes 1, UMR CNRS 6553, Rennes, France; [Marie, Arul] Museum Natl Hist Nat, UMR CNRS 7245, Dept Regulat Dev &amp; Divers Mol, F-75231 Paris, France; [Guillaume, Damien] Univ Toulouse, Observ Midi Pyrenees, Geosci Environm Toulouse, UMR CNRS UPS IRD CNES 5563, Toulouse, France; [Bedouet, Laurent; Berland, Sophie] Museum Natl Hist Nat, UMR CNRS 7208, IRD 207, F-75231 Paris, France; [Le Lannic, Joseph] Univ Europeenne Bretagne, Univ Rennes 1, Serv Commun Microscopie Elect Balayage &amp; Microana, Rennes, France; [Le Floch, Marie] Univ Europeenne Bretagne, Univ Rennes 1, Sci Chim Rennes, UMR CNRS 6226, Rennes, France; [Frenot, Yves] Inst Polaire Francais Paul Emile Victor, Plouzane, France; [Lebouvier, Marc] Univ Europeenne Bretagne, Univ Rennes 1, UMR CNRS 6553, Stn Biol, Paimpont, France</t>
  </si>
  <si>
    <t>Universite de Bretagne Occidentale; Centre National de la Recherche Scientifique (CNRS); Universite de Rennes; Museum National d'Histoire Naturelle (MNHN); Centre National de la Recherche Scientifique (CNRS); CNRS - Institute of Ecology &amp; Environment (INEE); Universite de Toulouse; Universite Toulouse III - Paul Sabatier; Centre National de la Recherche Scientifique (CNRS); Institut de Recherche pour le Developpement (IRD); Museum National d'Histoire Naturelle (MNHN); Sorbonne Universite; Universite de Bretagne Occidentale; Universite de Rennes; Universite de Rennes; Universite de Bretagne Occidentale; Centre National de la Recherche Scientifique (CNRS); CNRS - Institute of Chemistry (INC); Universite de Rennes; Universite de Bretagne Occidentale</t>
  </si>
  <si>
    <t>Charrier, M (corresponding author), Univ Europeenne Bretagne, Univ Rennes 1, UMR CNRS 6553, Campus Beaulieu, Rennes, France.</t>
  </si>
  <si>
    <t>maryvonne.charrier@univ-rennes1.fr</t>
  </si>
  <si>
    <t>MARIE, Arul/JXL-6199-2024; Guillaume, Damien/D-9803-2012; roiland, claire/AAG-7816-2019</t>
  </si>
  <si>
    <t>MARIE, Arul/0000-0003-4104-140X; roiland, claire/0000-0001-9587-1340; Frenot, Yves/0000-0003-2666-1272</t>
  </si>
  <si>
    <t>French Polar Institute (Institut Polaire Francais Paul-Emile Victor)</t>
  </si>
  <si>
    <t>The work was funded by a grant from the French Polar Institute (Institut Polaire Francais Paul-Emile Victor) within the context of the program 136 Ecobio. No additional external funding was received for this study. Civil Volunteers helped with data collection: S.P. Babski, S. Guthjar, J. Thevenot and A. Atamaniuk in 2006, 2008 and 2009. The funders had no role in study design, data collection and analysis, decision to publish, or preparation of the manuscript.</t>
  </si>
  <si>
    <t>e84527</t>
  </si>
  <si>
    <t>10.1371/journal.pone.0084527</t>
  </si>
  <si>
    <t>276IX</t>
  </si>
  <si>
    <t>WOS:000328745100173</t>
  </si>
  <si>
    <t>Fan, YZ; Yu, YW; Xu, D; Jin, ZP; Wu, XF; Wei, DM; Zhang, B</t>
  </si>
  <si>
    <t>Fan, Yi-Zhong; Yu, Yun-Wei; Xu, Dong; Jin, Zhi-Ping; Wu, Xue-Feng; Wei, Da-Ming; Zhang, Bing</t>
  </si>
  <si>
    <t>A SUPRAMASSIVE MAGNETAR CENTRAL ENGINE FOR GRB 130603B</t>
  </si>
  <si>
    <t>ASTROPHYSICAL JOURNAL LETTERS</t>
  </si>
  <si>
    <t>gamma rays: general; radiation mechanisms: non-thermal</t>
  </si>
  <si>
    <t>GAMMA-RAY BURSTS; GRAVITATIONAL-WAVE BURSTS; EARLY X-RAY; NEUTRON-STAR; EXTENDED EMISSION; LIGHT CURVES; NEWLY BORN; MERGERS; AFTERGLOW; FIELDS</t>
  </si>
  <si>
    <t>We show that the peculiar early optical emission and, in particular, the X-ray after glow emission of the short-duration burst GRB 130603B can be explained by continuous energy injection into the blastwave from a supramassive magnetar central engine. The observed energetics and temporal/spectral properties of the late infrared bump (i.e., the kilonova) are also found to be consistent with emission from the ejecta launched during a neutron star (NS)-NS merger and powered by a magnetar central engine. The isotropic-equivalent kinetic energies of both the gamma-ray burst (GRB) blastwave and the kilonova are approximately E-k similar to 10(51) erg, consistent with being powered by a near-isotropic magnetar wind. However, this relatively small value requires that most of the initial rotational energy of the magnetar (similar to a few x 10(52) erg) is carried away by gravitational wave radiation. Our results suggest that (1) the progenitor of GRB 130603B was a NS-NS binary system, the merger product of which would have been a supramassive NS that lasted for about similar to 1000 s; (2) the equation of state of the nuclear matter should be stiff enough to allow the survival of a long-lived supramassive NS; thus this suggested that the detection of the bright electromagnetic counterparts of gravitational wave triggers without short GRB associations is promising in the upcoming Advanced LIGO/VIRGO era.</t>
  </si>
  <si>
    <t>[Fan, Yi-Zhong; Jin, Zhi-Ping; Wei, Da-Ming] Chinese Acad Sci, Purple Mt Observ, Key Lab Dark Matter &amp; Space Astron, Nanjing 210008, Jiangsu, Peoples R China; [Yu, Yun-Wei] Cent China Normal Univ, Inst Astrophys, Wuhan 430079, Peoples R China; [Xu, Dong] Univ Copenhagen, Niels Bohr Inst, Dark Cosmol Ctr, DK-2100 Copenhagen, Denmark; [Wu, Xue-Feng] Chinese Acad Sci, Purple Mt Observ, Chinese Ctr Antarctic Astron, Nanjing 210008, Jiangsu, Peoples R China; [Zhang, Bing] Univ Nevada, Dept Phys &amp; Astron, Las Vegas, NV 89154 USA</t>
  </si>
  <si>
    <t>Purple Mountain Observatory, CAS; Chinese Academy of Sciences; Nanjing Institute of Astronomical Optics &amp; Technology, NAOC, CAS; Central China Normal University; University of Copenhagen; Niels Bohr Institute; Purple Mountain Observatory, CAS; Chinese Academy of Sciences; Nanjing Institute of Astronomical Optics &amp; Technology, NAOC, CAS; Nevada System of Higher Education (NSHE); University of Nevada Las Vegas</t>
  </si>
  <si>
    <t>Fan, YZ (corresponding author), Chinese Acad Sci, Purple Mt Observ, Key Lab Dark Matter &amp; Space Astron, Nanjing 210008, Jiangsu, Peoples R China.</t>
  </si>
  <si>
    <t>yzfan@pmo.ac.cn; zhang@physics.unlv.edu</t>
  </si>
  <si>
    <t>Zhang, Bing/AAG-2824-2019; yu, yun-wei/X-2088-2019; Wu, Xuefeng/G-5316-2015</t>
  </si>
  <si>
    <t>yu, yun-wei/0000-0002-1067-1911; Zhang, Bing/0000-0002-9725-2524; Wu, Xuefeng/0000-0002-6299-1263; Jin, Zhiping/0000-0003-4977-9724</t>
  </si>
  <si>
    <t>973 Program of China [2013CB837000]; National Natural Science of China [11073057, 11273063, 11103004, 11361140349]; Foundation for Distinguished Young Scholars of Jiangsu Province, China [BK2012047]; Chinese Academy of Sciences; ERC-StG grant [EGGS-278202]; IDA</t>
  </si>
  <si>
    <t>973 Program of China(National Basic Research Program of China); National Natural Science of China(National Natural Science Foundation of China (NSFC)); Foundation for Distinguished Young Scholars of Jiangsu Province, China; Chinese Academy of Sciences(Chinese Academy of Sciences); ERC-StG grant; IDA</t>
  </si>
  <si>
    <t>We thank the anonymous referee for insightful suggestions, and R. X. Xu, B. D. Metzger, and W. Fong for helpful communications. This work was supported in part by the 973 Program of China under grant 2013CB837000, the National Natural Science of China under grants 11073057, 11273063, 11103004, and 11361140349, and the Foundation for Distinguished Young Scholars of Jiangsu Province, China (No. BK2012047). Y.Z.F. and X. F. W. are also supported by the 100 Talents program of the Chinese Academy of Sciences. D. X. acknowledges support from the ERC-StG grant EGGS-278202 and IDA.</t>
  </si>
  <si>
    <t>IOP PUBLISHING LTD</t>
  </si>
  <si>
    <t>BRISTOL</t>
  </si>
  <si>
    <t>TEMPLE CIRCUS, TEMPLE WAY, BRISTOL BS1 6BE, ENGLAND</t>
  </si>
  <si>
    <t>2041-8205</t>
  </si>
  <si>
    <t>2041-8213</t>
  </si>
  <si>
    <t>ASTROPHYS J LETT</t>
  </si>
  <si>
    <t>Astrophys. J. Lett.</t>
  </si>
  <si>
    <t>L25</t>
  </si>
  <si>
    <t>10.1088/2041-8205/779/2/L25</t>
  </si>
  <si>
    <t>269RZ</t>
  </si>
  <si>
    <t>WOS:000328260900011</t>
  </si>
  <si>
    <t>Deshpande, RD; Muraleedharan, PM; Singh, RL; Kumar, B; Rao, MS; Dave, M; Sivakumar, KU; Gupta, SK</t>
  </si>
  <si>
    <t>Deshpande, R. D.; Muraleedharan, P. M.; Singh, Raj Laxmi; Kumar, Bhishm; Rao, M. Someshwar; Dave, Medha; Sivakumar, K. U.; Gupta, S. K.</t>
  </si>
  <si>
    <t>Spatio-temporal distributions of δ18O, δD and salinity in the Arabian Sea: Identifying processes and controls</t>
  </si>
  <si>
    <t>MARINE CHEMISTRY</t>
  </si>
  <si>
    <t>Arabian Sea; Stable isotopes; Salinity; Summer monsoon; India</t>
  </si>
  <si>
    <t>INDIAN-OCEAN; BIOLOGICAL PRODUCTIVITY; STABLE-ISOTOPES; MONSOON; CARBON; OXYGEN; BAY; ATLANTIC; BENGAL</t>
  </si>
  <si>
    <t>Isotopic compositions (delta O-18 and delta D) and salinity (S) of 683 surface water samples from the Arabian Sea (AS) collected during 2008-2010, were measured to understand the factors controlling the spatio-temporal distribution of these parameters. From the distributions of delta O-18 and salinity (S), and the relationships between delta O-18-delta D and delta O-18-S, the following inferences have been drawn: (1) there is a broad correspondence between the geographic distributions of the delta O-18 and S; (2) in spite of a large scatter, a statistically significant delta O-18-S relationship can be identified in much of the investigated part of the AS; (3) the delta O-18-delta D regression line for all samples clumped together has a slope of 3.2 (+/- 0.16), much lower than that (7.37) for the global ocean surface water line (GOSWL), which in the case of the AS is seen only for samples with salinity &lt;34; (4) the linear relationship between delta O-18 and delta D breaks down completely in the months of March-May; (5) contrary to the adjoining Bay of Bengal (BOB), both delta O-18 and S progressively increase from the equator northwards; (6) the delta O-18-delta D and the delta O-18-d-excess relationships indicate strong kinetic fractionation due to evaporation from surface waters of the AS throughout the year, with enhancement during summer months. (C) 2013 Elsevier B.V. All rights reserved.</t>
  </si>
  <si>
    <t>[Deshpande, R. D.; Singh, Raj Laxmi; Dave, Medha; Gupta, S. K.] Phys Res Lab, Ahmadabad 380009, Gujarat, India; [Muraleedharan, P. M.; Sivakumar, K. U.] Natl Inst Oceanog, Panaji 403004, Goa, India; [Kumar, Bhishm; Rao, M. Someshwar] Natl Inst Hydrol, Roorkee 247667, Uttar Pradesh, India</t>
  </si>
  <si>
    <t>Department of Space (DoS), Government of India; Physical Research Laboratory - India; Council of Scientific &amp; Industrial Research (CSIR) - India; CSIR - National Institute of Oceanography (NIO)</t>
  </si>
  <si>
    <t>Deshpande, RD (corresponding author), Phys Res Lab, Ahmadabad 380009, Gujarat, India.</t>
  </si>
  <si>
    <t>desh@prl.res.in</t>
  </si>
  <si>
    <t>Singh, Raj Laxmi/H-8265-2017; Dave, Medha/HZH-5380-2023; Deshpande, Rajendrakumar D./Q-5799-2019</t>
  </si>
  <si>
    <t>Singh, Raj Laxmi/0000-0001-7383-9753; DAVE, MEDHA/0000-0001-9205-2411</t>
  </si>
  <si>
    <t>Department of Science and Technology, Govt. of India [IR/S4/ESF-05/2004]; Physical Research Laboratory (PRL)</t>
  </si>
  <si>
    <t>Department of Science and Technology, Govt. of India(Department of Science &amp; Technology (India)); Physical Research Laboratory (PRL)</t>
  </si>
  <si>
    <t>The work reported here has been carried out under the aegis of a National Programme on Isotope fingerprinting of Waters of India (IWIN), funded jointly by the Department of Science and Technology, Govt. of India vide grant no. IR/S4/ESF-05/2004, and the Physical Research Laboratory (PRL). The authors thank the two anonymous reviewers for their critical comments and valuable suggestions which helped improve the manuscript. The authors also thank the Fishery Survey of India (FSI), National Centre for Antarctic and Ocean Research (NCAOR), National Institute of Ocean Technology (NIOT), the Director, National Institute of Oceanography (NIO) for providing logistic support and assistance during sample collection.</t>
  </si>
  <si>
    <t>0304-4203</t>
  </si>
  <si>
    <t>1872-7581</t>
  </si>
  <si>
    <t>MAR CHEM</t>
  </si>
  <si>
    <t>Mar. Chem.</t>
  </si>
  <si>
    <t>10.1016/j.marchem.2013.10.001</t>
  </si>
  <si>
    <t>Chemistry, Multidisciplinary; Oceanography</t>
  </si>
  <si>
    <t>Chemistry; Oceanography</t>
  </si>
  <si>
    <t>283UE</t>
  </si>
  <si>
    <t>WOS:000329271700014</t>
  </si>
  <si>
    <t>Guly, HR</t>
  </si>
  <si>
    <t>Guly, H. R.</t>
  </si>
  <si>
    <t>CHRISTMAS 2013: MEDICAL HISTORIES Surgery and anaesthesia during the heroic age of Antarctic exploration (1895-1922)</t>
  </si>
  <si>
    <t>BMJ-BRITISH MEDICAL JOURNAL</t>
  </si>
  <si>
    <t>[Guly, H. R.] Derriford Hosp, Plymouth PL6 8DH, Devon, England; [Guly, H. R.] Derriford Hosp, British Antarctic Survey Med Unit, Plymouth PL6 8DH, Devon, England</t>
  </si>
  <si>
    <t>Derriford Hospital; Derriford Hospital</t>
  </si>
  <si>
    <t>hguly@aol.com</t>
  </si>
  <si>
    <t>NERC [bas010011] Funding Source: UKRI; Natural Environment Research Council [bas010011] Funding Source: researchfish</t>
  </si>
  <si>
    <t>BMJ PUBLISHING GROUP</t>
  </si>
  <si>
    <t>BRITISH MED ASSOC HOUSE, TAVISTOCK SQUARE, LONDON WC1H 9JR, ENGLAND</t>
  </si>
  <si>
    <t>1756-1833</t>
  </si>
  <si>
    <t>BMJ-BRIT MED J</t>
  </si>
  <si>
    <t>BMJ-British Medical Journal</t>
  </si>
  <si>
    <t>DEC 17</t>
  </si>
  <si>
    <t>f7242</t>
  </si>
  <si>
    <t>10.1136/bmj.f7242</t>
  </si>
  <si>
    <t>Medicine, General &amp; Internal</t>
  </si>
  <si>
    <t>Science Citation Index Expanded (SCI-EXPANDED); Arts &amp; Humanities Citation Index (A&amp;HCI)</t>
  </si>
  <si>
    <t>General &amp; Internal Medicine</t>
  </si>
  <si>
    <t>277MD</t>
  </si>
  <si>
    <t>Green Published, Green Accepted, hybrid</t>
  </si>
  <si>
    <t>WOS:000328822700006</t>
  </si>
  <si>
    <t>De Laurentiis, E; Buoso, S; Maurino, V; Minero, C; Vione, D</t>
  </si>
  <si>
    <t>De Laurentiis, Elisa; Buoso, Sandro; Maurino, Valter; Minero, Claudio; Vione, Davide</t>
  </si>
  <si>
    <t>Optical and Photochemical Characterization of Chromophoric Dissolved Organic Matter from Lakes in Terra Nova Bay, Antarctica. Evidence of Considerable Photoreactivity in an Extreme Environment</t>
  </si>
  <si>
    <t>ENVIRONMENTAL SCIENCE &amp; TECHNOLOGY</t>
  </si>
  <si>
    <t>ULTRAVIOLET-RADIATION; MOUNTAIN LAKES; TRACE-ELEMENTS; SURFACE-WATER; HUMIC SUBSTANCES; NATURAL-WATERS; CLIMATE-CHANGE; SOLAR-LIGHT; CARBON; PHOTOLYSIS</t>
  </si>
  <si>
    <t>Water samples from shallow lakes located in Terra Nova Bay, Antarctica, were taken in the austral summer season and characterized for chemical composition, optical features, fluorescence excitation-emission matrix (EEM) and photoactivity toward the generation of (OH)-O-center dot, O-1(2), and (CDOM)-C-3* (triplet states of chromophoric dissolved organic matter). The optical properties suggested that CDOM would be largely of aquagenic origin and possibly characterized by limited photochemical processing before sampling. Moreover, the studied samples were highly photoactive and the quantum yields for the generation of (CDOM)-C-3* and partially of O-1(2) and (OH)-O-center dot were considerably higher compared to water samples from temperate environments. This finding suggests that water in the studied lakes would have considerable ability to photosensitize the degradation of dissolved compounds during the austral summer, possibly including organic pollutants, also considering that the irradiance conditions of the experiments were not far from those observed on the Antarctic coast during the austral summer.</t>
  </si>
  <si>
    <t>[De Laurentiis, Elisa; Buoso, Sandro; Maurino, Valter; Minero, Claudio; Vione, Davide] Univ Turin, Dipartimento Chim, I-10125 Turin, Italy; [Vione, Davide] Univ Turin, Ctr Interdipartimentale NatRisk, I-10095 Grugliasco, TO, Italy</t>
  </si>
  <si>
    <t>University of Turin; University of Turin</t>
  </si>
  <si>
    <t>Vione, D (corresponding author), Univ Turin, Dipartimento Chim, Via Pietro Giuria 5, I-10125 Turin, Italy.</t>
  </si>
  <si>
    <t>davide.vione@unito.it</t>
  </si>
  <si>
    <t>Vione, Davide/A-4047-2008; Liu, Yifan/S-6217-2017; Minero, Claudio/A-6444-2008</t>
  </si>
  <si>
    <t>Minero, Claudio/0000-0001-9484-130X; Maurino, Valter/0000-0001-8456-525X</t>
  </si>
  <si>
    <t>PNRA-Progetto Antartide; Progetto Lagrange-Fondazione CRT; Universita di Torino-EU [TO_Call2_2012_0047]</t>
  </si>
  <si>
    <t>PNRA-Progetto Antartide; Progetto Lagrange-Fondazione CRT(Fondazione CRT); Universita di Torino-EU</t>
  </si>
  <si>
    <t>Financial support from PNRA-Progetto Antartide is gratefully acknowledged. The PhD grant of EDL was financially supported by Progetto Lagrange-Fondazione CRT. D.V. also acknowledges financial support by Universita di Torino-EU Accelerating Grants, project TO_Call2_2012_0047 (Impact of radiation on the dynamics of dissolved organic matter in aquatic ecosystems-DOMNAMICS). We are grateful to Dr. Silvia Berto for help in the measurement of water spectra.</t>
  </si>
  <si>
    <t>AMER CHEMICAL SOC</t>
  </si>
  <si>
    <t>1155 16TH ST, NW, WASHINGTON, DC 20036 USA</t>
  </si>
  <si>
    <t>0013-936X</t>
  </si>
  <si>
    <t>1520-5851</t>
  </si>
  <si>
    <t>ENVIRON SCI TECHNOL</t>
  </si>
  <si>
    <t>Environ. Sci. Technol.</t>
  </si>
  <si>
    <t>10.1021/es403364z</t>
  </si>
  <si>
    <t>Engineering, Environmental; Environmental Sciences</t>
  </si>
  <si>
    <t>Engineering; Environmental Sciences &amp; Ecology</t>
  </si>
  <si>
    <t>277CT</t>
  </si>
  <si>
    <t>WOS:000328796900024</t>
  </si>
  <si>
    <t>Bull, JK; Sands, CJ; Garrick, RC; Gardner, MG; Tait, NN; Briscoe, DA; Rowell, DM; Sunnucks, P</t>
  </si>
  <si>
    <t>Bull, James K.; Sands, Chester J.; Garrick, Ryan C.; Gardner, Michael G.; Tait, Noel N.; Briscoe, David A.; Rowell, David M.; Sunnucks, Paul</t>
  </si>
  <si>
    <t>Environmental Complexity and Biodiversity: The Multi-Layered Evolutionary History of a Log-Dwelling Velvet Worm in Montane Temperate Australia</t>
  </si>
  <si>
    <t>EUPERIPATOIDES-ROWELLI ONYCHOPHORA; CLIMATIC OSCILLATIONS; POPULATION-STRUCTURE; GENETIC-STRUCTURE; GIANT SPRINGTAIL; PHYLOGEOGRAPHY; PERIPATOPSIDAE; SOFTWARE; ZONE; PLANIPAPILLUS</t>
  </si>
  <si>
    <t>Phylogeographic studies provide a framework for understanding the importance of intrinsic versus extrinsic factors in shaping patterns of biodiversity through identifying past and present microevolutionary processes that contributed to lineage divergence. Here we investigate population structure and diversity of the Onychophoran (velvet worm) Euperipatoides rowelli in southeastern Australian montane forests that were not subject to Pleistocene glaciations, and thus likely retained more forest cover than systems under glaciation. Over a similar to 100 km transect of structurally-connected forest, we found marked nuclear and mitochondrial (mt) DNA genetic structuring, with spatially-localised groups. Patterns from mtDNA and nuclear data broadly corresponded with previously defined geographic regions, consistent with repeated isolation in refuges during Pleistocene climatic cycling. Nevertheless, some E. rowelli genetic contact zones were displaced relative to hypothesized influential landscape structures, implying more recent processes overlying impacts of past environmental history. Major impacts at different timescales were seen in the phylogenetic relationships among mtDNA sequences, which matched geographic relationships and nuclear data only at recent timescales, indicating historical gene flow and/or incomplete lineage sorting. Five major E. rowelli phylogeographic groups were identified, showing substantial but incomplete reproductive isolation despite continuous habitat. Regional distinctiveness, in the face of lineages abutting within forest habitat, could indicate pre- and/or postzygotic gene flow limitation. A potentially functional phenotypic character, colour pattern variation, reflected the geographic patterns in the molecular data. Spatial-genetic patterns broadly match those in previously-studied, co-occurring low-mobility organisms, despite a variety of life histories. We suggest that for E. rowelli, the complex topography and history of the region has led to interplay among limited dispersal ability, historical responses to environmental change, local adaptation, and some resistance to free admixture at geographic secondary contact, leading to strong genetic structuring at fine spatial scale.</t>
  </si>
  <si>
    <t>[Bull, James K.; Sunnucks, Paul] Monash Univ, Sch Biol Sci, Melbourne, Vic 3004, Australia; [Sands, Chester J.] British Antarctic Survey, Nat Environm Res Council, Cambridge CB3 0ET, England; [Garrick, Ryan C.] Univ Mississippi, Dept Biol, Oxford, MS USA; [Gardner, Michael G.] Flinders Univ S Australia, Sch Biol Sci, Adelaide, SA 5001, Australia; [Gardner, Michael G.] S Australian Museum, Evolutionary Biol Unit, Adelaide, SA 5000, Australia; [Tait, Noel N.] Macquarie Univ, Dept Biol Sci, Sydney, NSW 2109, Australia; [Briscoe, David A.; Rowell, David M.] Australian Natl Univ, Res Sch Biol Sci, Canberra, ACT 2601, Australia</t>
  </si>
  <si>
    <t>Monash University; UK Research &amp; Innovation (UKRI); Natural Environment Research Council (NERC); NERC British Antarctic Survey; University of Mississippi; Flinders University South Australia; Macquarie University; Australian National University</t>
  </si>
  <si>
    <t>Bull, JK (corresponding author), Monash Univ, Sch Biol Sci, Melbourne, Vic 3004, Australia.</t>
  </si>
  <si>
    <t>james.bull.au@gmail.com</t>
  </si>
  <si>
    <t>; Rowell, David/C-9751-2009; Gardner, Michael/A-8280-2011</t>
  </si>
  <si>
    <t>Sands, Chester/0000-0003-1028-0328; Bull, James/0000-0002-0274-4359; Sunnucks, Paul/0000-0002-8139-7059; Garrick, Ryan/0000-0002-4057-7061; Rowell, David/0000-0002-2077-9774; Gardner, Michael/0000-0002-8629-354X</t>
  </si>
  <si>
    <t>School of Biological Sciences, Monash; Australian Research Council [DP0211156]; Holsworth Wildlife Endowment awards; NERC [bas0100025] Funding Source: UKRI; Natural Environment Research Council [bas0100025] Funding Source: researchfish; Australian Research Council [DP0211156] Funding Source: Australian Research Council</t>
  </si>
  <si>
    <t>School of Biological Sciences, Monash; Australian Research Council(Australian Research Council); Holsworth Wildlife Endowment awards; NERC(UK Research &amp; Innovation (UKRI)Natural Environment Research Council (NERC)); Natural Environment Research Council(UK Research &amp; Innovation (UKRI)Natural Environment Research Council (NERC)); Australian Research Council(Australian Research Council)</t>
  </si>
  <si>
    <t>The work was funded in part by a small grant from the School of Biological Sciences, Monash, and drew on some materials from an Australian Research Council (www.arc.gov.au/) grant DP0211156 partially-funded in 2002-2004 awarded to PS and DMR. CJS and RCG were supported by Holsworth Wildlife Endowment awards. The funders had no role in study design, data collection and analysis, decision to publish, or preparation of the manuscript.</t>
  </si>
  <si>
    <t>e84559</t>
  </si>
  <si>
    <t>10.1371/journal.pone.0084559</t>
  </si>
  <si>
    <t>276GT</t>
  </si>
  <si>
    <t>WOS:000328737700100</t>
  </si>
  <si>
    <t>Boyd, PW</t>
  </si>
  <si>
    <t>Boyd, Philip W.</t>
  </si>
  <si>
    <t>Diatom traits regulate Southern Ocean silica leakage</t>
  </si>
  <si>
    <t>PROCEEDINGS OF THE NATIONAL ACADEMY OF SCIENCES OF THE UNITED STATES OF AMERICA</t>
  </si>
  <si>
    <t>IRON; PHYTOPLANKTON; LIMITATION; CARBON; BLOOM</t>
  </si>
  <si>
    <t>Univ Tasmania, Inst Marine &amp; Antarctic Studies, Hobart, Tas 7005, Australia</t>
  </si>
  <si>
    <t>Boyd, PW (corresponding author), Univ Tasmania, Inst Marine &amp; Antarctic Studies, Hobart, Tas 7005, Australia.</t>
  </si>
  <si>
    <t>philip.boyd@utas.edu.au</t>
  </si>
  <si>
    <t>Boyd, Philip/J-7624-2014</t>
  </si>
  <si>
    <t>Boyd, Philip/0000-0001-7850-1911</t>
  </si>
  <si>
    <t>NATL ACAD SCIENCES</t>
  </si>
  <si>
    <t>2101 CONSTITUTION AVE NW, WASHINGTON, DC 20418 USA</t>
  </si>
  <si>
    <t>0027-8424</t>
  </si>
  <si>
    <t>P NATL ACAD SCI USA</t>
  </si>
  <si>
    <t>Proc. Natl. Acad. Sci. U. S. A.</t>
  </si>
  <si>
    <t>10.1073/pnas.1320327110</t>
  </si>
  <si>
    <t>273PR</t>
  </si>
  <si>
    <t>WOS:000328548600019</t>
  </si>
  <si>
    <t>Assmy, P; Smetacek, V; Montresor, M; Klaas, C; Henjes, J; Strass, VH; Arrieta, JM; Bathmann, U; Berg, GM; Breitbarth, E; Cisewski, B; Friedrichs, L; Fuchs, N; Herndl, GJ; Jansen, S; Krägefsky, S; Latasa, M; Peeken, I; Röttgers, R; Scharek, R; Schüller, SE; Steigenberger, S; Webb, A; Wolf-Gladrow, D</t>
  </si>
  <si>
    <t>Assmy, Philipp; Smetacek, Victor; Montresor, Marina; Klaas, Christine; Henjes, Joachim; Strass, Volker H.; Arrieta, Jesus M.; Bathmann, Ulrich; Berg, Gry M.; Breitbarth, Eike; Cisewski, Boris; Friedrichs, Lars; Fuchs, Nike; Herndl, Gerhard J.; Jansen, Sandra; Kraegefsky, Soeren; Latasa, Mikel; Peeken, Ilka; Roettgers, Ruediger; Scharek, Renate; Schueller, Susanne E.; Steigenberger, Sebastian; Webb, Adrian; Wolf-Gladrow, Dieter</t>
  </si>
  <si>
    <t>Thick-shelled, grazer-protected diatoms decouple ocean carbon and silicon cycles in the iron-limited Antarctic Circumpolar Current</t>
  </si>
  <si>
    <t>evolutionary arms race; top-down control; geo-engineering</t>
  </si>
  <si>
    <t>SOUTHERN-OCEAN; SURFACE SEDIMENTS; ATLANTIC SECTOR; FERTILIZATION EXPERIMENT; ENVIRONMENTAL VARIABLES; PHYTOPLANKTON BLOOMS; COMMUNITY STRUCTURE; KERGUELEN PLATEAU; ATMOSPHERIC CO2; BIOGENIC SILICA</t>
  </si>
  <si>
    <t>Diatoms of the iron-replete continental margins and North Atlantic are key exporters of organic carbon. In contrast, diatoms of the iron-limited Antarctic Circumpolar Current sequester silicon, but comparatively little carbon, in the underlying deep ocean and sediments. Because the Southern Ocean is the major hub of oceanic nutrient distribution, selective silicon sequestration there limits diatom blooms elsewhere and consequently the biotic carbon sequestration potential of the entire ocean. We investigated this paradox in an in situ iron fertilization experiment by comparing accumulation and sinking of diatom populations inside and outside the iron-fertilized patch over 5 wk. A bloom comprising various thin-and thick-shelled diatom species developed inside the patch despite the presence of large grazer populations. After the third week, most of the thinner-shelled diatom species underwent mass mortality, formed large, mucous aggregates, and sank out en masse (carbon sinkers). In contrast, thicker-shelled species, in particular Fragilariopsis kerguelensis, persisted in the surface layers, sank mainly empty shells continuously, and reduced silicate concentrations to similar levels both inside and outside the patch (silica sinkers). These patterns imply that thick-shelled, hence grazer-protected, diatom species evolved in response to heavy copepod grazing pressure in the presence of an abundant silicate supply. The ecology of these silica-sinking species decouples silicon and carbon cycles in the iron-limited Southern Ocean, whereas carbon-sinking species, when stimulated by iron fertilization, export more carbon per silicon. Our results suggest that large-scale iron fertilization of the silicate-rich Southern Ocean will not change silicon sequestration but will add carbon to the sinking silica flux.</t>
  </si>
  <si>
    <t>[Assmy, Philipp] Norwegian Polar Res Inst, N-9296 Tromso, Norway; [Assmy, Philipp; Smetacek, Victor; Klaas, Christine; Henjes, Joachim; Strass, Volker H.; Bathmann, Ulrich; Cisewski, Boris; Friedrichs, Lars; Fuchs, Nike; Jansen, Sandra; Kraegefsky, Soeren; Peeken, Ilka; Steigenberger, Sebastian; Wolf-Gladrow, Dieter] Alfred Wegener Inst Helmholtz Ctr Polar &amp; Marine, D-27570 Bremerhaven, Germany; [Smetacek, Victor] Natl Inst Oceanog, Panaji 403004, Goa, India; [Montresor, Marina] Stn Zool Anton Dohrn, I-80121 Naples, Italy; [Arrieta, Jesus M.; Herndl, Gerhard J.] Royal Netherlands Inst Sea Res, Dept Biol Oceanog, NL-1790 AB Den Burg, Netherlands; [Arrieta, Jesus M.] Univ Islas Baleares, CSIC, Dept Global Change Res, Inst Mediterraneo Estudios Avanzados, Esporles 07190, Mallorca, Spain; [Bathmann, Ulrich] Leibniz Inst Balt Sea Res Warnemunde, D-18119 Rostock, Germany; [Berg, Gry M.] Stanford Univ, Dept Geophys, Stanford, CA 94305 USA; [Breitbarth, Eike] Helmholtz Ctr Ocean Res Kiel, D-24105 Kiel, Germany; [Cisewski, Boris] Thunen Inst Sea Fisheries, D-22767 Hamburg, Germany; [Herndl, Gerhard J.] Univ Vienna, Fac Ctr Ecol, Dept Marine Biol, A-1090 Vienna, Austria; [Latasa, Mikel; Scharek, Renate] Inst Espanol Oceanog, Ctr Oceanog Gijon Xixon, E-33212 Gijon Xixon, Asturias, Spain; [Latasa, Mikel; Scharek, Renate] CSIC, Inst Ciencies Mar, E-08003 Barcelona, Spain; [Peeken, Ilka] Univ Bremen, MARUM Ctr Marine Environm Sci, D-28359 Bremen, Germany; [Roettgers, Ruediger] Helmholtz Zentrum Geesthacht, Ctr Mat &amp; Coastal Res, Inst Coastal Res, D-21502 Geesthacht, Germany; [Schueller, Susanne E.] Univ Otago, Dept Marine Sci, Dunedin 9054, New Zealand; [Steigenberger, Sebastian] Univ Southampton, Natl Oceanog Ctr, Southampton SO14 3ZH, Hants, England; [Webb, Adrian] Univ Cape Town, Dept Oceanog, ZA-7701 Rondebosch, South Africa</t>
  </si>
  <si>
    <t>Norwegian Polar Institute; Helmholtz Association; Alfred Wegener Institute, Helmholtz Centre for Polar &amp; Marine Research; Council of Scientific &amp; Industrial Research (CSIR) - India; CSIR - National Institute of Oceanography (NIO); Stazione Zoologica Anton Dohrn di Napoli; Utrecht University; Royal Netherlands Institute for Sea Research (NIOZ); Universitat de les Illes Balears; Consejo Superior de Investigaciones Cientificas (CSIC); Leibniz Institut fur Ostseeforschung Warnemunde; Stanford University; Helmholtz Association; GEOMAR Helmholtz Center for Ocean Research Kiel; Johann Heinrich von Thunen Institute; University of Vienna; Spanish Institute of Oceanography; Consejo Superior de Investigaciones Cientificas (CSIC); CSIC - Centro Mediterraneo de Investigaciones Marinas y Ambientales (CMIMA); CSIC - Instituto de Ciencias del Mar (ICM); University of Bremen; Helmholtz Association; Helmholtz-Zentrum Hereon; University of Otago; University of Southampton; NERC National Oceanography Centre; University of Cape Town</t>
  </si>
  <si>
    <t>Assmy, P (corresponding author), Norwegian Polar Res Inst, N-9296 Tromso, Norway.</t>
  </si>
  <si>
    <t>Philipp.Assmy@npolar.no; Victor.Smetacek@awi.de</t>
  </si>
  <si>
    <t>Herndl, Gerhard J./S-3011-2019; Cisewski, Boris/GWV-4320-2022; Herndl, Gerhard J./B-1513-2013; Bathmann, Ulrich/ISV-4351-2023; Latasa, Mikel/D-2202-2011; Scharek, Renate/M-4530-2018; Arrieta, Jesus/B-1226-2008</t>
  </si>
  <si>
    <t>Herndl, Gerhard J./0000-0002-2223-2852; Cisewski, Boris/0000-0002-1130-6107; Latasa, Mikel/0000-0002-8202-0923; Wolf-Gladrow, Dieter/0000-0001-9531-8668; Peeken, Ilka/0000-0003-1531-1664; Fuchs, Nike/0000-0003-0122-7322; Scharek, Renate/0000-0001-9306-9047; Strass, Volker/0000-0002-7539-1400; Henjes, Joachim/0000-0002-6688-8802; Arrieta, Jesus/0000-0002-0190-6950; Montresor, Marina/0000-0002-2475-1787; Klaas, Christine/0000-0002-6679-8970</t>
  </si>
  <si>
    <t>Deutsche Forschungsgemeinschaft-Cluster of Excellence The Ocean in the Earth System; Centre for Ice, Climate and Ecosystems at the Norwegian Polar Institute; Austrian Science Fund (FWF) [Z194] Funding Source: Austrian Science Fund (FWF); Austrian Science Fund (FWF) [Z 194] Funding Source: researchfish</t>
  </si>
  <si>
    <t>Deutsche Forschungsgemeinschaft-Cluster of Excellence The Ocean in the Earth System; Centre for Ice, Climate and Ecosystems at the Norwegian Polar Institute; Austrian Science Fund (FWF)(Austrian Science Fund (FWF)); Austrian Science Fund (FWF)(Austrian Science Fund (FWF))</t>
  </si>
  <si>
    <t>We are indebted to the captain and crew of RV Polarstern. We thank N. Cassar, J. E. Cloern, D. Iudicone, M. G. Mazzocchi, and M. Ribera d'Alcala for comments on the manuscript. We are thankful to Uta Passow for her support with the transparent exopolymer particle analysis. P. A. was supported through Deutsche Forschungsgemeinschaft-Cluster of Excellence The Ocean in the Earth System and the Centre for Ice, Climate and Ecosystems at the Norwegian Polar Institute.</t>
  </si>
  <si>
    <t>10.1073/pnas.1309345110</t>
  </si>
  <si>
    <t>WOS:000328548600066</t>
  </si>
  <si>
    <t>Xu, GJ; Gao, Y; Lin, Q; Li, W; Chen, LQ</t>
  </si>
  <si>
    <t>Xu, Guojie; Gao, Yuan; Lin, Qi; Li, Wei; Chen, Liqi</t>
  </si>
  <si>
    <t>Characteristics of water-soluble inorganic and organic ions in aerosols over the Southern Ocean and coastal East Antarctica during austral summer</t>
  </si>
  <si>
    <t>JOURNAL OF GEOPHYSICAL RESEARCH-ATMOSPHERES</t>
  </si>
  <si>
    <t>Southern Ocean; water-soluble aerosols; inorganic and organic ions; coastal Antarctica; aerosol size distribution</t>
  </si>
  <si>
    <t>BOUNDARY-LAYER AEROSOL; CLOUD CONDENSATION NUCLEI; SEA-SALT SULFATE; SIZE DISTRIBUTIONS; DICARBOXYLIC-ACIDS; DIMETHYL SULFIDE; MARINE AEROSOL; TROPOSPHERIC CHEMISTRY; ATMOSPHERIC AEROSOLS; CHEMICAL-COMPOSITION</t>
  </si>
  <si>
    <t>To characterize the concentrations and size distributions of water-soluble organic and inorganic aerosol species, including Na+, non-sea-salt sulfate (nss SO42-), methane sulfonate (MSA), oxalate, and succinate, over the Southern Ocean (SO) and coastal East Antarctica (CEA), bulk and size-segregated aerosols were collected from 40 degrees S, 100 degrees E to 69 degrees S, 76 degrees E and between 69 degrees S, 76 degrees E and 66 degrees S, 110 degrees E during a cruise from November 2010 to March 2011. Results show that sea salt was the major component of the total aerosol mass, accounting for 72% over the SO and 56% over CEA. The average concentrations of nss SO42- varied from 420ngm(-3) over the SO to 480ngm(-3) over CEA. The concentrations of MSA ranged from 63 to 87ngm(-3) over the SO and from 46 to 170ngm(-3) in CEA. The average concentrations of oxalate were 3.8ngm(-3) over the SO and 2.2ngm(-3) over CEA. The concentrations of formate, acetate, and succinate were lower than those of oxalate. A bimodal size distribution of aerosol mass existed over CEA, peaking at 0.32-0.56 mu m and 3.2-5.6 mu m. MSA was accumulated in particles of 0.32-0.56 mu m over CEA. High chloride depletion was associated with fine-mode particles enriched with nss SO42-, MSA, and oxalate. Higher cation-to-anion and NH4+/nss SO42- ratios in aerosols over CEA compared to that over the SO imply the higher neutralization capacity of the marine atmosphere over CEA.</t>
  </si>
  <si>
    <t>[Xu, Guojie; Gao, Yuan] Rutgers State Univ, Dept Earth &amp; Environm Sci, Newark, NJ 07102 USA; [Lin, Qi; Li, Wei; Chen, Liqi] State Ocean Adm, Inst Oceanog 3, Key Lab Global Change &amp; Marine Atmospher Chem, Xiamen, Peoples R China</t>
  </si>
  <si>
    <t>Rutgers University System; Rutgers University New Brunswick; Rutgers University Newark; Third Institute of Oceanography, Ministry of Natural Resources</t>
  </si>
  <si>
    <t>Gao, Y (corresponding author), Rutgers State Univ, Dept Earth &amp; Environm Sci, Newark, NJ 07102 USA.</t>
  </si>
  <si>
    <t>yuangaoh@andromeda.rutgers.edu</t>
  </si>
  <si>
    <t>U.S. National Science Foundation [0944589]; State Oceanic Administration of China [CHINARE 2012-02-01]</t>
  </si>
  <si>
    <t>U.S. National Science Foundation(National Science Foundation (NSF)); State Oceanic Administration of China</t>
  </si>
  <si>
    <t>This research was sponsored by the U.S. National Science Foundation Award 0944589 to YG. Additional support was provided by State Oceanic Administration of China through Award CHINARE 2012-02-01 to LC. The authors thank the Chinese Arctic and Antarctic Administration and Polar Research Institute of China for logistic support, and they are grateful to Jiexia Zhang for assistance with aerosol sampling. The manuscript was significantly improved by constructive comments from three reviewers. YG specifically acknowledges the Chinese 27th Antarctic Expedition scientific team and staff at the Chinese Antarctic Zhongshan Station for their support of her participation in the voyage of 4 months at sea and in the Antarctic lands. This work would not have become possible without the dedication of the crew of the Chinese icebreaker Xue Long.</t>
  </si>
  <si>
    <t>2169-897X</t>
  </si>
  <si>
    <t>2169-8996</t>
  </si>
  <si>
    <t>J GEOPHYS RES-ATMOS</t>
  </si>
  <si>
    <t>J. Geophys. Res.-Atmos.</t>
  </si>
  <si>
    <t>DEC 16</t>
  </si>
  <si>
    <t>10.1002/2013JD019496</t>
  </si>
  <si>
    <t>297PD</t>
  </si>
  <si>
    <t>WOS:000330266500025</t>
  </si>
  <si>
    <t>Wong, APS; Riser, SC</t>
  </si>
  <si>
    <t>Wong, Annie P. S.; Riser, Stephen C.</t>
  </si>
  <si>
    <t>Modified shelf water on the continental slope north of Mac Robertson Land, East Antarctica</t>
  </si>
  <si>
    <t>GEOPHYSICAL RESEARCH LETTERS</t>
  </si>
  <si>
    <t>Cape Darnley; winter sea ice; dense shelf water; Antarctic continental slope; profiling floats; ice-avoidance algorithm</t>
  </si>
  <si>
    <t>BOTTOM WATER; WEDDELL SEA; ROSS-SEA; MASSES</t>
  </si>
  <si>
    <t>We report on under-ice profiling float observations of cold, dense, and oxygenated bottom layers on the continental slope of Mac Robertson Land (60 degrees-72 degrees E) in East Antarctica. This bottom layer water mass, with potential temperature in the range -1.8 degrees C&lt;&lt;-0.4 degrees C, is identified as modified shelf water. It is a downslope variety of dense water formed on the Antarctic continental shelf in winter and plays an important role in ventilating the deep Southern Ocean. The seasonal evolution of its thickness and density follows the sea ice cycle of growth and decay, reaching a maximum in October-November. The characteristics and location of this modified shelf water are similar to Cape Darnley Bottom Water, thus suggesting the same primary source in the Cape Darnley polynya region. These float data support recent results that the continental shelf along Mac Robertson Land is a significant source of dense waters in East Antarctica.</t>
  </si>
  <si>
    <t>[Wong, Annie P. S.; Riser, Stephen C.] Univ Washington, Sch Oceanog, Seattle, WA 98195 USA</t>
  </si>
  <si>
    <t>Wong, APS (corresponding author), Univ Washington, Sch Oceanog, Campus Box 355351, Seattle, WA 98195 USA.</t>
  </si>
  <si>
    <t>awong@ocean.washington.edu</t>
  </si>
  <si>
    <t>Wong, Annie P. S./0000-0003-3305-1640</t>
  </si>
  <si>
    <t>National Oceanic and Atmospheric Administration (NOAA) [NA17RJ1232]</t>
  </si>
  <si>
    <t>National Oceanic and Atmospheric Administration (NOAA)(National Oceanic Atmospheric Admin (NOAA) - USA)</t>
  </si>
  <si>
    <t>The authors wish to thank Robert Drucker for providing the adjusted dissolved oxygen data from the two floats that carried the Aanderaa Optode sensors. Comments from an anonymous reviewer helped improve the manuscript. The profiling floats used in this study were fabricated and programmed at the University of Washington by Dana Swift, Dale Ripley, and Rick Rupan. The float data were made freely available by the International Argo Program (http://www.argo.net). This work was funded by National Oceanic and Atmospheric Administration (NOAA) grant NA17RJ1232 task 2 to the University of Washington in support of the Argo float project.</t>
  </si>
  <si>
    <t>0094-8276</t>
  </si>
  <si>
    <t>1944-8007</t>
  </si>
  <si>
    <t>GEOPHYS RES LETT</t>
  </si>
  <si>
    <t>Geophys. Res. Lett.</t>
  </si>
  <si>
    <t>10.1002/2013GL058125</t>
  </si>
  <si>
    <t>282AH</t>
  </si>
  <si>
    <t>WOS:000329141900032</t>
  </si>
  <si>
    <t>Trusel, LD; Frey, KE; Das, SB; Munneke, PK; van den Broeke, MR</t>
  </si>
  <si>
    <t>Trusel, Luke D.; Frey, Karen E.; Das, Sarah B.; Munneke, Peter Kuipers; van den Broeke, Michiel R.</t>
  </si>
  <si>
    <t>Satellite-based estimates of Antarctic surface meltwater fluxes</t>
  </si>
  <si>
    <t>Antarctica; surface melt; ice shelves; remote sensing</t>
  </si>
  <si>
    <t>PENINSULA SUMMER TEMPERATURES; HEMISPHERE ANNULAR MODE; EAST ANTARCTICA; ICE SHELVES; TIME-SERIES; GREENLAND; SNOWMELT; DRIVEN; MELT</t>
  </si>
  <si>
    <t>This study generates novel satellite-derived estimates of Antarctic-wide annual (1999-2009) surface meltwater production using an empirical relationship between radar backscatter from the QuikSCAT (QSCAT) satellite and melt calculated from in situ energy balance observations. The resulting QSCAT-derived melt fluxes significantly agree with output from the regional climate model RACMO2.1 and with independent ground-based observations. The high-resolution (4.45 km) QSCAT-based melt fluxes uniquely detect interannually persistent and intense melt (&gt;400mm water equivalent (w.e.) year(-1)) on interior Larsen C Ice Shelf that is not simulated by RACMO2.1. This supports a growing understanding of the importance of a fohn effect in this region and quantifies the resulting locally enhanced melting that is spatially consistent with recently observed Larsen C thinning. These new results highlight important cryosphere-climate interactions and processes that are presently not fully captured by the coarser-resolution (27 km) regional climate model.</t>
  </si>
  <si>
    <t>[Trusel, Luke D.; Frey, Karen E.] Clark Univ, Grad Sch Geog, Worcester, MA 01610 USA; [Das, Sarah B.] Woods Hole Oceanog Inst, Dept Geol &amp; Geophys, Woods Hole, MA 02543 USA; [Munneke, Peter Kuipers; van den Broeke, Michiel R.] Univ Utrecht, Inst Marine &amp; Atmospher Res Utrecht, Utrecht, Netherlands</t>
  </si>
  <si>
    <t>Clark University; Woods Hole Oceanographic Institution; Utrecht University</t>
  </si>
  <si>
    <t>Trusel, LD (corresponding author), Clark Univ, Grad Sch Geog, 950 Main St, Worcester, MA 01610 USA.</t>
  </si>
  <si>
    <t>ltrusel@clarku.edu</t>
  </si>
  <si>
    <t>Van den Broeke, Michiel R./F-7867-2011; Trusel, Luke D/E-2578-2013</t>
  </si>
  <si>
    <t>Van den Broeke, Michiel R./0000-0003-4662-7565; Kuipers Munneke, Peter/0000-0001-5555-3831; Trusel, Luke/0000-0002-7792-6173</t>
  </si>
  <si>
    <t>NASA Headquarters under the NASA Earth and Space Science Fellowship Program [NNX12AO01H]; NASA Cryospheric Sciences Program [NNX10AP09G]; NSF Antarctic Sciences Section [ANT-063203]</t>
  </si>
  <si>
    <t>NASA Headquarters under the NASA Earth and Space Science Fellowship Program(National Aeronautics &amp; Space Administration (NASA)); NASA Cryospheric Sciences Program(National Aeronautics &amp; Space Administration (NASA)); NSF Antarctic Sciences Section</t>
  </si>
  <si>
    <t>We thank D. G. Long for providing scatterometer data and D. Holland for PIG AWS observations. This research was supported by NASA Headquarters under the NASA Earth and Space Science Fellowship Program (grant NNX12AO01H), the NASA Cryospheric Sciences Program (grant NNX10AP09G), and the NSF Antarctic Sciences Section (grant ANT-063203). We thank Editor J. Stroeve, as well as N. Barrand and an anonymous reviewer for their constructive comments.</t>
  </si>
  <si>
    <t>10.1002/2013GL058138</t>
  </si>
  <si>
    <t>WOS:000329141900025</t>
  </si>
  <si>
    <t>Palmer, SJ; Dowdeswell, JA; Christoffersen, P; Young, DA; Blankenship, DD; Greenbaum, JS; Benham, T; Bamber, J; Siegert, MJ</t>
  </si>
  <si>
    <t>Palmer, Steven J.; Dowdeswell, Julian A.; Christoffersen, Poul; Young, Duncan A.; Blankenship, Donald D.; Greenbaum, Jamin S.; Benham, Toby; Bamber, Jonathan; Siegert, Martin J.</t>
  </si>
  <si>
    <t>Greenland subglacial lakes detected by radar</t>
  </si>
  <si>
    <t>Greenland ice sheet; subglacial lakes; airborne radar</t>
  </si>
  <si>
    <t>ICE-SHEET; WEST ANTARCTICA; VARIABILITY; INVENTORY; BENEATH; MELT</t>
  </si>
  <si>
    <t>Subglacial lakes are an established and important component of the basal hydrological system of the Antarctic ice sheets, but none have been reported from Greenland. Here we present airborne radio echo sounder (RES) measurements that provide the first clear evidence for the existence of subglacial lakes in Greenland. Two lakes, with areas similar to 8 and similar to 10km(2), are found in the northwest sector of the ice sheet, similar to 40km from the ice margin, and below 757 and 809m of ice, respectively. The setting of the Greenland lakes differs from those of Antarctic subglacial lakes, being beneath relatively thin and cold ice, pointing to a fundamental difference in their nature and genesis. Possibilities that the lakes consist of either ancient saline water in a closed system or are part of a fresh, modern open hydrological system are discussed, with the latter interpretation considered more likely.</t>
  </si>
  <si>
    <t>[Palmer, Steven J.; Dowdeswell, Julian A.; Christoffersen, Poul; Benham, Toby] Univ Cambridge, Scott Polar Res Inst, Cambridge CB2 1ER, England; [Young, Duncan A.; Blankenship, Donald D.; Greenbaum, Jamin S.] Univ Texas Austin, Inst Geophys, Austin, TX USA; [Bamber, Jonathan; Siegert, Martin J.] Univ Bristol, Sch Geog Sci, Bristol, Avon, England</t>
  </si>
  <si>
    <t>University of Cambridge; University of Texas System; University of Texas Austin; University of Bristol</t>
  </si>
  <si>
    <t>Palmer, SJ (corresponding author), Univ Cambridge, Scott Polar Res Inst, Lensfield Rd, Cambridge CB2 1ER, England.</t>
  </si>
  <si>
    <t>s.j.palmer@exeter.ac.uk</t>
  </si>
  <si>
    <t>Young, Duncan A./G-6256-2010; Siegert, Martin/M-9939-2019; Bamber, Jonathan/C-7608-2011; Palmer, Steven J/D-5170-2013; Siegert, Martin J/A-3826-2008; Christoffersen, Poul/W-3708-2019</t>
  </si>
  <si>
    <t>Siegert, Martin/0000-0002-0090-4806; Bamber, Jonathan/0000-0002-2280-2819; Siegert, Martin J/0000-0002-0090-4806; Christoffersen, Poul/0000-0003-2643-8724; Benham, Toby/0000-0003-2723-1880; Dowdeswell, Julian/0000-0003-1369-9482; Palmer, Steven/0000-0003-3977-8509</t>
  </si>
  <si>
    <t>NERC [NE/H020667]; NASA [NNX11AD33G]; G. Unger Vetlesen foundation; NERC [NE/H020667/1] Funding Source: UKRI; Natural Environment Research Council [NE/H020667/1] Funding Source: researchfish; NASA [NNX11AD33G, 148741] Funding Source: Federal RePORTER</t>
  </si>
  <si>
    <t>NERC(UK Research &amp; Innovation (UKRI)Natural Environment Research Council (NERC)); NASA(National Aeronautics &amp; Space Administration (NASA)); G. Unger Vetlesen foundation; NERC(UK Research &amp; Innovation (UKRI)Natural Environment Research Council (NERC)); Natural Environment Research Council(UK Research &amp; Innovation (UKRI)Natural Environment Research Council (NERC)); NASA(National Aeronautics &amp; Space Administration (NASA))</t>
  </si>
  <si>
    <t>Funding was provided by NERC grant NE/H020667. Additional support was provided by NASA grant NNX11AD33G and the G. Unger Vetlesen foundation. Supplementary ice thickness data and radargrams were provided by CReSIS/NASA Operation IceBridge and accessed via the National Snow and Ice Data Center (NSIDC). Supplementary ice surface elevation measurements were provided by the Greenland Icesheet Mapping Project and accessed from Byrd Polar Research Center at The Ohio State University. MEaSUReS InSAR ice velocity measurements were accessed from NSIDC. We thank E. Rinne, S. Tulaczyk, and two anonymous reviewers for comments which improved the manuscript.</t>
  </si>
  <si>
    <t>10.1002/2013GL058383</t>
  </si>
  <si>
    <t>Green Published, hybrid</t>
  </si>
  <si>
    <t>WOS:000329141900026</t>
  </si>
  <si>
    <t>Roquet, F; Wunsch, C; Forget, G; Heimbach, P; Guinet, C; Reverdin, G; Charrassin, JB; Bailleul, F; Costa, DP; Huckstadt, LA; Goetz, KT; Kovacs, KM; Lydersen, C; Biuw, M; Nost, OA; Bornemann, H; Ploetz, J; Bester, MN; McIntyre, T; Muelbert, MC; Hindell, MA; McMahon, CR; Williams, G; Harcourt, R; Field, IC; Chafik, L; Nicholls, KW; Boehme, L; Fedak, MA</t>
  </si>
  <si>
    <t>Roquet, Fabien; Wunsch, Carl; Forget, Gael; Heimbach, Patrick; Guinet, Christophe; Reverdin, Gilles; Charrassin, Jean-Benoit; Bailleul, Frederic; Costa, Daniel P.; Huckstadt, Luis A.; Goetz, Kimberly T.; Kovacs, Kit M.; Lydersen, Christian; Biuw, Martin; Nost, Ole A.; Bornemann, Horst; Ploetz, Joachim; Bester, Marthan N.; McIntyre, Trevor; Muelbert, Monica C.; Hindell, Mark A.; McMahon, Clive R.; Williams, Guy; Harcourt, Robert; Field, Iain C.; Chafik, Leon; Nicholls, Keith W.; Boehme, Lars; Fedak, Mike A.</t>
  </si>
  <si>
    <t>Estimates of the Southern Ocean general circulation improved by animal-borne instruments</t>
  </si>
  <si>
    <t>animal-borne sampling; Southern Ocean; state estimation; hydrography</t>
  </si>
  <si>
    <t>Over the last decade, several hundred seals have been equipped with conductivity-temperature-depth sensors in the Southern Ocean for both biological and physical oceanographic studies. A calibrated collection of seal-derived hydrographic data is now available, consisting of more than 165,000 profiles. The value of these hydrographic data within the existing Southern Ocean observing system is demonstrated herein by conducting two state estimation experiments, differing only in the use or not of seal data to constrain the system. Including seal-derived data substantially modifies the estimated surface mixed-layer properties and circulation patterns within and south of the Antarctic Circumpolar Current. Agreement with independent satellite observations of sea ice concentration is improved, especially along the East Antarctic shelf. Instrumented animals efficiently reduce a critical observational gap, and their contribution to monitoring polar climate variability will continue to grow as data accuracy and spatial coverage increase.</t>
  </si>
  <si>
    <t>[Roquet, Fabien; Chafik, Leon] Stockholm Univ, Dept Meteorol, SE-10691 Stockholm, Sweden; [Wunsch, Carl] Harvard Univ, Dept Earth &amp; Planetary Sci, Cambridge, MA 02138 USA; [Forget, Gael; Heimbach, Patrick] MIT, Dept Earth Atmospher &amp; Planetary Sci, Cambridge, MA USA; [Guinet, Christophe; Bailleul, Frederic] CNRS, Ctr Etud Biol Chize, Villiers En Bois, France; [Reverdin, Gilles; Charrassin, Jean-Benoit] Lab Oceanog &amp; Climat Expt &amp; Approches Numer, Paris, France; [Costa, Daniel P.; Huckstadt, Luis A.; Goetz, Kimberly T.] Univ Calif Santa Cruz, Dept Ecol &amp; Evolutionary, Santa Cruz, CA 95064 USA; [Kovacs, Kit M.; Lydersen, Christian; Biuw, Martin; Nost, Ole A.] Norwegian Polar Res Inst, Tromso, Norway; [Bornemann, Horst; Ploetz, Joachim] Alfred Wegener Inst Polar &amp; Marine Res, Helmholtz Zentrum Polar &amp; Meeresforsch, Bremerhaven, Germany; [Bester, Marthan N.; McIntyre, Trevor] Univ Pretoria, Dept Zool &amp; Entomol, Mammal Res Inst, ZA-0002 Pretoria, South Africa; [Muelbert, Monica C.] Univ Fed Rio Grande do Sul, Inst Oceanog, Porto Alegre, RS, Brazil; [Hindell, Mark A.; McMahon, Clive R.] Univ Tasmania, Inst Marine &amp; Antarctic Studies, Hobart, Tas, Australia; [Williams, Guy] Univ Tasmania, Hobart, Tas, Australia; [Harcourt, Robert; Field, Iain C.] Macquarie Univ, Dept Biol Sci, Marine Predator Res Grp, Sydney, NSW 2109, Australia; [Nicholls, Keith W.] British Antarctic Survey, Nat Environm Res Council, Cambridge CB3 0ET, England; [Boehme, Lars; Fedak, Mike A.] Univ St Andrews, Scottish Oceans Inst, Sea Mammal Res Unit, St Andrews, Fife, Scotland</t>
  </si>
  <si>
    <t>Stockholm University; Harvard University; Massachusetts Institute of Technology (MIT); Centre National de la Recherche Scientifique (CNRS); Sorbonne Universite; Museum National d'Histoire Naturelle (MNHN); University of California System; University of California Santa Cruz; Norwegian Polar Institute; Helmholtz Association; Alfred Wegener Institute, Helmholtz Centre for Polar &amp; Marine Research; University of Pretoria; Universidade Federal do Rio Grande do Sul; University of Tasmania; University of Tasmania; Macquarie University; UK Research &amp; Innovation (UKRI); Natural Environment Research Council (NERC); NERC British Antarctic Survey; University of St Andrews</t>
  </si>
  <si>
    <t>Roquet, F (corresponding author), Stockholm Univ, Dept Meteorol, SE-10691 Stockholm, Sweden.</t>
  </si>
  <si>
    <t>Hindell, Mark A/K-1131-2013; Muelbert, Monica/T-3935-2019; Biuw, Martin/AAF-9895-2021; Goetz, Kimberly/AID-8232-2022; Roquet, Fabien/N-3221-2019; McMahon, Clive R/D-5713-2013; McIntyre, Trevor/E-6846-2010; Field, Iain C/D-3934-2009; Roquet, Fabien/D-4848-2013; Huckstadt, Luis A./J-8532-2019; Huckstadt, Luis/A-5838-2018; Chafik, Léon/GZK-6599-2022; Huckstadt, Luis/JNR-7637-2023; Guinet, Christophe/AAR-8457-2020; Bester, Marthán N/E-5387-2010; Costa, Daniel Paul/E-2616-2013; Fedak, Michael/B-3987-2009; Heimbach, Patrick/K-3530-2013; Boehme, Lars/B-6567-2009</t>
  </si>
  <si>
    <t>Roquet, Fabien/0000-0003-1124-4564; McMahon, Clive R/0000-0001-5241-8917; McIntyre, Trevor/0000-0001-8395-7550; Huckstadt, Luis A./0000-0002-2453-7350; Huckstadt, Luis/0000-0002-2453-7350; Costa, Daniel Paul/0000-0002-0233-5782; Fedak, Michael/0000-0002-9569-1128; Reverdin, Gilles/0000-0002-5583-8236; Heimbach, Patrick/0000-0003-3925-6161; Boehme, Lars/0000-0003-3513-6816; Nost, Ole Anders/0000-0002-6139-4088; Hindell, Mark/0000-0002-7823-7185; Harcourt, Robert/0000-0003-4666-2934</t>
  </si>
  <si>
    <t>ECCO program through the National Ocean Partnership Program; NERC [NE/E018289/1, NE/G014833/1, bas0100028, NE/J005649/1] Funding Source: UKRI; Directorate For Geosciences [0838937] Funding Source: National Science Foundation; Office of Polar Programs (OPP) [0838937] Funding Source: National Science Foundation; Natural Environment Research Council [NE/E018289/1, bas0100028, NE/J005649/1, NE/G014833/1, smru10001] Funding Source: researchfish</t>
  </si>
  <si>
    <t>ECCO program through the National Ocean Partnership Program; NERC(UK Research &amp; Innovation (UKRI)Natural Environment Research Council (NERC)); Directorate For Geosciences(National Science Foundation (NSF)NSF - Directorate for Geosciences (GEO)); Office of Polar Programs (OPP)(National Science Foundation (NSF)NSF - Directorate for Geosciences (GEO)); Natural Environment Research Council(UK Research &amp; Innovation (UKRI)Natural Environment Research Council (NERC))</t>
  </si>
  <si>
    <t>MEOP (Marine Mammals Exploring the Oceans Pole to Pole) is an IPY (International Polar Year) project that coordinates researchers and institutions from eight different countries. A list of funding agencies is provided in the supporting information. The ECCO program is mainly funded through the National Ocean Partnership Program. The authors thank two anonymous reviewers for their helpful comments.</t>
  </si>
  <si>
    <t>10.1002/2013GL058304</t>
  </si>
  <si>
    <t>Green Published, Green Submitted, Green Accepted, hybrid</t>
  </si>
  <si>
    <t>WOS:000329141900030</t>
  </si>
  <si>
    <t>Cunningham, SA; Roberts, CD; Frajka-Williams, E; Johns, WE; Hobbs, W; Palmer, MD; Rayner, D; Smeed, DA; McCarthy, G</t>
  </si>
  <si>
    <t>Cunningham, Stuart A.; Roberts, Christopher D.; Frajka-Williams, Eleanor; Johns, William E.; Hobbs, Will; Palmer, Matthew D.; Rayner, Darren; Smeed, David A.; McCarthy, Gerard</t>
  </si>
  <si>
    <t>Atlantic Meridional Overturning Circulation slowdown cooled the subtropical ocean</t>
  </si>
  <si>
    <t>Atlantic Meridional Overturning Circulation; Atlantic Ocean heat transport; RAPID mooring array; Atlantic subtropical gyre; ocean observing system; ocean heat content</t>
  </si>
  <si>
    <t>SEA-SURFACE TEMPERATURE; NORTH-ATLANTIC; THERMOHALINE CIRCULATION; ANOMALIES; VARIABILITY; CLIMATE; 26.5-DEGREES-N; OSCILLATION; TRANSPORT</t>
  </si>
  <si>
    <t>Observations show that the upper 2 km of the subtropical North Atlantic Ocean cooled throughout 2010 and remained cold until at least December 2011. We show that these cold anomalies are partly driven by anomalous air-sea exchange during the cold winters of 2009/2010 and 2010/2011 and, more surprisingly, by extreme interannual variability in the ocean's northward heat transport at 26.5 degrees N. This cooling driven by the ocean's meridional heat transport affects deeper layers isolated from the atmosphere on annual timescales and water that is entrained into the winter mixed layer thus lowering winter sea surface temperatures. Here we connect, for the first time, variability in the northward heat transport carried by the Atlantic Meridional Overturning Circulation to widespread sustained cooling of the subtropical North Atlantic, challenging the prevailing view that the ocean plays a passive role in the coupled ocean-atmosphere system on monthly-to-seasonal timescales.</t>
  </si>
  <si>
    <t>[Cunningham, Stuart A.; Rayner, Darren; Smeed, David A.; McCarthy, Gerard] Natl Oceanog Ctr, Southampton, Hants, England; [Roberts, Christopher D.; Palmer, Matthew D.] Met Off Hadley Ctr, Exeter, Devon, England; [Frajka-Williams, Eleanor] Univ Southampton, Natl Oceanog Ctr, Southampton, Hants, England; [Johns, William E.] Univ Miami, Rosenstiel Sch Marine &amp; Atmospher Sci, Miami, FL 33149 USA; [Hobbs, Will] Univ Tasmania, ARC Ctr Excellence Climate Syst Sci, Inst Marine &amp; Antarctic Studies, Hobart, Tas, Australia</t>
  </si>
  <si>
    <t>NERC National Oceanography Centre; Met Office - UK; Hadley Centre; NERC National Oceanography Centre; University of Southampton; University of Miami; ARC Centre of Excellence for Climate System Science; University of Tasmania</t>
  </si>
  <si>
    <t>Cunningham, SA (corresponding author), Scottish Assoc Marine Sci, Scottish Marine Inst, Oban PA37 1QA, Argyll, Scotland.</t>
  </si>
  <si>
    <t>Stuart.Cunningham@sams.ac.uk</t>
  </si>
  <si>
    <t>Roberts, Christopher D/F-6197-2011; McCarthy, Gerard D/L-1954-2013; Roberts, Christopher D/GRR-4034-2022; Frajka-Williams, Eleanor/H-2415-2011; Roberts, Christopher David/AAA-6692-2020; Hobbs, Will/P-8094-2019; Smeed, David/B-4726-2012</t>
  </si>
  <si>
    <t>Roberts, Christopher D/0000-0002-2958-6637; Roberts, Christopher D/0000-0002-2958-6637; Frajka-Williams, Eleanor/0000-0001-8773-7838; Roberts, Christopher David/0000-0002-2958-6637; Hobbs, Will/0000-0002-2061-0899; Smeed, David/0000-0003-1740-1778; McCarthy, Gerard Daniel/0000-0002-2363-0561; Palmer, Matthew/0000-0001-7422-198X</t>
  </si>
  <si>
    <t>Scottish Funding Council through the Marine Alliance for Science and Technology Scotland program; European Commission in the 7th Framework Programme for Research through the NACLIM project [308299]; Joint DECC/Defra Met Office Hadley Centre Climate Programme [GA01101]; Natural Environment Research Council (NERC); National Science Foundation (NSF); National Oceanic and Atmospheric Administration (NOAA); Division Of Ocean Sciences; Directorate For Geosciences [1332978, 0728108] Funding Source: National Science Foundation</t>
  </si>
  <si>
    <t>Scottish Funding Council through the Marine Alliance for Science and Technology Scotland program; European Commission in the 7th Framework Programme for Research through the NACLIM project(European Union (EU)); Joint DECC/Defra Met Office Hadley Centre Climate Programme; Natural Environment Research Council (NERC)(UK Research &amp; Innovation (UKRI)Natural Environment Research Council (NERC)); National Science Foundation (NSF)(National Science Foundation (NSF)); National Oceanic and Atmospheric Administration (NOAA)(National Oceanic Atmospheric Admin (NOAA) - USA); Division Of Ocean Sciences; Directorate For Geosciences(National Science Foundation (NSF)NSF - Directorate for Geosciences (GEO))</t>
  </si>
  <si>
    <t>Stuart Cunningham is supported by the Scottish Funding Council through the Marine Alliance for Science and Technology Scotland program and by the European Commission in the 7th Framework Programme for Research through the NACLIM project (grant agreement 308299). Chris Roberts and Matthew Palmer are supported by the Joint DECC/Defra Met Office Hadley Centre Climate Programme (GA01101). Data from the RAPID-MOC/MOCHA array are funded by the Natural Environment Research Council (NERC) and National Science Foundation (NSF), and are freely available from http://www.rapid.ac.uk/rapidmoc. Florida Current transport estimates are funded by the National Oceanic and Atmospheric Administration (NOAA), and are available from http://www.aoml.noaa.gov/phod/floridacurrent.</t>
  </si>
  <si>
    <t>10.1002/2013GL058464</t>
  </si>
  <si>
    <t>WOS:000329141900035</t>
  </si>
  <si>
    <t>Son, SW; Purich, A; Hendon, HH; Kim, BM; Polvani, LM</t>
  </si>
  <si>
    <t>Son, Seok-Woo; Purich, Ariaan; Hendon, Harry H.; Kim, Baek-Min; Polvani, Lorenzo M.</t>
  </si>
  <si>
    <t>Improved seasonal forecast using ozone hole variability?</t>
  </si>
  <si>
    <t>ozone hole; seasonal forecast</t>
  </si>
  <si>
    <t>SOUTHERN; RAINFALL; TRENDS</t>
  </si>
  <si>
    <t>Southern Hemisphere (SH) climate change has been partly attributed to Antarctic ozone depletion in the literatures. Here we show that the ozone hole has affected not only the long-term climate change but also the interannual variability of SH surface climate. A significant negative correlation is observed between September ozone concentration and the October southern annular mode index, resulting in systematic variations in precipitation and surface air temperature throughout the SH. This time-lagged relationship is comparable to and independent of that associated with El Nino-Southern Oscillation and the Indian Ocean Dipole Mode, suggesting that SH seasonal forecasts could be improved by considering Antarctic stratospheric variability.</t>
  </si>
  <si>
    <t>[Son, Seok-Woo] Seoul Natl Univ, Sch Earth &amp; Environm Sci, Seoul, South Korea; [Purich, Ariaan] CSIRO Marine &amp; Atmospher Res, Aspendale, Vic, Australia; [Hendon, Harry H.] Bur Meteorol, Ctr Australian Weather &amp; Climate Res, Melbourne, Vic, Australia; [Kim, Baek-Min] Korea Polar Res Inst, Inchon, South Korea; [Polvani, Lorenzo M.] Columbia Univ, Dept Earth &amp; Environm Sci, Dept Appl Phys &amp; Appl Math, New York, NY USA</t>
  </si>
  <si>
    <t>Seoul National University (SNU); Commonwealth Scientific &amp; Industrial Research Organisation (CSIRO); Bureau of Meteorology - Australia; Commonwealth Scientific &amp; Industrial Research Organisation (CSIRO); Korea Polar Research Institute (KOPRI); Korea Institute of Ocean Science &amp; Technology (KIOST); Columbia University</t>
  </si>
  <si>
    <t>Son, SW (corresponding author), Seoul Natl Univ, Sch Earth &amp; Environm Sci, Bldg 501,1 Gwanak Ro, Seoul, South Korea.</t>
  </si>
  <si>
    <t>seokwooson@snu.ac.kr</t>
  </si>
  <si>
    <t>Kim, Baek-Min/A-4634-2015; Polvani, Lorenzo M/E-5949-2011; Son, Seok-Woo/A-8797-2013</t>
  </si>
  <si>
    <t>Purich, Ariaan/0000-0003-2248-5937; Hendon, Harry H./0000-0002-4378-2263</t>
  </si>
  <si>
    <t>Korea Polar Research Institute (KOPRI) [PE13010]</t>
  </si>
  <si>
    <t>Korea Polar Research Institute (KOPRI)</t>
  </si>
  <si>
    <t>We thank Gareth Marshall (British Antarctic Survey, UK) for the use of his SAM-index data, Greg Bodeker (Bodeker Scientific, NZ) for providing us with NIWA ozone data, and David Lister (University of East Anglia, UK) for providing us with CRU station data. This work is funded by the Korea Polar Research Institute (KOPRI) grant under project PE13010.</t>
  </si>
  <si>
    <t>10.1002/2013GL057731</t>
  </si>
  <si>
    <t>WOS:000329141900040</t>
  </si>
  <si>
    <t>Li, Y; Kirchengast, G; Scherllin-Pirscher, B; Wu, S; Schwaerz, M; Fritzer, J; Zhang, S; Carter, BA; Zhang, K</t>
  </si>
  <si>
    <t>Li, Y.; Kirchengast, G.; Scherllin-Pirscher, B.; Wu, S.; Schwaerz, M.; Fritzer, J.; Zhang, S.; Carter, B. A.; Zhang, K.</t>
  </si>
  <si>
    <t>A new dynamic approach for statistical optimization of GNSS radio occultation bending angles for optimal climate monitoring utility</t>
  </si>
  <si>
    <t>GNSS Radio Occultation; Statistical Optimization; Dynamic Algorithm</t>
  </si>
  <si>
    <t>RESIDUAL IONOSPHERIC ERRORS; DATA ASSIMILATION SYSTEM; TO-END SIMULATIONS; ATMOSPHERIC PROFILES; EARTHS ATMOSPHERE; CHAMP; TEMPERATURE; REFRACTIVITY; VALIDATION; RETRIEVAL</t>
  </si>
  <si>
    <t>Global Navigation Satellite System (GNSS)-based radio occultation (RO) is a satellite remote sensing technique providing accurate profiles of the Earth's atmosphere for weather and climate applications. Above about 30km altitude, however, statistical optimization is a critical process for initializing the RO bending angles in order to optimize the climate monitoring utility of the retrieved atmospheric profiles. Here we introduce an advanced dynamic statistical optimization algorithm, which uses bending angles from multiple days of European Centre for Medium-range Weather Forecasts (ECMWF) short-range forecast and analysis fields, together with averaged-observed bending angles, to obtain background profiles and associated error covariance matrices with geographically varying background uncertainty estimates on a daily updated basis. The new algorithm is evaluated against the existing Wegener Center Occultation Processing System version 5.4 (OPSv5.4) algorithm, using several days of simulated MetOp and observed CHAMP and COSMIC data, for January and July conditions. We find the following for the new method's performance compared to OPSv5.4: 1.) it significantly reduces random errors (standard deviations), down to about half their size, and leaves less or about equal residual systematic errors (biases) in the optimized bending angles; 2.) the dynamic (daily) estimate of the background error correlation matrix alone already improves the optimized bending angles; 3.) the subsequently retrieved refractivity profiles and atmospheric (temperature) profiles benefit by improved error characteristics, especially above about 30km. Based on these encouraging results, we work to employ similar dynamic error covariance estimation also for the observed bending angles and to apply the method to full months and subsequently to entire climate data records.</t>
  </si>
  <si>
    <t>[Li, Y.; Wu, S.; Zhang, S.; Carter, B. A.; Zhang, K.] RMIT Univ, Satellite Positioning Atmosphere Climate &amp; Enviro, Melbourne, Vic, Australia; [Kirchengast, G.; Scherllin-Pirscher, B.; Schwaerz, M.; Fritzer, J.] Graz Univ, Wegener Ctr Climate &amp; Global Change WEGC, Graz, Austria; [Kirchengast, G.; Scherllin-Pirscher, B.; Schwaerz, M.; Fritzer, J.] Graz Univ, IGAM, IP, Graz, Austria</t>
  </si>
  <si>
    <t>Royal Melbourne Institute of Technology (RMIT); Melbourne Genomics Health Alliance; University of Graz; University of Graz</t>
  </si>
  <si>
    <t>Li, Y (corresponding author), RMIT Univ, Satellite Positioning Atmosphere Climate &amp; Enviro, Melbourne, Vic, Australia.</t>
  </si>
  <si>
    <t>lovewud123.ying.li@gmail.com</t>
  </si>
  <si>
    <t>Zhang, Kefei/R-5239-2019; zhang, ke/AAH-8217-2019; Carter, Brett/J-2224-2012; Kirchengast, Gottfried/D-4990-2016; Zhang, Shaocheng/C-9628-2012</t>
  </si>
  <si>
    <t>Carter, Brett/0000-0003-4881-3345; Kirchengast, Gottfried/0000-0001-9187-937X; Zhang, Shaocheng/0000-0002-5379-8293</t>
  </si>
  <si>
    <t>China Scholarship Council (CSC); Australian Space Research Program (ASRP2),; Australian Research Council (ARC) [LP0883288]; Australian Antarctic Science Program [AAS4159]; European Space Agency (ESA) project OPSGRAS; Austrian National Science Fund (FWF) at the WEGC side [P22293-N21, T620-N29]; Austrian Science Fund (FWF) [T 620] Funding Source: researchfish; Austrian Science Fund (FWF) [T620] Funding Source: Austrian Science Fund (FWF); Australian Research Council [LP0883288] Funding Source: Australian Research Council</t>
  </si>
  <si>
    <t>China Scholarship Council (CSC)(China Scholarship Council); Australian Space Research Program (ASRP2),; Australian Research Council (ARC)(Australian Research Council); Australian Antarctic Science Program; European Space Agency (ESA) project OPSGRAS; Austrian National Science Fund (FWF) at the WEGC side(Austrian Science Fund (FWF)); Austrian Science Fund (FWF)(Austrian Science Fund (FWF)); Austrian Science Fund (FWF)(Austrian Science Fund (FWF)); Australian Research Council(Australian Research Council)</t>
  </si>
  <si>
    <t>We thank M. Bonavita and S.B. Healy (ECMWF Reading, UK) for valuable advice related to ECMWF's analysis and forecast data and associated error characteristics. Y.L. acknowledges the China Scholarship Council (CSC) for providing a scholarship for studying at RMIT University. Furthermore, we acknowledge the funding support by the Australian Space Research Program (ASRP2), the Australian Research Council (ARC) (LP0883288), and the Australian Antarctic Science (AAS4159) Program projects endorsed to a research consortium led by SPACE, RMIT at the RMIT side, and the funding support by the European Space Agency (ESA) project OPSGRAS and the Austrian National Science Fund (FWF) projects BENCHCLIM (P22293-N21) and DYNOCC (T620-N29) at the WEGC side. We also thank UCAR/CDAAC for access to their RO excess phase and orbit data as well as ECMWF for access to their analysis and forecast data.</t>
  </si>
  <si>
    <t>10.1002/2013JD020763</t>
  </si>
  <si>
    <t>WOS:000330266500033</t>
  </si>
  <si>
    <t>Preunkert, S; Legrand, M; Pépy, G; Gallée, H; Jones, A; Jourdain, B</t>
  </si>
  <si>
    <t>Preunkert, Susanne; Legrand, Michel; Pepy, Guillaume; Gallee, Hubert; Jones, Anna; Jourdain, Bruno</t>
  </si>
  <si>
    <t>The atmospheric HCHO budget at Dumont d'Urville (East Antarctica): Contribution of photochemical gas-phase production versus snow emissions</t>
  </si>
  <si>
    <t>atmospheric HCHO; coastal Antarctica; oxidative capacity</t>
  </si>
  <si>
    <t>MARINE BOUNDARY-LAYER; HYDROGEN-PEROXIDE; FORMALDEHYDE MEASUREMENTS; CHEMISTRY; OH; VARIABILITY; RADICALS; SUMMIT; DIMETHYLSULFIDE; PHOTOOXIDATION</t>
  </si>
  <si>
    <t>HCHO was monitored throughout the year 2009 at the coastal East Antarctic site of Dumont d'Urville (DDU) using Aerolaser AL-4021 analyzers. The accurate determination of less than 100 pptv required optimization of the analyzers, in particular, to minimize effects of changing ambient temperatures. The impact of station activities and of the presence of large penguin colonies at the site in summer was scrutinized. The obtained contamination-free record indicates monthly means close to 50 pptv from May to September and a maximum of 200 pptv in January. Zero-dimensional and 2-D calculations suggest that in summer, the largest HCHO source is the gas-phase photochemistry (80%) mainly driven by methane oxidation, which is considerably greater than from snow emissions (20%). The influence of light alkenes, dimethyl sulfide, and halogens remains weak. In winter, snow emissions represent the main HCHO source (70%). These findings are compared to previous studies conducted at the West Antarctic coast. It is shown that in summer the HCHO production from methane chemistry is 3 times more efficient at DDU than at the west coast due to more frequent arrival of oxidant-rich air masses from inland Antarctica. Halogen chemistry is found to represent a weak HCHO sink at both West and East Antarctica. Compared to DDU, the shallower atmospheric boundary layer and the less efficient gas-phase production at the west coast make the snow pack the dominant HCHO source (85%) compared to gas-phase photochemistry (15%) there in summer.</t>
  </si>
  <si>
    <t>[Preunkert, Susanne; Legrand, Michel; Pepy, Guillaume; Gallee, Hubert; Jourdain, Bruno] UJF Grenoble 1, CNRS, Lab Glaciol &amp; Geophys Environm, FR-38041 Grenoble, France; [Jones, Anna] British Antarctic Survey, Nat Environm Res Council, Cambridge CB3 0ET, England</t>
  </si>
  <si>
    <t>Centre National de la Recherche Scientifique (CNRS); Communaute Universite Grenoble Alpes; Universite Grenoble Alpes (UGA); UK Research &amp; Innovation (UKRI); Natural Environment Research Council (NERC); NERC British Antarctic Survey</t>
  </si>
  <si>
    <t>Preunkert, S (corresponding author), UJF Grenoble 1, CNRS, Lab Glaciol &amp; Geophys Environm, UMR 5183, FR-38041 Grenoble, France.</t>
  </si>
  <si>
    <t>preunkert@lgge.obs.ujf-grenoble.fr</t>
  </si>
  <si>
    <t>Legrand, Michel/AAU-4678-2020</t>
  </si>
  <si>
    <t>Institut Polaire Francais-Paul Emile Victor (IPEV) [414]; Centre National de la Recherche Scientifique (INSU); OPALE project; ANR (Agence National de Recherche) [ANR-09-BLAN-0226]; Automatic Weather Station Program of AMRC; SSEC; UW-Madison; Agence Nationale de la Recherche (ANR) [ANR-09-BLAN-0226] Funding Source: Agence Nationale de la Recherche (ANR); Natural Environment Research Council [bas0100024] Funding Source: researchfish; NERC [bas0100024] Funding Source: UKRI</t>
  </si>
  <si>
    <t>Institut Polaire Francais-Paul Emile Victor (IPEV); Centre National de la Recherche Scientifique (INSU); OPALE project; ANR (Agence National de Recherche)(Agence Nationale de la Recherche (ANR)); Automatic Weather Station Program of AMRC; SSEC; UW-Madison; Agence Nationale de la Recherche (ANR)(Agence Nationale de la Recherche (ANR)); Natural Environment Research Council(UK Research &amp; Innovation (UKRI)Natural Environment Research Council (NERC)); NERC(UK Research &amp; Innovation (UKRI)Natural Environment Research Council (NERC))</t>
  </si>
  <si>
    <t>National financial support and field logistic supplies were provided by Institut Polaire Francais-Paul Emile Victor (IPEV) within program No 414. This work was also partly funded by the Centre National de la Recherche Scientifique (INSU) and the OPALE project supported by the ANR (Agence National de Recherche, contract ANR-09-BLAN-0226). The authors thank Andrea Pazmino (LATMOS, CNRS) for providing the UVB data and Meteo France for global irradiance and other basic meteorological parameters. Thanks to the Natural Environment Research Council (NERC) for the open access to the CHABLIS data, to Bill Bloss and Phil Anderson for useful discussions. Likewise, thanks a lot to Katja Riedel and Rolf Weller for discussions on NM data and to Tobias Deparade from AEROLASER company for providing useful technical details on the AL-4021 analyzer. The authors gratefully acknowledge the NOAA Air Resources Laboratory (ARL) for the availability of the HYSPLIT model. Thanks also to the Chemical Processing and Regional Modeling research group (CPRM) of the National Center of Atmospheric Research (NCAR) for the open accessibility of their Tropospheric Ultraviolet and Visible radiative transfer column model. Thanks to the Global Monitoring Division of the Earth System Research Laboratory (ESRL) for the open access to CH4 data from Syowa Station. SAOZ data used in this publication were obtained as part of the Network for the Detection of Atmospheric Composition Change (NDACC) available at http://www.ndacc.org. Thanks to the Physical Sciences Division of the NOAA/OAR/ESRL PSD, Boulder, Colorado, USA, for NOAA_OI_SST_V2 sea ice data. The authors appreciate the support of the Automatic Weather Station Program of AMRC, SSEC, and UW-Madison. Thanks to the THERMAP research team of National Snow and Ice Data Center (NSIDC) CIRES, 449 UCB University of Colorado, Boulder, for giving open access to annual mean temperature data over the Antarctic ice sheet.</t>
  </si>
  <si>
    <t>10.1002/2013JD019864</t>
  </si>
  <si>
    <t>WOS:000330266500019</t>
  </si>
  <si>
    <t>Gerum, RC; Fabry, B; Metzner, C; Beaulieu, M; Ancel, A; Zitterbart, DP</t>
  </si>
  <si>
    <t>Gerum, R. C.; Fabry, B.; Metzner, C.; Beaulieu, M.; Ancel, A.; Zitterbart, D. P.</t>
  </si>
  <si>
    <t>The origin of traveling waves in an emperor penguin huddle</t>
  </si>
  <si>
    <t>NEW JOURNAL OF PHYSICS</t>
  </si>
  <si>
    <t>COLLECTIVE BEHAVIOR; TRANSITION; DYNAMICS; MODEL</t>
  </si>
  <si>
    <t>Emperor penguins breed during the Antarctic winter and have to endure temperatures as low as -50 degrees C and wind speeds of up to 200 km h(-1). To conserve energy, they form densely packed huddles with a triangular lattice structure. Video recordings from previous studies revealed coordinated movements in regular wave-like patterns within these huddles. It is thought that these waves are triggered by individual penguins that locally disturb the huddle structure, and that the traveling wave serves to remove the lattice defects and restore order. The mechanisms that govern wave propagation are currently unknown, however. Moreover, it is unknown if the waves are always triggered by the same penguin in a huddle. Here, we present a model in which the observed wave patterns emerge from simple rules involving only the interactions between directly neighboring individuals, similar to the interaction rules found in other jammed systems, e.g. between cars in a traffic jam. Our model predicts that a traveling wave can be triggered by a forward step of any individual penguin located within a densely packed huddle. This prediction is confirmed by optical flow velocimetry of the video recordings of emperor penguins in their natural habitat.</t>
  </si>
  <si>
    <t>[Gerum, R. C.; Fabry, B.; Metzner, C.; Zitterbart, D. P.] Univ Erlangen Nurnberg, Dept Phys, Nurnberg, Germany; [Beaulieu, M.] Univ Greifswald, Museum &amp; Inst Zool, D-17489 Greifswald, Germany; [Ancel, A.] Univ Strasbourg, Inst Pluridisciplinaire Hubert Curien, F-67087 Strasbourg, France; [Ancel, A.] CNRS, UMR 7178, F-67037 Strasbourg, France; [Zitterbart, D. P.] Alfred Wegener Inst Helmholtz Zentrum Polar &amp; Mee, Bremerhaven, Germany</t>
  </si>
  <si>
    <t>University of Erlangen Nuremberg; Universitat Greifswald; Universites de Strasbourg Etablissements Associes; Universite de Strasbourg; Universites de Strasbourg Etablissements Associes; Universite de Strasbourg; Centre National de la Recherche Scientifique (CNRS); CNRS - National Institute of Nuclear and Particle Physics (IN2P3); Helmholtz Association; Alfred Wegener Institute, Helmholtz Centre for Polar &amp; Marine Research</t>
  </si>
  <si>
    <t>Gerum, RC (corresponding author), Univ Erlangen Nurnberg, Dept Phys, Nurnberg, Germany.</t>
  </si>
  <si>
    <t>rgerum@biomed.uni-erlangen.de; daniel.zitterbart@awi.de</t>
  </si>
  <si>
    <t>Zitterbart, Daniel P/N-7489-2013; Fabry, Ben/C-5496-2013; Gerum, Richard Carl/AAW-8732-2021; Metzner, Claus/D-9707-2013; Beaulieu, Michaël/A-5261-2011</t>
  </si>
  <si>
    <t>Fabry, Ben/0000-0003-1737-0465; Gerum, Richard Carl/0000-0001-5893-2650; Beaulieu, Michaël/0000-0002-9948-269X; Zitterbart, Daniel/0000-0001-9429-4350</t>
  </si>
  <si>
    <t>Institut Polaire Francais Paul-Emile Victor; Terres Australes et Antarctiques Francaises; DFG [FA336/5-1]</t>
  </si>
  <si>
    <t>Institut Polaire Francais Paul-Emile Victor; Terres Australes et Antarctiques Francaises; DFG(German Research Foundation (DFG))</t>
  </si>
  <si>
    <t>Field work at Durmont d'Urville during the winter of 2005 was financially and logistically supported by the Institut Polaire Francais Paul-Emile Victor and the Terres Australes et Antarctiques Francaises. We also thank Yvon Le Maho, Celine Le Bohec, Achim Schilling and Adalbert Fono for encouragement, support and valuable discussions. This work was supported by DFG grant FA336/5-1.</t>
  </si>
  <si>
    <t>IOP Publishing Ltd</t>
  </si>
  <si>
    <t>1367-2630</t>
  </si>
  <si>
    <t>NEW J PHYS</t>
  </si>
  <si>
    <t>New J. Phys.</t>
  </si>
  <si>
    <t>10.1088/1367-2630/15/12/125022</t>
  </si>
  <si>
    <t>286BM</t>
  </si>
  <si>
    <t>WOS:000329439500002</t>
  </si>
  <si>
    <t>Jarman, SN; McInnes, JC; Faux, C; Polanowski, AM; Marthick, J; Deagle, BE; Southwell, C; Emmerson, L</t>
  </si>
  <si>
    <t>Jarman, Simon N.; McInnes, Julie C.; Faux, Cassandra; Polanowski, Andrea M.; Marthick, James; Deagle, Bruce E.; Southwell, Colin; Emmerson, Louise</t>
  </si>
  <si>
    <t>Adelie Penguin Population Diet Monitoring by Analysis of Food DNA in Scats</t>
  </si>
  <si>
    <t>BECHERVAISE-ISLAND; TEMPORAL VARIATION; MARINE ECOSYSTEM; FORAGING EFFORT; PREY DNA; KRILL; INDICATORS; PREDATION; IDENTIFICATION; AMPLIFICATION</t>
  </si>
  <si>
    <t>The Adelie penguin is the most important animal currently used for ecosystem monitoring in the Southern Ocean. The diet of this species is generally studied by visual analysis of stomach contents; or ratios of isotopes of carbon and nitrogen incorporated into the penguin from its food. There are significant limitations to the information that can be gained from these methods. We evaluated population diet assessment by analysis of food DNA in scats as an alternative method for ecosystem monitoring with Adelie penguins as an indicator species. Scats were collected at four locations, three phases of the breeding cycle, and in four different years. A novel molecular diet assay and bioinformatics pipeline based on nuclear small subunit ribosomal RNA gene (SSU rDNA) sequencing was used to identify prey DNA in 389 scats. Analysis of the twelve population sample sets identified spatial and temporal dietary change in Adelie penguin population diet. Prey diversity was found to be greater than previously thought. Krill, fish, copepods and amphipods were the most important food groups, in general agreement with other Adelie penguin dietary studies based on hard part or stable isotope analysis. However, our DNA analysis estimated that a substantial portion of the diet was gelatinous groups such as jellyfish and comb jellies. A range of other prey not previously identified in the diet of this species were also discovered. The diverse prey identified by this DNA-based scat analysis confirms that the generalist feeding of Adelie penguins makes them a useful indicator species for prey community composition in the coastal zone of the Southern Ocean. Scat collection is a simple and non-invasive field sampling method that allows DNA-based estimation of prey community differences at many temporal and spatial scales and provides significant advantages over alternative diet analysis approaches.</t>
  </si>
  <si>
    <t>[Jarman, Simon N.; McInnes, Julie C.; Faux, Cassandra; Polanowski, Andrea M.; Deagle, Bruce E.; Southwell, Colin; Emmerson, Louise] Australian Antarctic Div, Kingston, Tas, Australia; [Marthick, James] Menzies Res Inst Tasmania, Hobart, Tas, Australia</t>
  </si>
  <si>
    <t>Australian Antarctic Division; University of Tasmania</t>
  </si>
  <si>
    <t>Jarman, SN (corresponding author), Australian Antarctic Div, Kingston, Tas, Australia.</t>
  </si>
  <si>
    <t>simon.jarman@aad.gov.au</t>
  </si>
  <si>
    <t>Deagle, Bruce E/R-2999-2019; McInnes, Julie C/C-2865-2014; Jarman, Simon/H-9265-2016</t>
  </si>
  <si>
    <t>Deagle, Bruce E/0000-0001-7651-3687; McInnes, Julie/0000-0001-8902-5199; Polanowski, Andrea/0000-0002-9612-220X; Jarman, Simon/0000-0002-0792-9686</t>
  </si>
  <si>
    <t>Australian Antarctic Science projects [2926, 4014, 2722, 4088]</t>
  </si>
  <si>
    <t>Australian Antarctic Science projects</t>
  </si>
  <si>
    <t>This work was funded by Australian Antarctic Science projects numbers 2926, 4014, 2722 and 4088. The funders had no role in study design, data collection and analysis, decision to publish, or preparation of the manuscript.</t>
  </si>
  <si>
    <t>e82227</t>
  </si>
  <si>
    <t>10.1371/journal.pone.0082227</t>
  </si>
  <si>
    <t>276GD</t>
  </si>
  <si>
    <t>gold, Green Published, Green Accepted, Green Submitted</t>
  </si>
  <si>
    <t>WOS:000328735700047</t>
  </si>
  <si>
    <t>Goutte, A; Chevreuil, M; Alliot, F; Chastel, O; Cherel, Y; Eléaume, M; Massé, G</t>
  </si>
  <si>
    <t>Goutte, A.; Chevreuil, M.; Alliot, F.; Chastel, O.; Cherel, Y.; Eleaume, M.; Masse, G.</t>
  </si>
  <si>
    <t>Persistent organic pollutants in benthic and pelagic organisms off Adelie Land, Antarctica</t>
  </si>
  <si>
    <t>MARINE POLLUTION BULLETIN</t>
  </si>
  <si>
    <t>Polar ecosystem; Persistent organic pollutants; Echinoderm; Fish; Krill; Seabird</t>
  </si>
  <si>
    <t>POLYBROMINATED DIPHENYL ETHERS; BROMINATED FLAME RETARDANTS; CHLORINATED BIPHENYLS; MCMURDO SOUND; TERRE-ADELIE; LAKE TROUT; FOOD-WEB; SEA; WATER; SEABIRDS</t>
  </si>
  <si>
    <t>The concentrations of polychlorinated biphenyls (PCB), hexachlorobenzene (HCB), pentachlorobenzene (PeCB) and polybrominated diphenylethers (PBDE) were described in benthic and pelagic species collected off Adelie Land, Antarctica. Strong differences were observed among species, with reduced PeCB and HCB levels in benthic species, and elevated PCB levels in the Antarctic yellowbelly rockcod, the Antarctic sea urchin and the snow petrel. Lower-chlorinated congeners were predominant in krill; penta-PCBs in benthic organisms; hexa- and hepta-PCBs in seabirds and cryopelagic fish. This segregation may result from sedimentation process, specific accumulation and excretion, and/or biotransformation processes. The presence of PBDEs in Antarctic coastal organisms may originate from atmospheric transport and partly from a contamination by local sources. Although POP levels in Antarctic marine organisms were substantially lower than in Arctic and temperate organisms, very little is known about their toxic effects on these cold-adapted species, with high degree of endemism. (C) 2013 Elsevier Ltd. All rights reserved.</t>
  </si>
  <si>
    <t>[Goutte, A.; Masse, G.] Univ Paris 06, UMR7159, LOCEAN IPSL, F-75005 Paris, France; [Chevreuil, M.; Alliot, F.] Univ Paris 06, UMR Sisyphe, Ecole Prat Hautes Etud, Lab Hydrol Environm, F-75005 Paris, France; [Goutte, A.; Chastel, O.; Cherel, Y.] CNRS UPR 1934, Ctr Etud Biol Chize, F-79360 Villiers En Bois, France; [Eleaume, M.] Museum Natl Hist Nat, Dept Milieux &amp; Peuplements Aquat, UMR BOREA 7208, F-75231 Paris 05, France; [Masse, G.] Univ Laval, CNRS UMI3376, TAKUVIK, Quebec City, PQ G1V 0A6, Canada</t>
  </si>
  <si>
    <t>Museum National d'Histoire Naturelle (MNHN); Sorbonne Universite; Centre National de la Recherche Scientifique (CNRS); CNRS - National Institute for Earth Sciences &amp; Astronomy (INSU); Sorbonne Universite; Universite PSL; Ecole Pratique des Hautes Etudes (EPHE); Centre National de la Recherche Scientifique (CNRS); Centre National de la Recherche Scientifique (CNRS); CNRS - Institute of Ecology &amp; Environment (INEE); Institut de Recherche pour le Developpement (IRD); Museum National d'Histoire Naturelle (MNHN); Sorbonne Universite; Laval University</t>
  </si>
  <si>
    <t>Goutte, A (corresponding author), Univ Paris 06, UMR7159, LOCEAN IPSL, F-75005 Paris, France.</t>
  </si>
  <si>
    <t>goutte@cebc.cnrs.fr</t>
  </si>
  <si>
    <t>Goutte, Aurelie/JZT-6808-2024; Goutte, Aurelie/F-7572-2017</t>
  </si>
  <si>
    <t>Goutte, Aurelie/0000-0001-8322-5843</t>
  </si>
  <si>
    <t>European Research Council [ERC StG 203441]; French Polar Institute [1010, 1124, 1039, 109]; ANR project POLARTOP [ANR-10-CESA-0016]; Agence Nationale de la Recherche (ANR) [ANR-10-CESA-0016] Funding Source: Agence Nationale de la Recherche (ANR)</t>
  </si>
  <si>
    <t>European Research Council(European Research Council (ERC)); French Polar Institute; ANR project POLARTOP(Agence Nationale de la Recherche (ANR)); Agence Nationale de la Recherche (ANR)(Agence Nationale de la Recherche (ANR))</t>
  </si>
  <si>
    <t>The authors thank the European Research Council (ERC StG 203441, G. Masse), the French Polar Institute (Research Programs No. 1010, G. Masse; No. 1124: G. Lecointre; No. 1039: J.Y. Toullec and No. 109: H. Weimerskirch) and the ANR project POLARTOP (ANR-10-CESA-0016, O. Chastel). We thank S. de Grissac and C. Robineau for their help in collecting biological samples, as well as A. Desportes and S. Labrousse for their excellent technical assistance in chemical analyses.</t>
  </si>
  <si>
    <t>0025-326X</t>
  </si>
  <si>
    <t>1879-3363</t>
  </si>
  <si>
    <t>MAR POLLUT BULL</t>
  </si>
  <si>
    <t>Mar. Pollut. Bull.</t>
  </si>
  <si>
    <t>DEC 15</t>
  </si>
  <si>
    <t>10.1016/j.marpolbul.2013.10.027</t>
  </si>
  <si>
    <t>292FW</t>
  </si>
  <si>
    <t>WOS:000329888600024</t>
  </si>
  <si>
    <t>Kelley, SE; Briner, JP; Young, NE</t>
  </si>
  <si>
    <t>Kelley, Samuel E.; Briner, Jason P.; Young, Nicolas E.</t>
  </si>
  <si>
    <t>Rapid ice retreat in Disko Bugt supported by 10Be dating of the last recession of the western Greenland Ice Sheet</t>
  </si>
  <si>
    <t>Greenland Ice Sheet; Disko Bugt; Be-10 dating; Ice dynamics; Retreat rates</t>
  </si>
  <si>
    <t>PRODUCTION-RATE CALIBRATION; RELATIVE SEA-LEVEL; JAKOBSHAVN ISBRAE; DEGLACIAL HISTORY; HOLOCENE HISTORY; OUTLET GLACIERS; TEMPERATURE; CHRONOLOGY; VARIABILITY; COLLAPSE</t>
  </si>
  <si>
    <t>Due to rising sea levels and warming ocean currents, marine-based sectors of the Greenland and Antarctic ice sheets are particularly vulnerable to warming climate. Reconstructions of the timing of marine-based ice margin fluctuations in Greenland during the early Holocene can provide context for historical and modern observations of ice-sheet change. Here, we generate a Be-10 chronology of ice-sheet retreat through Disko Bugt, western Greenland. Our new chronology, consisting of twelve 10Be ages from sites surrounding and within Disko Bugt, fills a gap in the history of the western margin of the Greenland Ice Sheet and allows for a continuous composite record of ice-margin recession between the continental shelf break and the current margin. We constrain the onset of ice-margin retreat from outer Disko Bugt to 10.8 +/- 0.5 ka. When combined with previous chronologies, these results place the final Greenland Ice Sheet retreat out of Disko Bugt onto land at Jakobshavn Isfjord and Qasigiaanguit at 10.1 +/- 0.3 ka, and later at 9.2 +/- 0.1 ka in southeastern Disko Bugt. The rate of retreat during this time period is between similar to 50-450 m a(-1) for central Disko Bugt and similar to 50-70 m a(-1) along the southern coast of Disko Bugt. Deglaciation of Disko Bugt occurred 1000 years later than in neighboring Uummannaq Fjord to the north. This asynchrony in the timing of deglaciation suggests that local ice dynamics played an important role in the retreat of the Greenland Ice Sheet from large marine embayments in western Greenland. (C) 2013 Elsevier Ltd. All rights reserved.</t>
  </si>
  <si>
    <t>[Kelley, Samuel E.; Briner, Jason P.] SUNY Buffalo, Dept Geol, Buffalo, NY 14260 USA; [Young, Nicolas E.] Lamont Doherty Earth Observ, Palisades, NY 10904 USA</t>
  </si>
  <si>
    <t>State University of New York (SUNY) System; State University of New York (SUNY) Buffalo; Columbia University</t>
  </si>
  <si>
    <t>Kelley, SE (corresponding author), SUNY Buffalo, Dept Geol, Cooke 411, Buffalo, NY 14260 USA.</t>
  </si>
  <si>
    <t>samuelke@buffalo.edu</t>
  </si>
  <si>
    <t>Kelley, Samuel/AAT-7445-2020; briner, jason/JDM-4641-2023</t>
  </si>
  <si>
    <t>Kelley, Samuel/0000-0001-9214-0577</t>
  </si>
  <si>
    <t>Geologic Society of America graduate student grant; U.S. National Science Foundation Program of Geography and Spatial Science [NSF-1156361]; Division Of Behavioral and Cognitive Sci; Direct For Social, Behav &amp; Economic Scie [1156361] Funding Source: National Science Foundation</t>
  </si>
  <si>
    <t>Geologic Society of America graduate student grant; U.S. National Science Foundation Program of Geography and Spatial Science; Division Of Behavioral and Cognitive Sci; Direct For Social, Behav &amp; Economic Scie(National Science Foundation (NSF)NSF - Directorate for Social, Behavioral &amp; Economic Sciences (SBE))</t>
  </si>
  <si>
    <t>This work greatly benefitted from high precision 10Be measurements from Lawrence Livermore National Laboratory by Susan Zimmerman and Robert Finkel. We appreciate laboratory assistance from Michael Badding and Sarah Lavin. We are grateful for the reviews of A. Jennings and A. Hughes, whose comments improved this manuscript. This research was funded by a Geologic Society of America graduate student grant and grant NSF-1156361 from the U.S. National Science Foundation Program of Geography and Spatial Science.</t>
  </si>
  <si>
    <t>10.1016/j.quascirev.2013.09.018</t>
  </si>
  <si>
    <t>293EN</t>
  </si>
  <si>
    <t>WOS:000329954300002</t>
  </si>
  <si>
    <t>Hunter, SJ; Haywood, AM; Valdes, PJ; Francis, JE; Pound, MJ</t>
  </si>
  <si>
    <t>Hunter, S. J.; Haywood, A. M.; Valdes, P. J.; Francis, J. E.; Pound, M. J.</t>
  </si>
  <si>
    <t>Modelling equable climates of the Late Cretaceous: Can new boundary conditions resolve data-model discrepancies?</t>
  </si>
  <si>
    <t>PALAEOGEOGRAPHY PALAEOCLIMATOLOGY PALAEOECOLOGY</t>
  </si>
  <si>
    <t>Late Cretaceous; Maastrichtian; HadCM3; Equable climates</t>
  </si>
  <si>
    <t>PLIOMIP EXPERIMENTAL-DESIGN; EARLY EOCENE; CONTINENTAL INTERIOR; ATMOSPHERIC CO2; HIGH-LATITUDES; SOUTH ISLAND; PART I; VEGETATION; PLIOCENE; VARIABILITY</t>
  </si>
  <si>
    <t>Late Cretaceous (Maastrichtian) climate and vegetation is modelled using the HadCM3L fully-coupled atmosphere-ocean model and the TRIFFID dynamic vegetation model. We investigate data-model inconsistencies in the high-latitudes and continental interiors by exploring the sensitivity of modelled terrestrial climate to vegetation treatment, changing atmospheric pCO(2) levels and the representation of Arctic seaway connections. We expand on previous work by using millennial-scale GCM runs with dynamic vegetation to allow for improved representations of ocean heat transport and terrestrial boundary conditions. Incorporating realistic vegetation drives high-latitude warming particularly during summer through reductions in surface albedo and induced atmosphere-ocean feedbacks. Resulting regional warming can exceed 10 degrees C. As pCO(2) rises some regions cool as deciduous to evergreen change increases albedo. Incorporating enhanced Arctic connectivity, reconfigured ocean heat transport drives widespread terrestrial warming of similar to 3 degrees C and &gt;5 degrees C regionally. Applying sensitivities in combination significant palaeobotanical data-model inconsistencies in the northern high-latitudes and continental interiors remain. Further work is required to resolve climate and vegetation model deficiencies and improve the interpretation and geographic distribution of quantitative climate-sensitive geological proxies. (C) 2013 Elsevier B.V. All rights reserved.</t>
  </si>
  <si>
    <t>[Hunter, S. J.; Haywood, A. M.; Francis, J. E.] Univ Leeds, Sch Earth &amp; Environm, Leeds LS2 9JT, W Yorkshire, England; [Valdes, P. J.] Univ Bristol, Sch Geog Sci, Bristol BS8 1SS, Avon, England; [Pound, M. J.] Northumbria Univ, Sch Built &amp; Nat Environm, Newcastle Upon Tyne NE1 8ST, Tyne &amp; Wear, England</t>
  </si>
  <si>
    <t>University of Leeds; University of Bristol; Northumbria University</t>
  </si>
  <si>
    <t>Hunter, SJ (corresponding author), Univ Leeds, Sch Earth &amp; Environm, Leeds LS2 9JT, W Yorkshire, England.</t>
  </si>
  <si>
    <t>S.Hunter@leeds.ac.uk</t>
  </si>
  <si>
    <t>Valdes, Paul J/C-4129-2013; Valdes, Paul/T-2004-2019</t>
  </si>
  <si>
    <t>Valdes, Paul/0000-0002-1902-3283; Pound, Matthew/0000-0001-8029-9548</t>
  </si>
  <si>
    <t>NERC [6/28]; Natural Environment Research Council [NE/C506399/1, NE/J008591/1, NE/I00582X/2, NE/I005803/1] Funding Source: researchfish; NERC [NE/I00582X/2, NE/J008591/1, NE/I005803/1] Funding Source: UKRI</t>
  </si>
  <si>
    <t>NERC(UK Research &amp; Innovation (UKRI)Natural Environment Research Council (NERC)); Natural Environment Research Council(UK Research &amp; Innovation (UKRI)Natural Environment Research Council (NERC)); NERC(UK Research &amp; Innovation (UKRI)Natural Environment Research Council (NERC))</t>
  </si>
  <si>
    <t>SJH would like to thank Prof. Robert Spicer and an anonymous reviewer for their invaluable insight and constructive comments. This paper is a product of a NERC funded Antarctic Funding Initiative (AFI) grant (project number 6/28 - Terminal Cretaceous Climate Change and Biotic Response on Antarctica).</t>
  </si>
  <si>
    <t>0031-0182</t>
  </si>
  <si>
    <t>1872-616X</t>
  </si>
  <si>
    <t>PALAEOGEOGR PALAEOCL</t>
  </si>
  <si>
    <t>Paleogeogr. Paleoclimatol. Paleoecol.</t>
  </si>
  <si>
    <t>10.1016/j.palaeo.2013.08.009</t>
  </si>
  <si>
    <t>Geography, Physical; Geosciences, Multidisciplinary; Paleontology</t>
  </si>
  <si>
    <t>Physical Geography; Geology; Paleontology</t>
  </si>
  <si>
    <t>300UB</t>
  </si>
  <si>
    <t>WOS:000330488400004</t>
  </si>
  <si>
    <t>He, J; Zhao, MX; Wang, PX; Li, L; Li, QY</t>
  </si>
  <si>
    <t>He, Juan; Zhao, Meixun; Wang, Pinxian; Li, Li; Li, Qianyu</t>
  </si>
  <si>
    <t>Changes in phytoplankton productivity and community structure in the northern South China Sea during the past 260 ka</t>
  </si>
  <si>
    <t>Biomarker; Phytoplankton productivity; Phytoplankton community structure; South China Sea; East Asian Monsoon</t>
  </si>
  <si>
    <t>EAST-ASIAN MONSOON; SURFACE TEMPERATURE; DEEP-WATER; MILLENNIAL-SCALE; SPECIES COMPOSITION; BIOMARKER RECORDS; LATE PLEISTOCENE; ORGANIC-CARBON; ARABIAN SEA; ISOTOPE</t>
  </si>
  <si>
    <t>A high-resolution molecular organic geochemical study of core MD05-2904 reveals changes in the productivity and community structure of paleo-phytoplankton during the last 260 ka in the northern South China Sea (SCS). Multiple biomarkers, including C-37 alkenones, dinosterol, brassicasterol and C-30 diols, are used as representatives of haptophytes, dinoflagellates, diatoms and eustigmatophytes, respectively. The abundances and mass accumulation rates of biomarkers indicate that phytoplankton productivity was relatively higher during glacial periods than during interglacial periods. However, the phytoplankton community structure, inferred from the relative abundance of biomarkers, does not display any evident glacial/interglacial cycles. In agreement with previous studies, our results also suggest a linkage between the increased paleo-productivity and the enhanced East Asian winter monsoon in the glacial northern SCS. The relatively stable PCS may reflect a lack of sensitivity of the phytoplanktonic groups to variations of nutrient composition on glacial/interglacial and shorter time scales. A long-term decrease in the C-37 alkenone abundance since MIS 5 might have been related to the increasing influence of the northward intrusion of Antarctic Intermediate Water and/or sub-Antarctic Mode Water on the SCS thermocline waters. Moreover, the evolution of alkenone producers and changes in the coccolithophore genera on C-37 alkenones might also have contributed to the long-term decrease in the C-37 alkenone abundance. (C) 2013 Elsevier B.V. All rights reserved.</t>
  </si>
  <si>
    <t>[He, Juan; Wang, Pinxian; Li, Li; Li, Qianyu] Tongji Univ, State Key Lab Marine Geol, Shanghai 200092, Peoples R China; [Zhao, Meixun] Ocean Univ China, Key Lab Marine Chem Theory &amp; Technol, Minist Educ, Collaborat Innovat Ctr Marine Sci &amp; Technol, Qingdao 266100, Peoples R China; [Li, Qianyu] Univ Adelaide, Sch Earth &amp; Environm Sci, Adelaide, SA 5005, Australia</t>
  </si>
  <si>
    <t>Tongji University; Ocean University of China; University of Adelaide</t>
  </si>
  <si>
    <t>He, J (corresponding author), Tongji Univ, State Key Lab Marine Geol, Shanghai 200092, Peoples R China.</t>
  </si>
  <si>
    <t>hj08@tongji.edu.cn</t>
  </si>
  <si>
    <t>Li, Kexin/KAO-2519-2024; li, qianyu/GXV-6594-2022</t>
  </si>
  <si>
    <t>National Basic Research Program of China [2007CB815902, 2013CB955703]; National Natural Science Foundation of China [40906026, 41076017, 41376046, 91228203]</t>
  </si>
  <si>
    <t>National Basic Research Program of China(National Basic Research Program of China); National Natural Science Foundation of China(National Natural Science Foundation of China (NSFC))</t>
  </si>
  <si>
    <t>The samples used in this study were retrieved during the IMAGES XIV, MD-155-Marco Polo 2 cruise of the R/V Marion Dufresne of the French Polar Institute (IPEV). This study was supported by the National Basic Research Program of China (Grant nos. 2007CB815902 and 2013CB955703) and the National Natural Science Foundation of China (Grant nos. 40906026, 41076017, 41376046, and 91228203). We thank Wang Hui for her technical assistance.</t>
  </si>
  <si>
    <t>10.1016/j.palaeo.2013.09.010</t>
  </si>
  <si>
    <t>WOS:000330488400023</t>
  </si>
  <si>
    <t>Chase, BM; Boom, A; Carr, AS; Meadows, ME; Reimer, PJ</t>
  </si>
  <si>
    <t>Chase, Brian M.; Boom, Arnoud; Carr, Andrew S.; Meadows, Michael E.; Reimer, Paula J.</t>
  </si>
  <si>
    <t>Holocene climate change in southernmost South Africa: rock hyrax middens record shifts in the southern westerlies</t>
  </si>
  <si>
    <t>Quaternary; Palaeoclimatology; South Africa; Holocene; Rock hyrax midden; Stable isotopes; Westerlies</t>
  </si>
  <si>
    <t>WINTER-RAINFALL ZONE; ATMOSPHERIC CO2; AGULHAS CURRENT; SEA-ICE; VARIABILITY; CARBON; DISTRIBUTIONS; CIRCULATION; SEDIMENTS; ISOTOPES</t>
  </si>
  <si>
    <t>South Africa's southern coastal margin is recognised as being a highly dynamic climatic region that plays a critical role in both regional and global atmospheric and oceanic circulation dynamics. Our understanding of the past dynamics of this system, however, has been limited by the number and nature of datasets available that can be used to infer changes in key climatic parameters in the region. In this paper we present new high resolution delta C-13 and delta N-15 data from two independently dated rock hyrax (Procavia capensis) middens from Seweweekspoort in South Africa's Groot Swartberg mountains. These data provide information regarding both past vegetation and hydroclimatic change, and allow a regional integration of available data that explore the long-term dynamics of mid-latitude circulation systems in the African sector of the Southern Hemisphere. Combined, a negative relationship is apparent between temperature and humidity in this area of the southern Cape, and these changes can for the first time be clearly linked to variations in Antarctic sea-ice extent and shifts in the southern westerly storm track. This dynamic is particularly evident between 5 and 7 cal kBP, when a reduction in sea-ice extent and a southward shift of the westerlies are manifested regionally by increased temperatures and a phase of marked aridity. (C) 2013 Elsevier Ltd. All rights reserved.</t>
  </si>
  <si>
    <t>[Chase, Brian M.] Univ Montpellier 2, CNRS, UMR 5554, Inst Sci Evolut Montpellier, F-34095 Montpellier 5, France; [Chase, Brian M.] Univ Bergen, Dept Archaeol Hist Culture &amp; Relig, N-5020 Bergen, Norway; [Boom, Arnoud; Carr, Andrew S.] Univ Leicester, Dept Geog, Leicester LE1 7RH, Leics, England; [Meadows, Michael E.] Univ Cape Town, Dept Environm &amp; Geog Sci, ZA-7701 Rondebosch, South Africa; [Reimer, Paula J.] Queens Univ Belfast, Sch Geog Archaeol &amp; Palaeoecol, Belfast BT7 1NN, Antrim, North Ireland</t>
  </si>
  <si>
    <t>Centre National de la Recherche Scientifique (CNRS); CNRS - Institute of Ecology &amp; Environment (INEE); Institut de Recherche pour le Developpement (IRD); Universite de Montpellier; University of Bergen; University of Leicester; University of Cape Town; Queens University Belfast</t>
  </si>
  <si>
    <t>Chase, BM (corresponding author), Univ Montpellier 2, CNRS, UMR 5554, Inst Sci Evolut Montpellier, Bat 22,CC061,Pl Eugene Bataillon, F-34095 Montpellier 5, France.</t>
  </si>
  <si>
    <t>brian.chase@ahkr.uib.no</t>
  </si>
  <si>
    <t>Meadows, Michael E/AAH-2461-2020; Reimer, Paula/I-5915-2015; Chase, Brian/A-1202-2010</t>
  </si>
  <si>
    <t>Meadows, Michael E/0000-0001-8322-3055; Carr, Andrew/0000-0001-5794-6428; Reimer, Paula/0000-0001-9238-2146; Boom, Arnoud/0000-0003-1299-691X; Chase, Brian/0000-0001-6987-1291</t>
  </si>
  <si>
    <t>European Research Council (ERC) under the European Union's Seventh Framework Programme/ERC Starting Grant HYRAX [258657]</t>
  </si>
  <si>
    <t>European Research Council (ERC) under the European Union's Seventh Framework Programme/ERC Starting Grant HYRAX(European Research Council (ERC))</t>
  </si>
  <si>
    <t>Funding was received from the European Research Council (ERC) under the European Union's Seventh Framework Programme (FP7/2007-2013)/ERC Starting Grant HYRAX, grant agreement no. 258657. We would like to thank Matthew Britton and Ian Newton for assistance in collecting and analysing the material.</t>
  </si>
  <si>
    <t>1873-457X</t>
  </si>
  <si>
    <t>10.1016/j.quascirev.2013.10.018</t>
  </si>
  <si>
    <t>WOS:000329954300014</t>
  </si>
  <si>
    <t>Rohling, EJ; Haigh, ID; Foster, GL; Roberts, AP; Grant, KM</t>
  </si>
  <si>
    <t>Rohling, Eelco J.; Haigh, Ivan D.; Foster, Gavin L.; Roberts, Andrew P.; Grant, Katharine M.</t>
  </si>
  <si>
    <t>A geological perspective on potential future sea-level rise</t>
  </si>
  <si>
    <t>SCIENTIFIC REPORTS</t>
  </si>
  <si>
    <t>ICE-SHEET; CLIMATE-CHANGE; GLOBAL TEMPERATURE; VOLUME; CONSTRAINTS; VARIABILITY; COLLAPSE; IMPACT</t>
  </si>
  <si>
    <t>During ice-age cycles, continental ice volume kept pace with slow, multi-millennial scale, changes in climate forcing. Today, rapid greenhouse gas (GHG) increases have outpaced ice-volume responses, likely committing us to &gt; 9 m of long-term sea-level rise (SLR). We portray a context of naturally precedented SLR from geological evidence, for comparison with historical observations and future projections. This context supports SLR of up to 0.9 (1.8) m by 2100 and 2.7 (5.0) m by 2200, relative to 2000, at 68% (95%) probability. Historical SLR observations and glaciological assessments track the upper 68% limit. Hence, modern change is rapid by past interglacial standards but within the range of 'normal' processes. The upper 95% limit offers a useful low probability/high risk value. Exceedance would require conditions without natural interglacial precedents, such as catastrophic ice-sheet collapse, or activation of major East Antarctic mass loss at sustained CO2 levels above 1000 ppmv.</t>
  </si>
  <si>
    <t>[Rohling, Eelco J.; Roberts, Andrew P.; Grant, Katharine M.] Australian Natl Univ, Res Sch Earth Sci, Canberra, ACT 0200, Australia; [Rohling, Eelco J.; Haigh, Ivan D.; Foster, Gavin L.; Grant, Katharine M.] Univ Southampton, Natl Oceanog Ctr, Southampton SO14 3ZH, Hants, England</t>
  </si>
  <si>
    <t>Australian National University; NERC National Oceanography Centre; University of Southampton</t>
  </si>
  <si>
    <t>Rohling, EJ (corresponding author), Australian Natl Univ, Res Sch Earth Sci, GPO Box 4, Canberra, ACT 0200, Australia.</t>
  </si>
  <si>
    <t>eelco.rohling@anu.edu.au</t>
  </si>
  <si>
    <t>Roberts, Andrew P/E-6422-2010; Haigh, Ivan D/A-6575-2010; Foster, Gavin/W-5968-2019; Rohling, Eelco J/B-9736-2008; Foster, Gavin/CAF-4654-2022</t>
  </si>
  <si>
    <t>Rohling, Eelco J/0000-0001-5349-2158; Foster, Gavin/0000-0003-3688-9668; Roberts, Andrew P./0000-0003-0566-8117; Grant, Katharine/0000-0003-4299-5504</t>
  </si>
  <si>
    <t>Australian Laureate Fellowship [FL120100050]; Natural Environment Research Council [NE/I009906/1, NE/I005595/1] Funding Source: researchfish; NERC [NE/I009906/1, NE/I005595/1] Funding Source: UKRI</t>
  </si>
  <si>
    <t>Australian Laureate Fellowship; Natural Environment Research Council(UK Research &amp; Innovation (UKRI)Natural Environment Research Council (NERC)); NERC(UK Research &amp; Innovation (UKRI)Natural Environment Research Council (NERC))</t>
  </si>
  <si>
    <t>This paper contributes to UK-NERC consortium iGlass (NE/I009906/1) and 2012 Australian Laureate Fellowship FL120100050. We thank David Heslop for checking the methods, and Tom Cronin for helpful comments and suggestions.</t>
  </si>
  <si>
    <t>NATURE PORTFOLIO</t>
  </si>
  <si>
    <t>HEIDELBERGER PLATZ 3, BERLIN, 14197, GERMANY</t>
  </si>
  <si>
    <t>2045-2322</t>
  </si>
  <si>
    <t>SCI REP-UK</t>
  </si>
  <si>
    <t>Sci Rep</t>
  </si>
  <si>
    <t>DEC 13</t>
  </si>
  <si>
    <t>10.1038/srep03461</t>
  </si>
  <si>
    <t>273AI</t>
  </si>
  <si>
    <t>WOS:000328504600001</t>
  </si>
  <si>
    <t>Daly, M; Rack, F; Zook, R</t>
  </si>
  <si>
    <t>Daly, Marymegan; Rack, Frank; Zook, Robert</t>
  </si>
  <si>
    <t>Edwardsiella andrillae, a New Species of Sea Anemone from Antarctic Ice</t>
  </si>
  <si>
    <t>MESENCHYTRAEUS-SOLIFUGUS; WEDDELL SEA; ACTINIARIA; ANTHOZOA; CNIDARIA; WORM; PENINSULA</t>
  </si>
  <si>
    <t>Exploration of the lower surface of the Ross Ice Shelf in Antarctica by the Submersible Capable of under-Ice Navigation and Imaging (SCINI) remotely operated vehicle discovered a new species of sea anemone living in this previously undocumented ecosystem. This discovery was a significant outcome of the Coulman High Project's geophysical and environmental fieldwork in 2010-2011 as part of the ANDRILL (ANtarctic geologic DRILLing) program. Edwardsiella andrillae n. sp., lives with most of its column in the ice shelf, with only the tentacle crown extending into the seawater below. In addition to being the only Antarctic representative of the genus, Edwardsiella andrillae is distinguished from all other species of the genus in the number of tentacles and in the size and distribution of cnidae. The anatomy and histology of Edwardsiella andrillae present no features that explain how this animal withstands the challenges of life in such an unusual habitat.</t>
  </si>
  <si>
    <t>[Daly, Marymegan] Ohio State Univ, Dept Evolut Ecol &amp; Organismal Biol, Columbus, OH 43210 USA; [Rack, Frank; Zook, Robert] Univ Nebraska, Antarct Geol Drilling Sci Management Off, Lincoln, NE USA</t>
  </si>
  <si>
    <t>University System of Ohio; Ohio State University; University of Nebraska System; University of Nebraska Lincoln</t>
  </si>
  <si>
    <t>Daly, M (corresponding author), Ohio State Univ, Dept Evolut Ecol &amp; Organismal Biol, Columbus, OH 43210 USA.</t>
  </si>
  <si>
    <t>daly.66@osu.edu</t>
  </si>
  <si>
    <t>Daly, Marymegan/F-9178-2011</t>
  </si>
  <si>
    <t>U.S. National Science Foundation, Office of Polar Programs; NZ Foundation for Research, Science and Technology in New Zealand; Office of Polar Programs (OPP); Directorate For Geosciences [0839108] Funding Source: National Science Foundation</t>
  </si>
  <si>
    <t>U.S. National Science Foundation, Office of Polar Programs(National Science Foundation (NSF)); NZ Foundation for Research, Science and Technology in New Zealand; Office of Polar Programs (OPP); Directorate For Geosciences(National Science Foundation (NSF)NSF - Directorate for Geosciences (GEO))</t>
  </si>
  <si>
    <t>The ANDRILL 200 Coulman High Project (CHP) fieldwork in Antarctica during the austral spring and summer of 2010-2011 was funded by the U.S. National Science Foundation, Office of Polar Programs, and in New Zealand by the NZ Foundation for Research, Science and Technology. Any opinions, findings, and conclusions or recommendations expressed in this material are those of the author(s) and do not necessarily reflect the views of the National Science Foundation. The funders had no role in study design, data collection and analysis, decision to publish, or preparation of the manuscript.</t>
  </si>
  <si>
    <t>DEC 11</t>
  </si>
  <si>
    <t>e83476</t>
  </si>
  <si>
    <t>10.1371/journal.pone.0083476</t>
  </si>
  <si>
    <t>276EG</t>
  </si>
  <si>
    <t>WOS:000328730300148</t>
  </si>
  <si>
    <t>Geng, JJ; Wu, XF; Huang, YF; Yu, YB</t>
  </si>
  <si>
    <t>Geng, J. J.; Wu, X. F.; Huang, Y. F.; Yu, Y. B.</t>
  </si>
  <si>
    <t>DELAYED ENERGY INJECTION MODEL FOR GAMMA-RAY BURST AFTERGLOWS</t>
  </si>
  <si>
    <t>ASTROPHYSICAL JOURNAL</t>
  </si>
  <si>
    <t>accretion, accretion disks; gamma-ray burst: individual (081029, 100621A); methods: numerical</t>
  </si>
  <si>
    <t>RELATIVISTIC WIND BUBBLES; BLANDFORD-ZNAJEK PROCESS; LIGHT CURVES; CENTRAL ENGINE; BLACK-HOLES; ACCRETION DISKS; SWIFT J1644+57; FIREBALL MODEL; OPTICAL FLASH; DENSITY-JUMP</t>
  </si>
  <si>
    <t>The shallow decay phase and flares in the afterglows of gamma-ray bursts (GRBs) are widely believed to be associated with the later activation of the central engine. Some models of energy injection involve a continuous energy flow since the GRB trigger time, such as the magnetic dipole radiation from a magnetar. However, in the scenario involving a black hole accretion system, the energy flow from the fall-back accretion may be delayed for a fall-back time similar to t(fb). Thus, we propose a delayed energy injection model. The delayed energy would cause a notable rise to the Lorentz factor of the external shock, which will generate a bump in the multiple band afterglows. If the delayed time is very short, our model degenerates to the previous models. Our model can explain the significant re-brightening in the optical and infrared light curves of GRB 081029 and GRB 100621A. A considerable fall-back mass is needed to provide the later energy; this indicates that GRBs accompanied with fall-back material may be associated with a low energy supernova so that the fraction of the envelope can survive during eruption. The fall-back time can give meaningful information on the properties of GRB progenitor stars.</t>
  </si>
  <si>
    <t>[Geng, J. J.; Huang, Y. F.; Yu, Y. B.] Nanjing Univ, Dept Astron, Nanjing 210093, Jiangsu, Peoples R China; [Geng, J. J.; Huang, Y. F.; Yu, Y. B.] Nanjing Univ, Key Lab Modern Astron &amp; Astrophys, Minist Educ, Nanjing 210093, Jiangsu, Peoples R China; [Wu, X. F.] Chinese Acad Sci, Purple Mt Observ, Nanjing 210008, Jiangsu, Peoples R China; [Wu, X. F.] Chinese Acad Sci, Chinese Ctr Antarctic Astron, Nanjing 210008, Jiangsu, Peoples R China; [Wu, X. F.] Nanjing Univ, Chinese Acad Sci, Joint Ctr Particle Nucl Phys &amp; Cosmol, Purple Mt Observ, Nanjing 210008, Jiangsu, Peoples R China</t>
  </si>
  <si>
    <t>Nanjing University; Nanjing University; Purple Mountain Observatory, CAS; Chinese Academy of Sciences; Nanjing Institute of Astronomical Optics &amp; Technology, NAOC, CAS; Chinese Academy of Sciences; Chinese Academy of Sciences; Nanjing Institute of Astronomical Optics &amp; Technology, NAOC, CAS; Nanjing University; Purple Mountain Observatory, CAS</t>
  </si>
  <si>
    <t>Geng, JJ (corresponding author), Nanjing Univ, Dept Astron, Nanjing 210093, Jiangsu, Peoples R China.</t>
  </si>
  <si>
    <t>hyf@nju.edu.cn; xfwu@pmo.ac.cn</t>
  </si>
  <si>
    <t>GENG, Jin-Jun/K-1684-2019; Huang, Y.F./G-7274-2015; Wu, Xuefeng/G-5316-2015</t>
  </si>
  <si>
    <t>GENG, Jin-Jun/0000-0001-9648-7295; Wu, Xuefeng/0000-0002-6299-1263</t>
  </si>
  <si>
    <t>National Basic Research Program of China (973 Program) [2009CB824800, 2013CB834900, 2014CB845800]; National Natural Science Foundation of China [11033002]; One-Hundred-Talents Program; Youth Innovation Promotion Association of Chinese Academy of Sciences</t>
  </si>
  <si>
    <t>National Basic Research Program of China (973 Program)(National Basic Research Program of China); National Natural Science Foundation of China(National Natural Science Foundation of China (NSFC)); One-Hundred-Talents Program(Chinese Academy of Sciences); Youth Innovation Promotion Association of Chinese Academy of Sciences</t>
  </si>
  <si>
    <t>We acknowledge the anonymous referee for useful comments and suggestions. We thank Shanqin Wang, Shujin Hou, Kai Wang, and Yuanpei Yang for helpful discussion. We also thank Nardini et al. and Greiner at al. for kindly sharing the data of GRB 081029 and GRB 100621A obtained with the seven-channel Gamma-Ray burst Optical and Near-infrared Detector (GROND). Our study made use of data supplied by the UK Swift Science Data Centre at the University of Leicester. This work was supported by the National Basic Research Program of China (973 Program, grant No. 2009CB824800, 2013CB834900, and 2014CB845800) and the National Natural Science Foundation of China (grant No. 11033002). X. F. Wu acknowledges support by the One-Hundred-Talents Program and the Youth Innovation Promotion Association of Chinese Academy of Sciences.</t>
  </si>
  <si>
    <t>0004-637X</t>
  </si>
  <si>
    <t>1538-4357</t>
  </si>
  <si>
    <t>ASTROPHYS J</t>
  </si>
  <si>
    <t>Astrophys. J.</t>
  </si>
  <si>
    <t>DEC 10</t>
  </si>
  <si>
    <t>10.1088/0004-637X/779/1/28</t>
  </si>
  <si>
    <t>268HD</t>
  </si>
  <si>
    <t>WOS:000328160100028</t>
  </si>
  <si>
    <t>Barghini, P; Moscatelli, D; Garzillo, AMV; Crognale, S; Fenice, M</t>
  </si>
  <si>
    <t>Barghini, Paolo; Moscatelli, Deborah; Garzillo, Anna Maria Vittoria; Crognale, Silvia; Fenice, Massimiliano</t>
  </si>
  <si>
    <t>High production of cold-tolerant chitinases on shrimp wastes in bench-top bioreactor by the Antarctic fungus Lecanicillium muscarium CCFEE 5003: Bioprocess optimization and characterization of two main enzymes (vol 53, pg 331, 2013)</t>
  </si>
  <si>
    <t>ENZYME AND MICROBIAL TECHNOLOGY</t>
  </si>
  <si>
    <t>Correction</t>
  </si>
  <si>
    <t>[Barghini, Paolo; Moscatelli, Deborah; Garzillo, Anna Maria Vittoria; Fenice, Massimiliano] Univ Tuscia, Dipartimento Sci Ecol &amp; Biol, I-01100 Viterbo, Italy; [Crognale, Silvia] Univ Tuscia, Dipartimento Innovaz Sistemi Biol Agroalimentari, I-01100 Viterbo, Italy</t>
  </si>
  <si>
    <t>Tuscia University; Tuscia University</t>
  </si>
  <si>
    <t>Fenice, M (corresponding author), Univ Tuscia, Dipartimento Sci Ecol &amp; Biol, Largo Univ Snc, I-01100 Viterbo, Italy.</t>
  </si>
  <si>
    <t>fenice@unitus.it</t>
  </si>
  <si>
    <t>Barghini, Paolo/AAA-5865-2020; Fenice, Massimiliano/L-9195-2014; Crognale, Silvia/C-7102-2012</t>
  </si>
  <si>
    <t>Garzillo, Anna Maria Vittoria/0000-0002-4284-1524; Barghini, Paolo/0000-0001-6014-1321; Fenice, Massimiliano/0000-0001-8504-0885; Crognale, Silvia/0000-0001-5249-7053</t>
  </si>
  <si>
    <t>ELSEVIER SCIENCE INC</t>
  </si>
  <si>
    <t>360 PARK AVE SOUTH, NEW YORK, NY 10010-1710 USA</t>
  </si>
  <si>
    <t>0141-0229</t>
  </si>
  <si>
    <t>1879-0909</t>
  </si>
  <si>
    <t>ENZYME MICROB TECH</t>
  </si>
  <si>
    <t>Enzyme Microb. Technol.</t>
  </si>
  <si>
    <t>6-7</t>
  </si>
  <si>
    <t>10.1016/j.enzmictec.2013.09.008</t>
  </si>
  <si>
    <t>256BJ</t>
  </si>
  <si>
    <t>WOS:000327284400013</t>
  </si>
  <si>
    <t>Buckeridge, JS; Linse, K; Jackson, JA</t>
  </si>
  <si>
    <t>Buckeridge, John S.; Linse, Katrin; Jackson, Jennifer A.</t>
  </si>
  <si>
    <t>Vulcanolepas scotiaensis sp nov., a new deep-sea scalpelliform barnacle (Eolepadidae: Neolepadinae) from hydrothermal vents in the Scotia Sea, Antarctica</t>
  </si>
  <si>
    <t>ZOOTAXA</t>
  </si>
  <si>
    <t>Crustacea; Cirripedia; Scalpelliformes; Neolepadini; Vulcanolepas; hydrothermal vent taxa; Scotia Sea; Antarctica</t>
  </si>
  <si>
    <t>PHYLOGENETIC INFERENCE; BROTHERS CALDERA; MIXED MODELS; NEW-ZEALAND; CIRRIPEDIA; THORACICA; PACIFIC; PEDUNCULATA; SEQUENCES; CRUSTACEA</t>
  </si>
  <si>
    <t>A new deep-sea stalked barnacle, Vulcanolepas scotiaensis sp. nov. is described from hydrothermal vents at depths of 2400-2600 metres along segments of the East Scotia Ridge and from 1400 metres in the Kemp Caldera. Both locations are areas of volcanic activity that lie on the Antarctic-South American Ocean Ridge complex near the South Sandwich Islands. This discovery confirms a wide distribution in southern seas for Vulcanolepas, complementing the previous records from deep-sea vents in the Lau Basin and Kermadec Ridge in the southwest Pacific, and the Pacific Antarctic Ridge in the southeast Pacific. V. scotiaensis sp. nov., the third described species of Vulcanolepas shows an extraordinary range in morphology, requiring a reassessment of the original diagnosis for Vulcanolepas. Although the morphological envelope of V. scotiaensis sp. nov. includes representatives with a peduncle to capitulum ratio similar to that observed in most neolepadines, the peduncle generally shows greater proportional length than in species in any neolepadine genus except Leucolepas; it is distinguished from other species of Vulcanolepas by a broader capitulum, much smaller imbricating scales on the peduncle and more ornamented capitulum plates. The morphological diversity of V. scotiaensis sp. nov. is interpreted as having arisen due to abrupt changes in water temperature.</t>
  </si>
  <si>
    <t>[Buckeridge, John S.] RMIT Univ, Earth &amp; Ocean Syst Res Grp, Melbourne, Vic 3001, Australia; [Linse, Katrin; Jackson, Jennifer A.] British Antarctic Survey, NERC, Cambridge CB3 0ET, England</t>
  </si>
  <si>
    <t>Royal Melbourne Institute of Technology (RMIT); UK Research &amp; Innovation (UKRI); Natural Environment Research Council (NERC); NERC British Antarctic Survey</t>
  </si>
  <si>
    <t>Buckeridge, JS (corresponding author), RMIT Univ, Earth &amp; Ocean Syst Res Grp, Melbourne, Vic 3001, Australia.</t>
  </si>
  <si>
    <t>john.buckeridge@rmit.edu.au</t>
  </si>
  <si>
    <t>Jackson, Jennifer A/E-7997-2013</t>
  </si>
  <si>
    <t>Linse, Katrin/0000-0003-3477-3047; Jackson, Jennifer/0000-0003-4158-1924</t>
  </si>
  <si>
    <t>ChEsSo [NE/DO1249X/1]; BAS PSPE programmes; Natural Environment Research Council; NERC [bas0100026] Funding Source: UKRI; Natural Environment Research Council [bas0100026] Funding Source: researchfish</t>
  </si>
  <si>
    <t>ChEsSo; BAS PSPE programmes;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</si>
  <si>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We thank the master and crew of RRS James Cook and the staff of the UK National Marine Facilities at the United Kingdom's National Oceanography Centre, especially the pilots and technical teams of ROV Isis, for support during JC42. We are grateful to Elaine Fitzcharles for PCR amplification. This study is part of the ChEsSo (Consortium Grant NE/DO1249X/1) and BAS PSPE programmes funded by The Natural Environment Research Council. Bill Newman, Scripps Institute of Oceanography, CA provided some invaluable comments on cirral morphology.</t>
  </si>
  <si>
    <t>MAGNOLIA PRESS</t>
  </si>
  <si>
    <t>AUCKLAND</t>
  </si>
  <si>
    <t>PO BOX 41383, AUCKLAND, ST LUKES 1030, NEW ZEALAND</t>
  </si>
  <si>
    <t>1175-5326</t>
  </si>
  <si>
    <t>1175-5334</t>
  </si>
  <si>
    <t>Zootaxa</t>
  </si>
  <si>
    <t>DEC 9</t>
  </si>
  <si>
    <t>268BO</t>
  </si>
  <si>
    <t>WOS:000328143100004</t>
  </si>
  <si>
    <t>Baranov, A; Morelli, A</t>
  </si>
  <si>
    <t>Baranov, A.; Morelli, A.</t>
  </si>
  <si>
    <t>The Moho depth map of the Antarctica region</t>
  </si>
  <si>
    <t>TECTONOPHYSICS</t>
  </si>
  <si>
    <t>Crustal structure; Continental crust; Moho; Body waves; Surface waves; Antarctica</t>
  </si>
  <si>
    <t>DRONNING MAUD LAND; PRINCE CHARLES MOUNTAINS; DEEP-CRUSTAL STRUCTURE; UPPER-MANTLE STRUCTURE; EAST ANTARCTICA; TRANSANTARCTIC MOUNTAINS; SEISMIC STRUCTURE; WEST-ANTARCTICA; GEOPHYSICAL INVESTIGATIONS; CONTINENTAL-MARGIN</t>
  </si>
  <si>
    <t>Different tectonic units cover the Antarctic territory: platform, orogens and depression structures. This structural variability is reflected both in thickness and physical properties of the crust. We present a new Moho map for the Antarctica, derived from geophysical data selected from the literature. The model covers the whole Antarctic region, from the South Pole out to the continental margin, including the Antarctic Peninsula. The Moho depth is represented with a resolution of 1 x 10 on a Cartesian grid obtained by an equidistant azimuthal geographical projection. A large volume of new data has been analyzed: mostly seismic experiments, as well as receiver functions and geological studies. In general, we can identify three large domains within the Antarctic continental crust. The oldest Archean and Proterozoic crust of East Antarctica has a thickness of 36-56 km (with an average of about 41 km). The continental crust of the Transantarctic Mountains, the Antarctic Peninsula and Wilkes Basin has a thickness of 30-40 km (with an average Moho of about 30 km). The youngest rifted continental crust of the West Antarctic Rift System has a thickness of 16-28 km (with an average Moho of about 26 km). The mean Moho depth of the whole model is 33.8 km. The new Moho model exhibits some remarkable disagreements at places with respect to global model CRUST 2.0. Difference between these two models may range up to - 10/+24 km. The new model is available for download in digital format. We plan to update the model in the near future by including new data, particularly in the most poorly covered regions. (C) 2013 Elsevier B.V. All rights reserved.</t>
  </si>
  <si>
    <t>[Baranov, A.] Russian Acad Sci, Schmidt Inst Phys Earth, Moscow 123995, Russia; [Baranov, A.] Russian Acad Sci, Inst Earthquake Predict Theory &amp; Math Geophys, Moscow 117997, Russia; [Morelli, A.] Ist Nazl Geofis Vulcanol, Sez Bologna, I-40128 Bologna, Italy</t>
  </si>
  <si>
    <t>Russian Academy of Sciences; Schmidt Institute of Physics of the Earth of the Russian Academy of Sciences; Russian Academy of Sciences; Institute of Earthquake Prediction Theory &amp; Mathematical Geophysics; Istituto Nazionale Geofisica e Vulcanologia (INGV)</t>
  </si>
  <si>
    <t>Baranov, A (corresponding author), Russian Acad Sci, Schmidt Inst Phys Earth, Bashaya Gruzinskaya Ul 10, Moscow 123995, Russia.</t>
  </si>
  <si>
    <t>baranov@ifz.ru</t>
  </si>
  <si>
    <t>Baranov, Alexey/ABF-0062-2022; morelli, andrea/F-2486-2016; Baranov, Andrey/H-9176-2016</t>
  </si>
  <si>
    <t>Baranov, Alexey/0000-0002-7793-5555; Baranov, Andrey/0000-0003-1823-9354; Morelli, Andrea/0000-0002-7400-8676</t>
  </si>
  <si>
    <t>Russian Foundation for Basic Research [12-05-33066]; FTP Scientific and Scientific-Pedagogical Personnel of Innovative Russia [2012-1.2.2-12-000-1008-4378, 8335]; Russian Ministry of Education [MK-531.2011.5]</t>
  </si>
  <si>
    <t>Russian Foundation for Basic Research(Russian Foundation for Basic Research (RFBR)Spanish Government); FTP Scientific and Scientific-Pedagogical Personnel of Innovative Russia; Russian Ministry of Education(Ministry of Education and Science, Russian Federation)</t>
  </si>
  <si>
    <t>The authors would like to thank the Editor Hans Thybo and the two anonymous reviewers, whose thorough reviews helped to significantly improve the manuscript. This study was supported by the Russian Foundation for Basic Research, grant no. 12-05-33066, FTP Scientific and Scientific-Pedagogical Personnel of Innovative Russia grant no 2012-1.2.2-12-000-1008-4378 (contract no. 8335) and by the Russian Ministry of Education, Grant-in-Aid for Young Scientists no MK-531.2011.5.</t>
  </si>
  <si>
    <t>0040-1951</t>
  </si>
  <si>
    <t>1879-3266</t>
  </si>
  <si>
    <t>Tectonophysics</t>
  </si>
  <si>
    <t>DEC 8</t>
  </si>
  <si>
    <t>10.1016/j.tecto.2012.12.023</t>
  </si>
  <si>
    <t>296QR</t>
  </si>
  <si>
    <t>WOS:000330201000015</t>
  </si>
  <si>
    <t>Bates, AE; McKelvie, CM; Sorte, CJB; Morley, SA; Jones, NAR; Mondon, JA; Bird, TJ; Quinn, G</t>
  </si>
  <si>
    <t>Bates, Amanda E.; McKelvie, Catherine M.; Sorte, Cascade J. B.; Morley, Simon A.; Jones, Nicholas A. R.; Mondon, Julie A.; Bird, Tomas J.; Quinn, Gerry</t>
  </si>
  <si>
    <t>Geographical range, heat tolerance and invasion success in aquatic species</t>
  </si>
  <si>
    <t>PROCEEDINGS OF THE ROYAL SOCIETY B-BIOLOGICAL SCIENCES</t>
  </si>
  <si>
    <t>macroecology; invasion risk assessment; biogeography; species traits; equatorward range boundary; thermal physiology</t>
  </si>
  <si>
    <t>CLIMATE-CHANGE; MARINE; DISPERSAL; RISK; SEPARATION</t>
  </si>
  <si>
    <t>Species with broader geographical ranges are expected to be ecological generalists, while species with higher heat tolerances may be relatively competitive at more extreme and increasing temperatures. Thus, both traits are expected to relate to increased survival during transport to new regions of the globe, and once there, establishment and spread. Here, we explore these expectations using datasets of latitudinal range breadth and heat tolerance in freshwater and marine invertebrates and fishes. After accounting for the latitude and hemisphere of each species' native range, we find that species introduced to freshwater systems have broader geographical ranges in comparison to native species. Moreover, introduced species are more heat tolerant than related native species collected from the same habitats. We further test for differences in range breadth and heat tolerance in relation to invasion success by comparing species that have established geographically restricted versus extensive introduced distributions. We find that geographical range size is positively related to invasion success in freshwater species only. However, heat tolerance is implicated as a trait correlated to widespread occurrence of introduced populations in both freshwater and marine systems. Our results emphasize the importance of formal risk assessments before moving heat tolerant species to novel locations.</t>
  </si>
  <si>
    <t>[Bates, Amanda E.; Jones, Nicholas A. R.] Univ Tasmania, Inst Marine &amp; Antarctic Studies, Taroona, Tas 7053, Australia; [Bates, Amanda E.; McKelvie, Catherine M.; Mondon, Julie A.; Quinn, Gerry] Deakin Univ, Sch Life &amp; Environm Sci, Warrnambool, Vic 3280, Australia; [Sorte, Cascade J. B.] Univ Massachusetts, Sch Environm, Boston, MA 02125 USA; [Morley, Simon A.] British Antarctic Survey, NERC, Cambridge CB3 0ET, England; [Bird, Tomas J.] Univ Melbourne, Sch Bot, Melbourne, Vic 3010, Australia</t>
  </si>
  <si>
    <t>University of Tasmania; Deakin University; University of Massachusetts System; University of Massachusetts Boston; UK Research &amp; Innovation (UKRI); Natural Environment Research Council (NERC); NERC British Antarctic Survey; University of Melbourne; Melbourne Bioinformatics</t>
  </si>
  <si>
    <t>Bates, AE (corresponding author), Univ Tasmania, Inst Marine &amp; Antarctic Studies, Taroona, Tas 7053, Australia.</t>
  </si>
  <si>
    <t>amanda.bates@utas.edu.au</t>
  </si>
  <si>
    <t>Jones, Nick/KBB-2331-2024; Jones, Nick/ABE-9960-2020; Bates, Amanda E./ABD-6874-2021</t>
  </si>
  <si>
    <t>Jones, Nick/0000-0002-6031-7507; Bates, Amanda E./0000-0002-0198-4537</t>
  </si>
  <si>
    <t>0962-8452</t>
  </si>
  <si>
    <t>1471-2954</t>
  </si>
  <si>
    <t>P ROY SOC B-BIOL SCI</t>
  </si>
  <si>
    <t>Proc. R. Soc. B-Biol. Sci.</t>
  </si>
  <si>
    <t>DEC 7</t>
  </si>
  <si>
    <t>10.1098/rspb.2013.1958</t>
  </si>
  <si>
    <t>298LM</t>
  </si>
  <si>
    <t>Green Published, Bronze, Green Accepted</t>
  </si>
  <si>
    <t>WOS:000330325400006</t>
  </si>
  <si>
    <t>Andrews, M; Cobcroft, JM; Battaglene, SC; Valdenegro, V; Martin, MB; Nowak, BF</t>
  </si>
  <si>
    <t>Andrews, Melanie; Cobcroft, Jennifer M.; Battaglene, Stephen C.; Valdenegro, Victoria; Martin, Melissa B.; Nowak, Barbara F.</t>
  </si>
  <si>
    <t>Parasitic crustaceans infecting cultured striped trumpeter Latris lineata</t>
  </si>
  <si>
    <t>AQUACULTURE</t>
  </si>
  <si>
    <t>Ectoparasite; Caligidae; Isopoda; Cymothoidae; Cyclopoida; Aquaculture</t>
  </si>
  <si>
    <t>AMEBIC GILL DISEASE; CORAL-REEF FISH; SALMO-SALAR; ATLANTIC SALMON; CERATOTHOA-GAUDICHAUDII; DICENTRARCHUS-LABRAX; ANILOCRA-POMACENTRI; ISOPOD PARASITES; JAW MALFORMATION; SOUTHERN CHILE</t>
  </si>
  <si>
    <t>Cultured striped trumpeter Latris lineata was held in sea cage systems or a land-based facility in south-eastern Tasmania. Visual checks of metazoan ectoparasites were conducted on six cohorts (T1 to T6) in the land-based facility from 2006 to 2007, and three cohorts (C1 to C3) held in cages from 2007 to 2008. Three parasite species were recorded; a cymothoid Ceratothoa banksii; a chondracanthid Chondracanthus goldsmidi; and a caligid Caligus nuenonnae. All three parasite species were present on the striped trumpeter in the sea cages with C. nuenonnae and C. goldsmidi found in very low prevalence on all cohorts. There was no significant effect of cohort or season on the parasites' prevalence or intensity. Cohort C1 had the highest numbers of C. nuenonnae with prevalence of 2.5% (intensity 1.0 +/- 0.0 parasites fish(-1)), whilst cohort C3 had the highest prevalence of C. goldsmidi (3.3%, intensity 1.0 +/- 0.0). The isopod C. banksii was recorded in increasing prevalence in cohorts C1 and C2 during 2008, cohort C1 had a prevalence ranging from 9.8% (intensity 1.0 +/- 0.0) to 17.5% (intensity 1 +/- 0.0) whereas prevalence in cohort C2 ranged from 27.7% (intensity 1.21 +/- 0.1) to 67.2% (intensity 1.8 +/- 0.1). The two copepod species were recorded on the fish held in the land-based facility. C. nuenonnae was found on fish from two cohorts at a prevalence of 22.3% (intensity 1.4 +/- 0.1 parasites) in cohort T1 and 4.3% (1.0 +/- 0.0) in cohort T2. In contrast, C. goldsmidi was present during all parasite checks of cohorts T2 to T6 with the percentage of infected fish ranging from 27.2% (intensity 1.3 +/- 0.1) in cohort T2 to 100% (intensity 32.8 +/- 1.9) in cohort T4. Treatments against C. goldsmidi were conducted on cohorts T2 to T6 including manual removal of adult parasites and Neguvon baths. There was no apparent reduction in the parasite prevalence within season during follow-up surveys after +/- 6 months. An eleven month re-infection experiment was conducted with C. goldsmidi; striped trumpeter from which parasites were removed showed significantly lower prevalence (F = 161.8, df (1,20), P &lt; 0.001) than those fish from which parasites were not removed. The study suggests that effective control of parasitic crustaceans is likely to be an important factor in the successful culture of sea-caged striped trumpeter. (C) 2013 Elsevier B.V. All rights reserved.</t>
  </si>
  <si>
    <t>[Andrews, Melanie; Valdenegro, Victoria; Martin, Melissa B.; Nowak, Barbara F.] Univ Tasmania, Natl Ctr Marine Conservat &amp; Resource Sustainabil, AMC, Launceston, Tas 7250, Australia; [Andrews, Melanie; Cobcroft, Jennifer M.; Battaglene, Stephen C.] Univ Tasmania, Inst Marine &amp; Antarctic Studies, Taroona, Tas 7053, Australia; [Andrews, Melanie; Cobcroft, Jennifer M.; Battaglene, Stephen C.] Univ Tasmania, Aquafin Cooperat Res Ctr, Taroona, Tas 7053, Australia</t>
  </si>
  <si>
    <t>University of Tasmania; University of Tasmania; University of Tasmania</t>
  </si>
  <si>
    <t>Nowak, BF (corresponding author), Univ Tasmania, NCMCRS, Locked Bag 1370, Launceston, Tas 7250, Australia.</t>
  </si>
  <si>
    <t>B.Nowak@utas.edu.au</t>
  </si>
  <si>
    <t>Cobcroft, Jennifer/E-3331-2013; Andrews, Melanie/B-4745-2008; Martin, Melissa Beata/H-8941-2019; Battaglene, Stephen C/H-9683-2014; Nowak, Barbara/J-7261-2014</t>
  </si>
  <si>
    <t>Cobcroft, Jennifer/0000-0002-2398-9267; Nowak, Barbara/0000-0002-0347-643X; MARTIN, MELISSA BEATA/0000-0003-2605-9898; Valdenegro Vega, Victoria/0000-0003-1708-9593</t>
  </si>
  <si>
    <t>Australian Government's CRC Program; FRDC; Australian Research Council [ARC LP0882042]; ASP Research Network for Parasitology</t>
  </si>
  <si>
    <t>Australian Government's CRC Program(Australian GovernmentDepartment of Industry, Innovation and ScienceCooperative Research Centres (CRC) Programme); FRDC; Australian Research Council(Australian Research Council); ASP Research Network for Parasitology</t>
  </si>
  <si>
    <t>The work formed part of a project of the Aquafin CRC, and received funds from the Australian Government's CRC Program and the FRDC; with additional support provided by the Australian Research Council (ARC LP0882042) and the ASP Research Network for Parasitology. We are grateful to Dr. Rob Adlard (Queensland Museum) for sharing with us his expertise on fish parasites. We would like to thank Dr. Niel L. Bruce (Museum of Tropical Queensland) and Dr. Brian Jones (Western Australian Department of Agriculture) for their help with the identification of the isopods. We are grateful to Dr. Niel L. Bruce (Museum of Tropical Queensland) for providing comments on the manuscript. We thank the striped trumpeter research team at IMAS, in particular Ross Goldsmid, for animal husbandry and assistance during the parasite checks. We thank Dr. David Morehead and the staff of the salmon farm for their assistance.</t>
  </si>
  <si>
    <t>0044-8486</t>
  </si>
  <si>
    <t>1873-5622</t>
  </si>
  <si>
    <t>Aquaculture</t>
  </si>
  <si>
    <t>DEC 5</t>
  </si>
  <si>
    <t>10.1016/j.aquaculture.2013.09.038</t>
  </si>
  <si>
    <t>Fisheries; Marine &amp; Freshwater Biology</t>
  </si>
  <si>
    <t>250AR</t>
  </si>
  <si>
    <t>WOS:000326823000040</t>
  </si>
  <si>
    <t>Oakes, JM; Ross, DJ; Eyre, BD</t>
  </si>
  <si>
    <t>Oakes, Joanne M.; Ross, Donald J.; Eyre, Bradley D.</t>
  </si>
  <si>
    <t>Processing of Particulate Organic Carbon Associated with Secondary-Treated Pulp and Paper Mill Effluent in Intertidal Sediments: A 13C Pulse-chase Experiment</t>
  </si>
  <si>
    <t>SHORT-TERM FATE; RAPID RESPONSE; PHYTODETRITUS; NITROGEN; SHALLOW; MATTER; BACTERIA</t>
  </si>
  <si>
    <t>To determine the benthic transformation pathways and fate of carbon associated with secondary-treated pulp and paper mill (PPM) effluent, C-13-labeled activated sludge biomass (ASB) and phytoplankton (PHY) were added, separately, to estuarine intertidal sediments. Over 28 days, C-13 was traced into sediment organic carbon, fauna, seagrass, bacteria, and microphytobenthos and into fluxes of dissolved organic carbon (DOC) and dissolved inorganic carbon (DIC) from inundated sediments, and carbon dioxide (CO2(g)) from exposed sediments. There was greater removal of PHY carbon from sediments (similar to 85% over 28 days) compared to ASB (similar to 75%). Although there was similar C-13 loss from PHY and ASB plots via DIC (58% and 56%, respectively) and CO2(g) fluxes (&lt;1%), DOC fluxes were more important for PHY (41%) than ASB (12%). Faster downward transport and loss suggest that fauna prefer PHY, due to its lability and/or toxins associated with ASB; this may account for different carbon pathways. Secondary-treated PPM effluent has lower oxygen demand than primary-treated effluent, but ASB accumulation may contribute to sediment anoxia, and respiration of ASB and PHY-derived DOC may make the water column more heterotrophic. This highlights the need to optimize secondary-treatment processes to control the quality and quantity of organic carbon associated with PPM effluent.</t>
  </si>
  <si>
    <t>[Oakes, Joanne M.; Eyre, Bradley D.] So Cross Univ, Ctr Coastal Biogeochem, Lismore, NSW 2480, Australia; [Ross, Donald J.] Univ Tasmania, Inst Marine &amp; Antarctic Studies, Hobart, Tas 7001, Australia</t>
  </si>
  <si>
    <t>Southern Cross University; University of Tasmania</t>
  </si>
  <si>
    <t>Oakes, JM (corresponding author), So Cross Univ, Ctr Coastal Biogeochem, Mil Rd, Lismore, NSW 2480, Australia.</t>
  </si>
  <si>
    <t>joanne.oakes@scu.edu.au</t>
  </si>
  <si>
    <t>Eyre, Bradley/C-2527-2013; Oakes, Joanne/A-2165-2009; Ross, Donald/F-7607-2012</t>
  </si>
  <si>
    <t>Eyre, Bradley/0000-0001-5502-0680; Oakes, Joanne/0000-0002-9287-2652; Ross, Donald/0000-0002-8659-3833</t>
  </si>
  <si>
    <t>ARC Linkage [LP0770222]; ARC Discovery [DP0878568]; ARC LIEF [LE0989952, LE0668495]; ARC DECRA [DE120101290]; Norske-Skog Boyer; Derwent Estuary Program; Australian Research Council [DE120101290, LE0989952, LE0668495] Funding Source: Australian Research Council</t>
  </si>
  <si>
    <t>ARC Linkage(Australian Research Council); ARC Discovery(Australian Research Council); ARC LIEF(Australian Research Council); ARC DECRA(Australian Research Council); Norske-Skog Boyer; Derwent Estuary Program; Australian Research Council(Australian Research Council)</t>
  </si>
  <si>
    <t>We thank John Keane, Iain Alexander, Nicholas Ceely, and Ryuji Sakabe for laboratory and field work assistance, Matheus Carvalho and Melissa Bautista for isotope analysis, and three anonymous reviewers for feedback that improved this manuscript. Des Richardson supplied activated sludge and background pulp mill information. This work was supported by grants to D.J.R and B.D.E. (ARC Linkage LP0770222), B.D.E. and J.M.O. (ARC Discovery DP0878568), B.D.E. and J.M.O. (ARC LIEF grants LE0989952, LE0668495), and J.M.O. (ARC DECRA DE120101290). Norske-Skog Boyer and the Derwent Estuary Program provided financial and in-kind assistance.</t>
  </si>
  <si>
    <t>DEC 3</t>
  </si>
  <si>
    <t>10.1021/es402814u</t>
  </si>
  <si>
    <t>266CH</t>
  </si>
  <si>
    <t>WOS:000327999400011</t>
  </si>
  <si>
    <t>Grange, LJ; Smith, CR</t>
  </si>
  <si>
    <t>Grange, Laura J.; Smith, Craig R.</t>
  </si>
  <si>
    <t>Megafaunal Communities in Rapidly Warming Fjords along the West Antarctic Peninsula: Hotspots of Abundance and Beta Diversity</t>
  </si>
  <si>
    <t>DEPTH-RELATED CHANGES; CLIMATE-CHANGE; SUBMARINE CANYONS; MARINE ECOSYSTEM; SEDIMENTATION; BIOMASS; VARIABILITY; SEA; MACROBENTHOS; PYCNOGONIDA</t>
  </si>
  <si>
    <t>Glacio-marine fjords occur widely at high latitudes and have been extensively studied in the Arctic, where heavy meltwater inputs and sedimentation yield low benthic faunal abundance and biodiversity in inner-middle fjords. Fjord benthic ecosystems remain poorly studied in the subpolar Antarctic, including those in extensive fjords along the West Antarctic Peninsula (WAP). Here we test ecosystem predictions from Arctic fjords on three subpolar, glacio-marine fjords along the WAP. With seafloor photographic surveys we evaluate benthic megafaunal abundance, community structure, and species diversity, as well as the abundance of demersal nekton and macroalgal detritus, in soft-sediment basins of Andvord, Flandres and Barilari Bays at depths of 436-725 m. We then contrast these fjord sites with three open shelf stations of similar depths. Contrary to Arctic predictions, WAP fjord basins exhibited 3 to 38-fold greater benthic megafaunal abundance than the open shelf, and local species diversity and trophic complexity remained high from outer to inner fjord basins. Furthermore, WAP fjords contained distinct species composition, substantially contributing to beta and gamma diversity at 400-700 m depths along the WAP. The abundance of demersal nekton and macroalgal detritus was also substantially higher in WAP fjords compared to the open shelf. We conclude that WAP fjords are important hotspots of benthic abundance and biodiversity as a consequence of weak meltwater influences, low sedimentation disturbance, and high, varied food inputs. We postulate that WAP fjords differ markedly from their Arctic counterparts because they are in earlier stages of climate warming, and that rapid warming along the WAP will increase meltwater and sediment inputs, deleteriously impacting these biodiversity hotspots. Because WAP fjords also provide important habitat and foraging areas for Antarctic krill and baleen whales, there is an urgent need to develop better understanding of the structure, dynamics and climate-sensitivity of WAP subpolar fjord ecosystems.</t>
  </si>
  <si>
    <t>[Grange, Laura J.; Smith, Craig R.] Univ Hawaii Manoa, Dept Oceanog, Honolulu, HI 96822 USA</t>
  </si>
  <si>
    <t>University of Hawaii System; University of Hawaii Manoa</t>
  </si>
  <si>
    <t>Grange, LJ (corresponding author), Univ Southampton, Natl Oceanog Ctr, Southampton, Hants, England.</t>
  </si>
  <si>
    <t>J.Grange@noc.soton.ac.uk</t>
  </si>
  <si>
    <t>Grange, Laura/E-8495-2014</t>
  </si>
  <si>
    <t>Grange, Laura/0000-0001-9222-6848</t>
  </si>
  <si>
    <t>Office of Polar Programs (OPP), United States National Science Foundation [OPP-0636806, OPP-0732711]; Biological Oceanography Program (BIO OCE), United States National Science Foundation [BIO OCE-1155703]</t>
  </si>
  <si>
    <t>Office of Polar Programs (OPP), United States National Science Foundation; Biological Oceanography Program (BIO OCE), United States National Science Foundation</t>
  </si>
  <si>
    <t>This material is based upon work supported by the Office of Polar Programs (OPP), United States National Science Foundation under the LARISSA and FOODBANCS2 Projects Grant Nos. OPP-0636806 and OPP-0732711 respectively to C. R. S. Writing and publication costs were supported in part by the Biological Oceanography Program (BIO OCE), United States National Science Foundation under the BOWLs Project Grant No. BIO OCE-1155703 to C. R. S. The funders had no role in study design, data collection and analysis, decision to publish, or preparation of the manuscript.</t>
  </si>
  <si>
    <t>e77917</t>
  </si>
  <si>
    <t>10.1371/journal.pone.0077917</t>
  </si>
  <si>
    <t>265JR</t>
  </si>
  <si>
    <t>Green Published, Green Submitted, gold, Green Accepted</t>
  </si>
  <si>
    <t>WOS:000327947800002</t>
  </si>
  <si>
    <t>Kinjo, A; Koito, T; Kawaguchi, S; Inoue, K</t>
  </si>
  <si>
    <t>Kinjo, Azusa; Koito, Tomoko; Kawaguchi, So; Inoue, Koji</t>
  </si>
  <si>
    <t>Evolutionary History of the GABA Transporter (GAT) Group Revealed by Marine Invertebrate GAT-1</t>
  </si>
  <si>
    <t>TAURINE TRANSPORTER; CREATINE TRANSPORTER; EXPRESSION; CLONING; RAT; LOCALIZATION; HETEROGENEITY; PHARMACOLOGY; ALIGNMENT; ENCODES</t>
  </si>
  <si>
    <t>The GABA transporter (GAT) group is one of the major subgroups in the solute career 6 (SLC6) family of transmembrane proteins. The GAT group, which has been well studied in mammals, has 6 known members, i.e., a taurine transporter (TAUT), four GABA transporters (GAT-1, -2, -3, -4), and a creatine transporter (CT1), which have important roles in maintaining physiological homeostasis. However, the GAT group has not been extensively investigated in invertebrates; only TAUT has been reported in marine invertebrates such as bivalves and krills, and GAT-1 has been reported in several insect species and nematodes. Thus, it is unknown how transporters in the GAT group arose during the course of animal evolution. In this study, we cloned GAT-1 cDNAs from the deep-sea mussel, Bathymodiolus septemdierum, and the Antarctic krill, Euphausia superba, whose TAUT cDNA has already been cloned. To understand the evolutionary history of the GAT group, we conducted phylogenetic and synteny analyses on the GAT group transporters of vertebrates and invertebrates. Our findings suggest that transporters of the GAT group evolved through the following processes. First, GAT-1 and CT1 arose by tandem duplication of an ancestral transporter gene before the divergence of Deuterostomia and Protostomia; next, the TAUT gene arose and GAT-3 was formed by the tandem duplication of the TAUT gene; and finally, GAT-2 and GAT-4 evolved from a GAT-3 gene by chromosomal duplication in the ancestral vertebrates. Based on synteny and phylogenetic evidence, the present naming of the GAT group members does not accurately reflect the evolutionary relationships.</t>
  </si>
  <si>
    <t>[Kinjo, Azusa; Inoue, Koji] Univ Tokyo, Grad Sch Frontier Sci, Kashiwa, Chiba, Japan; [Kinjo, Azusa; Inoue, Koji] Univ Tokyo, Atmosphere &amp; Ocean Res Inst, Kashiwa, Chiba, Japan; [Koito, Tomoko] Nihon Univ, Coll Bioresource Sci, Fujisawa, Kanagawa, Japan; [Kawaguchi, So] Australian Antarctic Div, Kingston, Tas, Australia</t>
  </si>
  <si>
    <t>University of Tokyo; University of Tokyo; Nihon University; Australian Antarctic Division</t>
  </si>
  <si>
    <t>Kinjo, A (corresponding author), Univ Tokyo, Grad Sch Frontier Sci, Kashiwa, Chiba, Japan.</t>
  </si>
  <si>
    <t>kinjoa-10a@nenv.k.u-tokyo.ac.jp</t>
  </si>
  <si>
    <t>Kawaguchi, So/N-1795-2017</t>
  </si>
  <si>
    <t>Kawaguchi, So/0000-0002-2042-5095</t>
  </si>
  <si>
    <t>JSPS KAKENHI [22380107, 19380110]; Salt Science Research Foundation; Grants-in-Aid for Scientific Research [19380110, 22380107] Funding Source: KAKEN</t>
  </si>
  <si>
    <t>JSPS KAKENHI(Ministry of Education, Culture, Sports, Science and Technology, Japan (MEXT)Japan Society for the Promotion of ScienceGrants-in-Aid for Scientific Research (KAKENHI)); Salt Science Research Foundation; Grants-in-Aid for Scientific Research(Ministry of Education, Culture, Sports, Science and Technology, Japan (MEXT)Japan Society for the Promotion of ScienceGrants-in-Aid for Scientific Research (KAKENHI))</t>
  </si>
  <si>
    <t>The work was supported by the following: JSPS KAKENHI Grant Number 22380107 &amp; 19380110 URL:http://www.jsps.go.jp/english/index.html; and Salt Science Research Foundation. The funders had no role in study design, data collection and analysis, decision to publish, or preparation of the manuscript.</t>
  </si>
  <si>
    <t>e82410</t>
  </si>
  <si>
    <t>10.1371/journal.pone.0082410</t>
  </si>
  <si>
    <t>WOS:000327947800100</t>
  </si>
  <si>
    <t>Meessen, J; Sánchez, FJ; Sadowsky, A; de la Torre, R; Ott, S; de Vera, JP</t>
  </si>
  <si>
    <t>Meessen, J.; Sanchez, F. J.; Sadowsky, A.; de la Torre, R.; Ott, S.; de Vera, J. -P.</t>
  </si>
  <si>
    <t>Extremotolerance and Resistance of Lichens: Comparative Studies on Five Species Used in Astrobiological Research II. Secondary Lichen Compounds</t>
  </si>
  <si>
    <t>ORIGINS OF LIFE AND EVOLUTION OF BIOSPHERES</t>
  </si>
  <si>
    <t>Lichens; Secondary lichen compounds; Melanin; Parietin; Rhizocarpic acid; Extremotolerance; BIOMEX</t>
  </si>
  <si>
    <t>SIMULATED MARS CONDITIONS; PRE-CONTACT STATE; OUTER-SPACE; USNIC ACID; RECOGNITION MECHANISMS; FULGENSIA-BRACTEATA; XANTHORIA-PARIETINA; ANTARCTIC HABITATS; ABSORPTION-SPECTRA; LOBARIA-PULMONARIA</t>
  </si>
  <si>
    <t>Lichens, which are symbioses of a fungus and one or two photoautotrophs, frequently tolerate extreme environmental conditions. This makes them valuable model systems in astrobiological research to fathom the limits and limitations of eukaryotic symbioses. Various studies demonstrated the high resistance of selected extremotolerant lichens towards extreme, non-terrestrial abiotic factors including space exposure, hypervelocity impact simulations as well as space and Martian parameter simulations. This study focusses on the diverse set of secondary lichen compounds (SLCs) that act as photo-and UVR-protective substances. Five lichen species used in present-day astrobiological research were compared: Buellia frigida, Circinaria gyrosa, Rhizocarpon geographicum, Xanthoria elegans, and Pleopsidium chlorophanum. Detailed investigation of secondary substances including photosynthetic pigments was performed for whole lichen thalli but also for axenically cultivated mycobionts and photobionts by methods of UV/VIS-spectrophotometry and two types of high performance liquid chromatography (HPLC). Additionally, a set of chemical tests is presented to confirm the formation of melanic compounds in lichen and mycobiont samples. All investigated lichens reveal various sets of SLCs, except C. gyrosa where only melanin was putatively identified. Such studies will help to assess the contribution of SLCs on lichen extremotolerance, to understand the adaptation of lichens to prevalent abiotic stressors of the respective habitat, and to form a basis for interpreting recent and future astrobiological experiments. As most of the identified SLCs demonstrated a high capacity in absorbing UVR, they may also explain the high resistance of lichens towards non-terrestrial UVR.</t>
  </si>
  <si>
    <t>[Meessen, J.; Sadowsky, A.; Ott, S.] Univ Dusseldorf, Inst Bot, D-40225 Dusseldorf, Germany; [Sanchez, F. J.; de la Torre, R.] INTA, Madrid 28850, Spain; [de Vera, J. -P.] Deutsch Zentrum Luft &amp; Raumfahrt DLR, Inst Planetenforsch, D-12489 Berlin, Germany</t>
  </si>
  <si>
    <t>Heinrich Heine University Dusseldorf; Consejo Superior de Investigaciones Cientificas (CSIC); CSIC - Centro de Astrobiologia (INTA); Helmholtz Association; German Aerospace Centre (DLR)</t>
  </si>
  <si>
    <t>Meessen, J (corresponding author), Univ Dusseldorf, Inst Bot, Univ Str 1, D-40225 Dusseldorf, Germany.</t>
  </si>
  <si>
    <t>joachimmeessen@gmx.de</t>
  </si>
  <si>
    <t>Nechaeva, Polina Y/N-1148-2015</t>
  </si>
  <si>
    <t>Nechaeva, Polina Y/0000-0002-5910-4117; de la Torre Noetzel, Maria Rosa/0000-0003-2394-0268; Sanchez Inigo, Francisco Javier/0000-0002-6822-5180</t>
  </si>
  <si>
    <t>German Federal Ministry of Economics and Technology (BMWi); German Aerospace Center (DLR) [50BW1153]; Spanish Instituto Nacional de Tecnica Aeroespacial (INTA); German Research Foundation (DFG) [OT 96/15-1]</t>
  </si>
  <si>
    <t>German Federal Ministry of Economics and Technology (BMWi)(Federal Ministry for Economic Affairs and Energy (BMWi)); German Aerospace Center (DLR)(Helmholtz AssociationGerman Aerospace Centre (DLR)); Spanish Instituto Nacional de Tecnica Aeroespacial (INTA); German Research Foundation (DFG)(German Research Foundation (DFG))</t>
  </si>
  <si>
    <t>The authors would like to express their gratitude to the German Federal Ministry of Economics and Technology (BMWi) and the German Aerospace Center (DLR) for funding the work of Joachim Meessen (50BW1153), to the Spanish Instituto Nacional de Tecnica Aeroespacial (INTA) for granting a PhD scholarship to Francisco Javier Sanchez, and to ESA and the DLR for supporting the space experiment BIOMEX (ESA-ILSRA 2009-0834, P-I Dr. J.-P. de Vera). Samples of B. frigida and P. chlorophanum were collected by S. Ott during the GANOVEX 10 expedition which was funded by the German Research Foundation (DFG, OT 96/15-1) in the framework of the Antarctic Priority Program 1158. We would also like to thank Dr. Abdessamad Debbab and Andreas Marmann from the Institute of Pharmaceutical Biology and Biotechnology (HHU Dusseldorf) and Eva Posthoff for their friendly support as well as the anonymous reviewers for their comments and suggestions. Some results of this study were presented on the 12th European Workshop on Astrobiology (P6.16, EANA 2012).</t>
  </si>
  <si>
    <t>0169-6149</t>
  </si>
  <si>
    <t>1573-0875</t>
  </si>
  <si>
    <t>ORIGINS LIFE EVOL B</t>
  </si>
  <si>
    <t>Orig. Life Evol. Biosph.</t>
  </si>
  <si>
    <t>DEC</t>
  </si>
  <si>
    <t>10.1007/s11084-013-9348-z</t>
  </si>
  <si>
    <t>AM6CA</t>
  </si>
  <si>
    <t>WOS:000339947500004</t>
  </si>
  <si>
    <t>Leane, E</t>
  </si>
  <si>
    <t>Leane, Elizabeth</t>
  </si>
  <si>
    <t>Icescape Theatre Staging the Antarctic</t>
  </si>
  <si>
    <t>PERFORMANCE RESEARCH</t>
  </si>
  <si>
    <t>[Leane, Elizabeth] Univ Tasmania, Inst Marine &amp; Antarctic Studies, Hobart, Tas 7001, Australia; [Leane, Elizabeth] Univ Tasmania, Sch Humanities, Hobart, Tas 7001, Australia</t>
  </si>
  <si>
    <t>University of Tasmania; University of Tasmania</t>
  </si>
  <si>
    <t>Leane, E (corresponding author), Univ Tasmania, Inst Marine &amp; Antarctic Studies, Hobart, Tas 7001, Australia.</t>
  </si>
  <si>
    <t>elizabeth.leane@utas.edu.au</t>
  </si>
  <si>
    <t>Leane, Elizabeth M/J-7138-2014</t>
  </si>
  <si>
    <t>Leane, Elizabeth/0000-0002-7954-6529</t>
  </si>
  <si>
    <t>1352-8165</t>
  </si>
  <si>
    <t>1469-9990</t>
  </si>
  <si>
    <t>PERFORM RES</t>
  </si>
  <si>
    <t>Perform. Res.</t>
  </si>
  <si>
    <t>DEC 1</t>
  </si>
  <si>
    <t>10.1080/13528165.2013.908051</t>
  </si>
  <si>
    <t>Theater</t>
  </si>
  <si>
    <t>Arts &amp; Humanities Citation Index (A&amp;HCI)</t>
  </si>
  <si>
    <t>AG1ZB</t>
  </si>
  <si>
    <t>WOS:000335213600003</t>
  </si>
  <si>
    <t>Pagnes, A; Stenke, V</t>
  </si>
  <si>
    <t>Pagnes, Andrea; Stenke, Verena</t>
  </si>
  <si>
    <t>Antarctic Dream - Ice as Architecture of the Human Spirit VestAndPage performative works in Antarctica</t>
  </si>
  <si>
    <t>verena@vest-and-page.de</t>
  </si>
  <si>
    <t>10.1080/13528165.2013.908059</t>
  </si>
  <si>
    <t>WOS:000335213600010</t>
  </si>
  <si>
    <t>Di Lorenzo, E; Mountain, D; Batchelder, HP; Bond, N; Hofmann, EE</t>
  </si>
  <si>
    <t>Di Lorenzo, Emanuele; Mountain, David; Batchelder, Harold P.; Bond, Nicholas; Hofmann, Eileen E.</t>
  </si>
  <si>
    <t>Advances in Marine Ecosystem Dynamics from US GLOBEC The Horizontal-Advection Bottom-up Forcing Paradigm</t>
  </si>
  <si>
    <t>OCEANOGRAPHY</t>
  </si>
  <si>
    <t>PHYTOPLANKTON COMMUNITY STRUCTURE; WEST ANTARCTIC PENINSULA; NORTHERN GULF; CHLOROPHYLL DISTRIBUTION; INTERANNUAL VARIABILITY; EUPHAUSIA-SUPERBA; OCEAN CLIMATE; SEA-ICE; ALASKA; EDDIES</t>
  </si>
  <si>
    <t>A primary focus of the US Global Ocean Ecosystem Dynamics (GLOBEC) program was to identify the mechanisms of ecosystem response to large-scale climate forcing under the assumption that bottom-up forcing controls a large fraction of marine ecosystem variability. At the beginning of GLOBEC, the prevailing bottom-up forcing hypothesis was that climate-induced changes in vertical transport modulated nutrient supply and surface primary productivity, which in turn affected the lower trophic levels (e.g., zooplankton) and higher trophic levels (e.g., fish) through the trophic cascade. Although upwelling dynamics were confirmed to be an important driver of ecosystem variability in GLOBEC studies, the use of eddy-resolving regional-scale ocean circulation models combined with field observations revealed that horizontal advection is an equally important driver of marine ecosystem variability. Through a synthesis of studies from the four US GLOBEC regions (Gulf of Alaska, Northern California Current, Northwest Atlantic, and Southern Ocean), a new horizontal-advection bottom-up forcing paradigm emerges in which large-scale climate forcing drives regional changes in alongshore and cross-shelf ocean transport that directly impact ecosystem functions (e.g., productivity, species composition, spatial connectivity). The horizontal advection bottom-up forcing paradigm expands the mechanistic pathways through which climate variability and climate change impact the marine ecosystem. In particular, these results highlight the need for future studies to resolve and understand the role of mesoscale and submesoscale transport processes and their relationship to climate.</t>
  </si>
  <si>
    <t>[Di Lorenzo, Emanuele] Georgia Inst Technol, Sch Earth &amp; Atmospher Sci, Atlanta, GA 30332 USA; [Batchelder, Harold P.] Oregon State Univ, Coll Earth Ocean &amp; Atmospher Sci, Corvallis, OR 97331 USA; [Bond, Nicholas] Univ Washington, Joint Inst Study Atmosphere &amp; Ocean, Seattle, WA 98195 USA; [Hofmann, Eileen E.] Old Dominion Univ, Dept Ocean Earth &amp; Atmospher Sci, Norfolk, VA USA</t>
  </si>
  <si>
    <t>University System of Georgia; Georgia Institute of Technology; Oregon State University; University of Washington; University of Washington Seattle; Old Dominion University</t>
  </si>
  <si>
    <t>Di Lorenzo, E (corresponding author), Georgia Inst Technol, Sch Earth &amp; Atmospher Sci, Atlanta, GA 30332 USA.</t>
  </si>
  <si>
    <t>edl@gatech.edu</t>
  </si>
  <si>
    <t>Di Lorenzo, Emanuele/E-9107-2012</t>
  </si>
  <si>
    <t>Di Lorenzo, Emanuele/0000-0002-1935-7363</t>
  </si>
  <si>
    <t>Division Of Ocean Sciences; Directorate For Geosciences [1026607] Funding Source: National Science Foundation</t>
  </si>
  <si>
    <t>Division Of Ocean Sciences; Directorate For Geosciences(National Science Foundation (NSF)NSF - Directorate for Geosciences (GEO))</t>
  </si>
  <si>
    <t>OCEANOGRAPHY SOC</t>
  </si>
  <si>
    <t>ROCKVILLE</t>
  </si>
  <si>
    <t>P.O. BOX 1931, ROCKVILLE, MD USA</t>
  </si>
  <si>
    <t>1042-8275</t>
  </si>
  <si>
    <t>10.5670/oceanog.2013.73</t>
  </si>
  <si>
    <t>AC7YI</t>
  </si>
  <si>
    <t>Green Submitted, Green Published, gold</t>
  </si>
  <si>
    <t>WOS:000332749800005</t>
  </si>
  <si>
    <t>Rovirosa, J; Soler, A; Blanc, V; León, R; San-Martín, A</t>
  </si>
  <si>
    <t>Rovirosa, Juana; Soler, Agnes; Blanc, Vanessa; Leon, Ruben; San-Martin, Aurelio</t>
  </si>
  <si>
    <t>BIOACTIVE MONOTERPENES FROM ANTARCTIC PLOCAMIUM CARTILAGINEUM</t>
  </si>
  <si>
    <t>JOURNAL OF THE CHILEAN CHEMICAL SOCIETY</t>
  </si>
  <si>
    <t>Algae; Plocamium cartilagineum; Antarctic; monoterpenes</t>
  </si>
  <si>
    <t>MARINE NATURAL-PRODUCTS; RED ALGA PLOCAMIUM; HALOGENATED MONOTERPENES</t>
  </si>
  <si>
    <t>In a chemical analysis of the red seaweed Plocamium cartilagineum collected in Antarctic Peninsula, four polyhalogenated monoterpenes were isolated. Their structures were established by spectroscopic techniques. Two of them are acyclic monoterpenes and the others are cyclic. We report the antimicrobial, insecticide and acaricide activities of compounds.</t>
  </si>
  <si>
    <t>[Rovirosa, Juana; San-Martin, Aurelio] Univ Chile, Fac Ciencias, Depto Quim, Santiago, Region Metropol, Chile; [San-Martin, Aurelio] Univ Magallanes, Fac Ciencias, Punta Arenas, Magallanes Regi, Chile; [Soler, Agnes; Blanc, Vanessa; Leon, Ruben] DENTAID SL, Dept Microbiol, Barcelona, Spain</t>
  </si>
  <si>
    <t>Universidad de Chile; Universidad de Magallanes</t>
  </si>
  <si>
    <t>Rovirosa, J (corresponding author), Univ Chile, Fac Ciencias, Depto Quim, Casilla 653, Santiago, Region Metropol, Chile.</t>
  </si>
  <si>
    <t>aurelio@uchile.cl</t>
  </si>
  <si>
    <t>Instituto Antartico Chileno [INACH T_15-09]</t>
  </si>
  <si>
    <t>Instituto Antartico Chileno</t>
  </si>
  <si>
    <t>We thank to E. I. Du Pont de Nemours and Company, Stine-Haskell Research Center, Agricultural Products, Newark, USA, for carry out the insecticide/ acaricide screen. This work was supported by Instituto Antartico Chileno (Proyecto INACH T_15-09).</t>
  </si>
  <si>
    <t>SOC CHILENA QUIMICA</t>
  </si>
  <si>
    <t>CONCEPCION</t>
  </si>
  <si>
    <t>CASILLA 2613, CONCEPCION, 00000, CHILE</t>
  </si>
  <si>
    <t>0717-9707</t>
  </si>
  <si>
    <t>J CHIL CHEM SOC</t>
  </si>
  <si>
    <t>J. Chil. Chem. Soc.</t>
  </si>
  <si>
    <t>10.4067/S0717-97072013000400026</t>
  </si>
  <si>
    <t>Chemistry, Multidisciplinary</t>
  </si>
  <si>
    <t>Chemistry</t>
  </si>
  <si>
    <t>AA6WL</t>
  </si>
  <si>
    <t>WOS:000331238800022</t>
  </si>
  <si>
    <t>Alekseeva, TA; Frolov, SV</t>
  </si>
  <si>
    <t>Alekseeva, T. A.; Frolov, S. V.</t>
  </si>
  <si>
    <t>Comparative analysis of satellite and shipborne data on ice cover in the Russian Arctic seas</t>
  </si>
  <si>
    <t>IZVESTIYA ATMOSPHERIC AND OCEANIC PHYSICS</t>
  </si>
  <si>
    <t>sea ice cover; ice concentration; shipborne ice observations; remote sensing methods</t>
  </si>
  <si>
    <t>IMAGERY; ALGORITHM</t>
  </si>
  <si>
    <t>The SSM/I data processed by the NASA Team algorithm are used to compare the total ice concentration obtained from the visual shipborne observations with satellite images. A comparison of the satellite images with the shipborne data shows significant differences with the shipborne data observed onboard ice-breakers during 15 scientific expeditions to the Barents, Kara, Laptev, and East Siberian seas. The most pronounced differences are observed in the ice edge regions. They cause errors in the estimates of the total ice concentration and ice extent, which makes difficult to use them in various practical and scientific tasks. Generally, the methods of remote sensing (RS) underestimate the real sea ice concentration: the average error is on the order of 10% in both winter and in summer. A statistical analysis of the comparison of two sources of information was carried out separately for the total ice concentration for summer and winter data taking into account the new ice and without it. During the summer period in the area of open ice, the SSM/I data over-estimate the total ice concentration by 0.5-1, but in close ice they underestimate it on average by 2 grades. If the new ice is subtracted from the total ice concentration obtained onboard the icebreakers, the total error decreases to -3.4%. In the winter period in the region of rare ice, the SSM/I data overestimate the total ice concentration by 1-2 grades, but in close ice this difference is as high as 2, like in summer. New ice in winter is determined better by remote sensing methods than in summer; hence, its exclusion from the total ice concentration does not lead to a decrease in the average error.</t>
  </si>
  <si>
    <t>[Alekseeva, T. A.; Frolov, S. V.] Arctic &amp; Antarctic Res Inst, State Fed Sci Ctr, St Petersburg 199397, Russia</t>
  </si>
  <si>
    <t>Arctic &amp; Antarctic Research Institute</t>
  </si>
  <si>
    <t>Alekseeva, TA (corresponding author), Arctic &amp; Antarctic Res Inst, State Fed Sci Ctr, Ul Beringa 38, St Petersburg 199397, Russia.</t>
  </si>
  <si>
    <t>taa@aari.ru</t>
  </si>
  <si>
    <t>Alekseeva, Tatiana/M-1972-2019</t>
  </si>
  <si>
    <t>Alekseeva, Tatiana/0000-0002-1575-8784</t>
  </si>
  <si>
    <t>Russian-German O. Schmidt Laboratory of Polar and Marine Researches [OSL-07-01]; Russian Foundation for Basic Research [11-05-12019-ofi-m-2011]</t>
  </si>
  <si>
    <t>Russian-German O. Schmidt Laboratory of Polar and Marine Researches; Russian Foundation for Basic Research(Russian Foundation for Basic Research (RFBR)Spanish Government)</t>
  </si>
  <si>
    <t>This study was supported by the Russian-German O. Schmidt Laboratory of Polar and Marine Researches (grant OSL-07-01) and by the Russian Foundation for Basic Research (project no. 11-05-12019-ofi-m-2011).</t>
  </si>
  <si>
    <t>0001-4338</t>
  </si>
  <si>
    <t>1555-628X</t>
  </si>
  <si>
    <t>IZV ATMOS OCEAN PHY+</t>
  </si>
  <si>
    <t>Izv. Atmos. Ocean. Phys.</t>
  </si>
  <si>
    <t>10.1134/S000143381309017X</t>
  </si>
  <si>
    <t>AA3DM</t>
  </si>
  <si>
    <t>WOS:000330973100002</t>
  </si>
  <si>
    <t>Yu, J; Hu, QH; Xie, ZQ; Kang, H; Li, M; Li, Z; Ye, PP</t>
  </si>
  <si>
    <t>Yu, Juan; Hu, Qihou; Xie, Zhouqing; Kang, Hui; Li, Ming; Li, Zheng; Ye, Peipei</t>
  </si>
  <si>
    <t>Concentration and Size Distribution of Fungi Aerosol over Oceans along a Cruise Path during the Fourth Chinese Arctic Research Expedition</t>
  </si>
  <si>
    <t>ATMOSPHERE</t>
  </si>
  <si>
    <t>fungi; concentration; size distribution; marine boundary layer; the Arctic Ocean</t>
  </si>
  <si>
    <t>QINGDAO COASTAL REGION; OUTDOOR ENVIRONMENTS; AIRBORNE FUNGI; UNITED-STATES; AIR; PARTICLES; ATMOSPHERE; WATER; BIOAEROSOLS; BACTERIA</t>
  </si>
  <si>
    <t>Bioaerosol can act as nuclei and thus may play an important role in climate change. During the Fourth Chinese National Arctic Research Expedition (CHINARE 2010) from July to September 2010, the concentrations and size distributions of airborne fungi, which are thought to be one of important bioaerosols, in the marine boundary layer were investigated. The concentrations of airborne fungi varied considerably with a range of 0 to 320.4 CFU/m(3). The fungal concentrations in the marine boundary layer were significantly lower than those in most continental ecosystems. Airborne fungi over oceans roughly displayed a decreasing trend with increasing latitudes. The mean concentrations of airborne fungi in the region of offshore China, the western North Pacific Ocean, the Chukchi Sea, the Canada Basin, and the central Arctic Ocean were 172.2 +/- 158.4, 73.8 +/- 104.4, 13.3 +/- 16.2, 16.5 +/- 8.0, and 1.2 +/- 1.0 CFU/m(3), respectively. In most areas airborne fungi showed a unimodal size distribution pattern, with the maximum proportion (about 36.2%) in the range of 2.1 similar to 3.3 mu m and the minimum proportion (about 3.5%) in the range of 0.65 similar to 1.1 mu m, and over 50% occurred on the fine size (&lt;3.3 mu m). Potential factors influencing airborne fungal concentrations, including the origin of air mass, meteorological conditions, and sea ice conditions, were discussed.</t>
  </si>
  <si>
    <t>[Yu, Juan; Hu, Qihou; Xie, Zhouqing; Kang, Hui; Li, Ming; Li, Zheng; Ye, Peipei] Univ Sci &amp; Technol China, Sch Earth &amp; Space Sci, Inst Polar Environm, Hefei 230026, Peoples R China; [Xie, Zhouqing; Ye, Peipei] Univ Sci &amp; Technol China, Sch Life Sci, Hefei 230026, Peoples R China</t>
  </si>
  <si>
    <t>Chinese Academy of Sciences; University of Science &amp; Technology of China, CAS; Chinese Academy of Sciences; University of Science &amp; Technology of China, CAS</t>
  </si>
  <si>
    <t>Xie, ZQ (corresponding author), Univ Sci &amp; Technol China, Sch Earth &amp; Space Sci, Inst Polar Environm, Hefei 230026, Peoples R China.</t>
  </si>
  <si>
    <t>jyu1124@ustc.edu.cn; huqihou@ustc.edu.cn; zqxie@ustc.edu.cn; rillian@ustc.edu.cn; qwliming@mail.ustc.edu.cn; lizheng@mail.ustc.edu.cn; yepei@mail.ustc.edu.cn</t>
  </si>
  <si>
    <t>xie, zhouqing/P-9661-2019</t>
  </si>
  <si>
    <t>China National Natural Science Foundation [41025020, 41176170]; Fourth China Arctic Research Expedition; Chinese Arctic and Antarctic Administration [CHINARE2013]</t>
  </si>
  <si>
    <t>China National Natural Science Foundation(National Natural Science Foundation of China (NSFC)); Fourth China Arctic Research Expedition; Chinese Arctic and Antarctic Administration</t>
  </si>
  <si>
    <t>This study was supported by the China National Natural Science Foundation (Project No. 41025020, 41176170), the Fourth China Arctic Research Expedition and the Chinese Arctic and Antarctic Administration (CHINARE2013). The authors acknowledge the NOAA Air Resources Laboratory (ARL) for the HYSPLIT transport and dispersion model on the internet.</t>
  </si>
  <si>
    <t>MDPI AG</t>
  </si>
  <si>
    <t>BASEL</t>
  </si>
  <si>
    <t>ST ALBAN-ANLAGE 66, CH-4052 BASEL, SWITZERLAND</t>
  </si>
  <si>
    <t>2073-4433</t>
  </si>
  <si>
    <t>ATMOSPHERE-BASEL</t>
  </si>
  <si>
    <t>Atmosphere</t>
  </si>
  <si>
    <t>10.3390/atmos4040337</t>
  </si>
  <si>
    <t>Environmental Sciences; Meteorology &amp; Atmospheric Sciences</t>
  </si>
  <si>
    <t>301GA</t>
  </si>
  <si>
    <t>WOS:000330519600002</t>
  </si>
  <si>
    <t>Karpechko, AY; Maraun, D; Eyring, V</t>
  </si>
  <si>
    <t>Karpechko, Alexey Yu; Maraun, Douglas; Eyring, Veronika</t>
  </si>
  <si>
    <t>Improving Antarctic Total Ozone Projections by a Process-Oriented Multiple Diagnostic Ensemble Regression</t>
  </si>
  <si>
    <t>JOURNAL OF THE ATMOSPHERIC SCIENCES</t>
  </si>
  <si>
    <t>CHEMISTRY-CLIMATE MODEL; QUASI-BIENNIAL OSCILLATION; MIDDLE ATMOSPHERE; TECHNICAL NOTE; STRATOSPHERE; SIMULATION; TRANSPORT; VALIDATION; SURFACE; TRENDS</t>
  </si>
  <si>
    <t>Accurate projections of stratospheric ozone are required because ozone changes affect exposure to ultraviolet radiation and tropospheric climate. Unweighted multimodel ensemble-mean (uMMM) projections from chemistry-climate models (CCMs) are commonly used to project ozone in the twenty-first century, when ozone-depleting substances are expected to decline and greenhouse gases are expected to rise. Here, the authors address the question of whether Antarctic total column ozone projections in October given by the uMMM of CCM simulations can be improved by using a process-oriented multiple diagnostic ensemble regression (MDER) method. This method is based on the correlation between simulated future ozone and selected key processes relevant for stratospheric ozone under present-day conditions. The regression model is built using an algorithm that selects those process-oriented diagnostics that explain a significant fraction of the spread in the projected ozone among the CCMs. The regression model with observed diagnostics is then used to predict future ozone and associated uncertainty. The precision of the authors' method is tested in a pseudoreality; that is, the prediction is validated against an independent CCM projection used to replace unavailable future observations. The tests show that MDER has higher precision than uMMM, suggesting an improvement in the estimate of future Antarctic ozone. The authors' method projects that Antarctic total ozone will return to 1980 values at around 2055 with the 95% prediction interval ranging from 2035 to 2080. This reduces the range of return dates across the ensemble of CCMs by about a decade and suggests that the earliest simulated return dates are unlikely.</t>
  </si>
  <si>
    <t>[Karpechko, Alexey Yu] Finnish Meteorol Inst, FIN-00101 Helsinki, Finland; [Maraun, Douglas] GEOMAR Helmholtz Ctr Ocean Res Kiel, Kiel, Germany; [Eyring, Veronika] Deutsch Zentrum Luft &amp; Raumfahrt, Inst Physik Atmosphare, Oberpfaffenhofen, Germany</t>
  </si>
  <si>
    <t>Finnish Meteorological Institute; Helmholtz Association; GEOMAR Helmholtz Center for Ocean Research Kiel; Helmholtz Association; German Aerospace Centre (DLR)</t>
  </si>
  <si>
    <t>Karpechko, AY (corresponding author), Finnish Meteorol Inst, POB 503, FIN-00101 Helsinki, Finland.</t>
  </si>
  <si>
    <t>alexey.karpechko@fmi.fi</t>
  </si>
  <si>
    <t>Eyring, Veronika/O-9999-2016; Karpechko, Alexey/JVN-9414-2024; Maraun, Douglas/S-7255-2017</t>
  </si>
  <si>
    <t>Eyring, Veronika/0000-0002-6887-4885; Karpechko, Alexey/0000-0003-0902-0414; Maraun, Douglas/0000-0002-4076-0456</t>
  </si>
  <si>
    <t>Finnish Academy [132851, 140408, 259537, 258701]; German Academic Exchange Service (DAAD) [54777989]; DLR Earth System Model Validation (ESMVal) project; Academy of Finland (AKA) [132851, 258701] Funding Source: Academy of Finland (AKA)</t>
  </si>
  <si>
    <t>Finnish Academy(Research Council of Finland); German Academic Exchange Service (DAAD)(Deutscher Akademischer Austausch Dienst (DAAD)); DLR Earth System Model Validation (ESMVal) project; Academy of Finland (AKA)(Research Council of Finland)</t>
  </si>
  <si>
    <t>We thank Mattia Righi and Robert Sausen (DLR, Germany), Markus Kunze (FUB, Germany), and two anonymous reviewers for their helpful comments on the manuscript. We acknowledge the Chemistry-Climate Model Validation (CCMVal) Activity for WCRP's Stratospheric Processes and their Role in Climate (SPARC) project for organizing and coordinating the model data analysis activity and the British Atmospheric Data Center (BADC) for collecting and archiving the CCMVal model output. We thank the CCMVal model groups that are listed in Table 1 of this manuscript for providing their model data for the CCMVal Archive. We thank Greg Bodeker, the TOMS/SBUV team, the MLS team, and the HALOE team for providing access to their data. The work of AYK is supported by Finnish Academy under Grants 132851, 140408, 259537, and 258701. DM received a travel grant from the German Academic Exchange Service (DAAD, Project 54777989). The work of VE was supported by the DLR Earth System Model Validation (ESMVal) project.</t>
  </si>
  <si>
    <t>0022-4928</t>
  </si>
  <si>
    <t>1520-0469</t>
  </si>
  <si>
    <t>J ATMOS SCI</t>
  </si>
  <si>
    <t>J. Atmos. Sci.</t>
  </si>
  <si>
    <t>10.1175/JAS-D-13-071.1</t>
  </si>
  <si>
    <t>301OE</t>
  </si>
  <si>
    <t>WOS:000330540800008</t>
  </si>
  <si>
    <t>Wesche, C; Jansen, D; Dierking, W</t>
  </si>
  <si>
    <t>Wesche, Christine; Jansen, Daniela; Dierking, Wolfgang</t>
  </si>
  <si>
    <t>Calving Fronts of Antarctica: Mapping and Classification</t>
  </si>
  <si>
    <t>REMOTE SENSING</t>
  </si>
  <si>
    <t>ice shelf; edge detection; SAR; icebergs</t>
  </si>
  <si>
    <t>AMERY ICE SHELF; MARINE ICE; ICEBERG; MODEL</t>
  </si>
  <si>
    <t>Antarctica is surrounded by a variety of large, medium and small sized ice shelves, glacier tongues and coastal areas without offshore floating ice masses. We used the mosaic of the Radarsat-1 Antarctica Mapping Project (RAMP) Antarctic Mapping Mission 1 (AMM) to classify the coastline of Antarctica in terms of surface structure patterns close to the calving front. With the aid of an automated edge detection method, complemented by manual control, the surface structures of all ice shelves and glacier tongues around Antarctica were mapped. We found dense and less dense patterns of surface structures unevenly distributed over the ice shelves and ice tongues. Dense surface patterns are frequent on fast flowing ice masses (ice streams), whereas most ice shelves show a dense surface pattern only close to the grounding line. Flow line analyses on ten ice shelves reveal that the time of residence of the ice along a flow path and-associated with it-the healing of surface crevasses can explain the different surface structure distribution close to the grounding line and the calving front on many ice shelves. Based on the surface structures relative to the calving front within a 15 km-wide seaward strip, the ice shelf fronts can be separated into three classes. The resulting map of the classified calving fronts around Antarctica and their description provide a detailed picture of crevasse formation and the observed dominant iceberg shapes.</t>
  </si>
  <si>
    <t>[Wesche, Christine; Jansen, Daniela; Dierking, Wolfgang] Helmholtz Ctr Polar &amp; Marine Res, Alfred Wegener Inst, D-27570 Bremerhaven, Germany</t>
  </si>
  <si>
    <t>Wesche, C (corresponding author), Helmholtz Ctr Polar &amp; Marine Res, Alfred Wegener Inst, Bussestr 24, D-27570 Bremerhaven, Germany.</t>
  </si>
  <si>
    <t>christine.wesche@awi.de; daniela.jansen@awi.de; wolfgang.dierking@awi.de</t>
  </si>
  <si>
    <t>Jansen, Daniela/AAG-2773-2019</t>
  </si>
  <si>
    <t>Wesche, Christine/0000-0002-9786-4010; Jansen, Daniela/0000-0002-4412-5820</t>
  </si>
  <si>
    <t>German Research Foundation (DFG) [WE 4772/1]; HGF junior research group [VHNG 802]</t>
  </si>
  <si>
    <t>German Research Foundation (DFG)(German Research Foundation (DFG)); HGF junior research group</t>
  </si>
  <si>
    <t>The authors thank M. Ebner for his contributions to this work. The SAR mosaic was provided by the Byrd Polar Research Center at the Ohio State University (http://bprc.osu.edu/rsl/radarsat/data/). C. Wesche is funded by the German Research Foundation (DFG) Priority Programme 1158 Antarctic research with comparative investigations in Arctic ice areas (WE 4772/1). D. Jansen is funded by the HGF junior research group The effect of deformation mechanism for ice sheet dynamics (VHNG 802). We thank the three anonymous reviewers for constructive and helpful comments.</t>
  </si>
  <si>
    <t>MDPI</t>
  </si>
  <si>
    <t>2072-4292</t>
  </si>
  <si>
    <t>REMOTE SENS-BASEL</t>
  </si>
  <si>
    <t>Remote Sens.</t>
  </si>
  <si>
    <t>10.3390/rs5126305</t>
  </si>
  <si>
    <t>Environmental Sciences; Geosciences, Multidisciplinary; Remote Sensing; Imaging Science &amp; Photographic Technology</t>
  </si>
  <si>
    <t>Environmental Sciences &amp; Ecology; Geology; Remote Sensing; Imaging Science &amp; Photographic Technology</t>
  </si>
  <si>
    <t>298JB</t>
  </si>
  <si>
    <t>WOS:000330318900008</t>
  </si>
  <si>
    <t>Nomura, D; Granskog, MA; Assmy, P; Simizu, D; Hashida, G</t>
  </si>
  <si>
    <t>Nomura, Daiki; Granskog, Mats A.; Assmy, Philipp; Simizu, Daisuke; Hashida, Gen</t>
  </si>
  <si>
    <t>Arctic and Antarctic sea ice acts as a sink for atmospheric CO2 during periods of snowmelt and surface flooding</t>
  </si>
  <si>
    <t>sea ice; snow; CO2; gas exchange; Arctic; Antarctic</t>
  </si>
  <si>
    <t>INORGANIC CARBON; GAP LAYERS; FLUX; EXCHANGE; SUMMER; AIR; SNOWPACK; WATER</t>
  </si>
  <si>
    <t>In this study, we present evidence that Antarctic and Arctic sea ice act as sink for atmospheric CO2 during periods of snowmelt and surface flooding. The CO2 flux measured directly at the flooded sea ice surface (F-flood) constituted a net CO2 sink of -1.10.9 mmol C m(-2) d(-1) (mean1 SD), which was an order of magnitude higher than the flux measured at the snow-air surface (F-snow) and bare ice surface (F-ice). The F-snow/F-flood ratio decreased with increasing water equivalent of snow and superimposed-ice, suggesting that the properties of snow and superimposed-ice formation affect the magnitude of the CO2 flux. The F-snow/F-flood ratio ranged from 0.1 to 0.5, illustrating that 50-90% of the potential flux at the flooded surface was reduced due to the presence of snow/superimposed-ice. Hence, snow cover properties and superimposed-ice play an important role in the CO2 fluxes across the sea ice-snow-atmosphere interface.</t>
  </si>
  <si>
    <t>[Nomura, Daiki; Granskog, Mats A.; Assmy, Philipp] Norwegian Polar Res Inst, Fram Ctr, Tromso, Norway; [Nomura, Daiki; Simizu, Daisuke; Hashida, Gen] Natl Inst Polar Res, Tachikawa, Tokyo, Japan; [Nomura, Daiki] Japan Soc Promot Sci, Chiyoda Ku, Tokyo, Japan; [Nomura, Daiki; Simizu, Daisuke] Hokkaido Univ, Inst Low Temp Sci, Sapporo, Hokkaido 0600819, Japan</t>
  </si>
  <si>
    <t>Norwegian Polar Institute; Research Organization of Information &amp; Systems (ROIS); National Institute of Polar Research (NIPR) - Japan; Japan Society for the Promotion of Science; Hokkaido University</t>
  </si>
  <si>
    <t>Nomura, D (corresponding author), Hokkaido Univ, Inst Low Temp Sci, Kita Ku, Kita 19,Nishi 8, Sapporo, Hokkaido 0600819, Japan.</t>
  </si>
  <si>
    <t>daiki@lowtem.hokudai.ac.jp</t>
  </si>
  <si>
    <t>SIMIZU, Daisuke/0000-0003-4214-6756; Granskog, Mats/0000-0002-5035-4347</t>
  </si>
  <si>
    <t>Japan Society for the Promotion of Science [21810036, 23-207, 24-4175]; National Institute of Polar Research [GS2-2]; Fram Centre; Centre for Ice, Climate and Ecosystems (ICE) at the Norwegian Polar Institute; Grants-in-Aid for Scientific Research [21810036] Funding Source: KAKEN</t>
  </si>
  <si>
    <t>Japan Society for the Promotion of Science(Ministry of Education, Culture, Sports, Science and Technology, Japan (MEXT)Japan Society for the Promotion of Science); National Institute of Polar Research(National Institute of Polar Research (NIPR) - Japan); Fram Centre; Centre for Ice, Climate and Ecosystems (ICE) at the Norwegian Polar Institute; Grants-in-Aid for Scientific Research(Ministry of Education, Culture, Sports, Science and Technology, Japan (MEXT)Japan Society for the Promotion of ScienceGrants-in-Aid for Scientific Research (KAKENHI))</t>
  </si>
  <si>
    <t>We thank S. Nakatsubo, Y. Kodama, H. Fukushi, K.Fujita, and M. Fukuchi for their support in developing the automatic open-close chamber system. We also express our gratitude to H. Shinagawa, S. Chavanich, S. Koga, N. Koc, the crew of RV Lance, and members of the ICE11 cruise and the JARE51 expedition for their support in the field. Special thanks goes to Y. W. Watanabe, A. Boetius, and E. Weiz for providing support for DIC sample analyses. We also thank three anonymous reviewers for their useful comments. This study was supported by the Japan Society for the Promotion of Science (21810036, 23-207, 24-4175), the National Institute of Polar Research (GS2-2), the Fram Centre, and the Centre for Ice, Climate and Ecosystems (ICE) at the Norwegian Polar Institute.</t>
  </si>
  <si>
    <t>10.1002/2013JC009048</t>
  </si>
  <si>
    <t>292TU</t>
  </si>
  <si>
    <t>WOS:000329926200013</t>
  </si>
  <si>
    <t>Ghaffari, P; Isachsen, PE; LaCasce, JH</t>
  </si>
  <si>
    <t>Ghaffari, P.; Isachsen, P. E.; LaCasce, J. H.</t>
  </si>
  <si>
    <t>Topographic effects on current variability in the Caspian Sea</t>
  </si>
  <si>
    <t>Caspian Sea; variability; f; F contours; EB model</t>
  </si>
  <si>
    <t>ANTARCTIC CIRCUMPOLAR CURRENT; EQUIVALENT BAROTROPIC MODEL; ARCTIC-OCEAN; NORDIC SEAS; DEEP-WATER; CIRCULATION; SHELF; FLOW; IRAN</t>
  </si>
  <si>
    <t>Satellite-derived surface height fields reveal that variability in the central and southern basins of the Caspian Sea is correlated with topography. Consistently, empirical orthogonal functions from current meter data from the southern basin are aligned with the isobaths. In addition, the gravest mode, which accounts for over 80% of the variance, has an equivalent barotropic structure in the vertical. To what extent this variability can be modeled using a linear analytical model is examined. The latter assumes equivalent barotropic flow aligned with the geostrophic contours, which in turn are dominated by the topography. With ECMWF winds and ETOPO2 topography, the model yields surface height deviations which are significantly correlated with satellite-derived estimates on seasonal and longer time scales in the central basin. The model is somewhat less successful in the southern basin, where the stratification is stronger. Nevertheless, the results are encouraging, given the extreme simplicity of the model.</t>
  </si>
  <si>
    <t>[Ghaffari, P.; LaCasce, J. H.] Univ Oslo, Dept Geosci, N-0315 Oslo, Norway; [Isachsen, P. E.] Norwegian Meteorol Inst, Dept Res &amp; Dev, Oslo, Norway</t>
  </si>
  <si>
    <t>University of Oslo; Norwegian Meteorological Institute</t>
  </si>
  <si>
    <t>Ghaffari, P (corresponding author), Univ Oslo, Dept Geosci, N-0315 Oslo, Norway.</t>
  </si>
  <si>
    <t>peygham.ghaffari@geo.uio.no</t>
  </si>
  <si>
    <t>LaCasce, Joseph Henry/0000-0001-7655-5596</t>
  </si>
  <si>
    <t>10.1002/2013JC009128</t>
  </si>
  <si>
    <t>WOS:000329926200052</t>
  </si>
  <si>
    <t>Baird, MJ; Lee, DE; Lamare, MD</t>
  </si>
  <si>
    <t>Baird, Matthew J.; Lee, Daphne E.; Lamare, Miles D.</t>
  </si>
  <si>
    <t>Reproduction and Growth of the Terebratulid Brachiopod Liothyrella neozelanica Thomson, 1918 From Doubtful Sound, New Zealand</t>
  </si>
  <si>
    <t>BIOLOGICAL BULLETIN</t>
  </si>
  <si>
    <t>ARTICULATE BRACHIOPOD; POPULATION-STRUCTURE; UVA JACKSON; RECRUITMENT; METABOLISM; MORTALITY; PREDATION; ECOLOGY; LARVAL</t>
  </si>
  <si>
    <t>The reproductive cycle and growth of the temperate New Zealand rhynchonelliform brachiopod Liothyrella neozelanica was examined over 12 months (December 2010 and December 2011). The research aimed to clarify the spawning cycle, life history, population size, and age structure of L. neozelanica and to enable more direct comparisons with the Antarctic brachiopod Liothyrella uva. Reproduction over the course of a year was quantified by monthly examination of gonad size and gametogenesis. Histological examination indicated a seasonal cycle with prolonged, potentially asynchronous spawning. Increased numbers of large oocytes in July followed by a significant decrease in September suggest that female spawning takes place in early austral spring. A decrease in the proportion of the gonad area occupied by sperm during September suggests a level of spawning synchrony between sexes. Somatic growth was modeled from 60 tagged individuals. A maximum size of approximate to 50-mm shell length is achieved at 17 years of age, and instantaneous growth is highest in juveniles (9.7 mm yr(-1)). Mortality rate was estimated from the age distribution at an instantaneous rate of 0.14 yr(-1). A left-skewed size-frequency distribution implies high mortality in juveniles.</t>
  </si>
  <si>
    <t>[Baird, Matthew J.; Lamare, Miles D.] Univ Otago, Dept Marine Sci, Dunedin, New Zealand; [Lee, Daphne E.] Univ Otago, Dept Geol, Dunedin, New Zealand</t>
  </si>
  <si>
    <t>University of Otago; University of Otago</t>
  </si>
  <si>
    <t>Lamare, MD (corresponding author), Univ Otago, Dept Marine Sci, POB 56, Dunedin, New Zealand.</t>
  </si>
  <si>
    <t>miles.lamare@otago.ac.nz</t>
  </si>
  <si>
    <t>Lamare, Miles/0000-0001-8656-7240</t>
  </si>
  <si>
    <t>University of Otago; University of Otago Marine Science Department</t>
  </si>
  <si>
    <t>We thank the University of Otago for an MSc scholarship and a publishing bursary that provided funding throughout this endeavor. We also thank the University of Otago Marine Science Department for funding and support, Paul Meredith for skippering, Rory J. Kyle for field support, and Albert Zhao for laboratory assistance.</t>
  </si>
  <si>
    <t>UNIV CHICAGO PRESS</t>
  </si>
  <si>
    <t>CHICAGO</t>
  </si>
  <si>
    <t>1427 E 60TH ST, CHICAGO, IL 60637-2954 USA</t>
  </si>
  <si>
    <t>0006-3185</t>
  </si>
  <si>
    <t>1939-8697</t>
  </si>
  <si>
    <t>BIOL BULL-US</t>
  </si>
  <si>
    <t>Biol. Bull.</t>
  </si>
  <si>
    <t>10.1086/BBLv225n3p125</t>
  </si>
  <si>
    <t>Biology; Marine &amp; Freshwater Biology</t>
  </si>
  <si>
    <t>Life Sciences &amp; Biomedicine - Other Topics; Marine &amp; Freshwater Biology</t>
  </si>
  <si>
    <t>294JC</t>
  </si>
  <si>
    <t>WOS:000330040500001</t>
  </si>
  <si>
    <t>Cannon, JT; Swalla, BJ; Halanych, KM</t>
  </si>
  <si>
    <t>Cannon, Johanna T.; Swalla, Billie J.; Halanych, Kenneth M.</t>
  </si>
  <si>
    <t>Hemichordate Molecular Phylogeny Reveals a Novel Cold-Water Clade of Harrimaniid Acorn Worms</t>
  </si>
  <si>
    <t>ENTEROPNEUSTA; DEUTEROSTOME; EVOLUTION; INSIGHTS</t>
  </si>
  <si>
    <t>Hemichordates are instrumental to understanding early deuterostome and chordate evolution, yet diversity and relationships within the group have been understudied. Recently, there has been renewed interest in hemichordate diversity and taxonomy, although current findings suggest that much hemichordate diversity remains to be discovered. Herein, we present a molecular phylogenetic study based on nuclear 18S rDNA sequence data, which includes 35 previously unsampled taxa and represents all recognized hemichordate families. We include mitochondrial 16S rDNA data from 66 enteropneust taxa and three pterobranch Rhabdopleura species, and recover colonial pterobranchs and solitary enteropneusts as reciprocally monophyletic taxa. Our phylogenetic results also reveal a previously unknown clade of at least four species of harrimaniid enteropneusts from cold waters, including Antarctica, the North Atlantic around Iceland and Norway, and the deep sea off Oregon. These small worms (1-5 mm in length), occur from 130 to 2950 m and are not closely related to other deep-sea harrimaniids, indicating that diversity of enteropneusts within the deep sea is broader than previously described in the literature. Discovery of this clade, as well as larger torquaratorids from Antarctica, strengthens hypotheses of close associations between Antarctic and deep-sea fauna.</t>
  </si>
  <si>
    <t>[Cannon, Johanna T.; Halanych, Kenneth M.] Auburn Univ, Dept Biol Sci, Molette Biol Lab Environm &amp; Climate Change Studie, Auburn, AL 36849 USA; [Swalla, Billie J.] Univ Washington, Dept Biol, Seattle, WA 98195 USA; [Swalla, Billie J.; Halanych, Kenneth M.] Univ Washington, Friday Harbor Labs, Friday Harbor, WA 98250 USA</t>
  </si>
  <si>
    <t>Auburn University System; Auburn University; University of Washington; University of Washington Seattle; University of Washington</t>
  </si>
  <si>
    <t>Cannon, JT (corresponding author), Auburn Univ, Dept Biol Sci, Molette Biol Lab Environm &amp; Climate Change Studie, Auburn, AL 36849 USA.</t>
  </si>
  <si>
    <t>cannojt@tigermail.auburn.edu; ken@auburn.edu</t>
  </si>
  <si>
    <t>Cannon, Johanna/V-3842-2019; Halanych, Kenneth/A-9480-2009</t>
  </si>
  <si>
    <t>Cannon, Johanna/0000-0002-3920-7741; Halanych, Kenneth/0000-0002-8658-9674</t>
  </si>
  <si>
    <t>NSF [DEB-0315995, DEB-0816892, OPP-9910164, OPP-0338087, ANT-1043745, OCE-1155188]; National Science Foundation [DBI- 0939454]; ACHE-GRSP [NSF EPS-0447675]</t>
  </si>
  <si>
    <t>NSF(National Science Foundation (NSF)); National Science Foundation(National Science Foundation (NSF)); ACHE-GRSP</t>
  </si>
  <si>
    <t>We are indebted to Saskia Brix, the IceAGE Project research team, and Senckenberg's German Center for Marine Biodiversity Research (DZMB) for support in collecting Icelandic hemichordates. Many thanks to the staff and crews of R/V Meteor, R/V N. B. Palmer, R/V L. M. Gould, R/V Kit Jones, R/V Pelican, R/V Hokon Mosby, R/V Aurelia, and R/V Oceanus for assistance with obtaining specimens. We gratefully acknowledge Jon Norenburg and Darryl Felder for providing Rhabdopleura sp. from the Gulf of Mexico, supported by NSF DEB-0315995 to S. Fredericq and D. Felder at the University of Louisiana-Lafayette. Thanks to Christoffer Schander and Christiane Todt for providing Norwegian enteropneusts, and Richard Heard for assistance in collecting Balanoglossus cf. auranticus. Kevin Kocot, Mike Page, and Andrea Frey provided collection assistance. This work was supported by NSF DEB-0816892 to Ken Halanych and Billie J. Swalla. This material is supported in part by the National Science Foundation under Cooperative Agreement No. DBI- 0939454 BEACON for B. J. Swalla. Antarctic collections were supported by NSF grants OPP-9910164 and OPP-0338087 to R. S. Scheltema and K. M. Halanych, and ANT-1043745 to K. M. Halanych, A. R. Mahon, and S. R. Santos. Support for collection of the Oregon worm was provided by NSF OCE-1155188 to K. M. Halanych and C. R. Smith. J. T. C. was supported by the ACHE-GRSP (NSF EPS-0447675), Bermuda Institute of Ocean Sciences' grants-in-aid program, and Friday Harbor Laboratories Patricia L. Dudley Fellowship. This is Molette Biology Laboratory contribution 20 and Auburn University Marine Biology Program contribution 114.</t>
  </si>
  <si>
    <t>10.1086/BBLv225n3p194</t>
  </si>
  <si>
    <t>WOS:000330040500007</t>
  </si>
  <si>
    <t>Tsuji, M; Singh, SM; Yokota, Y; Kudoh, S; Hoshino, T</t>
  </si>
  <si>
    <t>Tsuji, Masaharu; Singh, Shiv M.; Yokota, Yuji; Kudoh, Sakae; Hoshino, Tamotsu</t>
  </si>
  <si>
    <t>Influence of Initial pH on Ethanol Production by the Antarctic Basidiomycetous Yeast Mrakia blollopis</t>
  </si>
  <si>
    <t>BIOSCIENCE BIOTECHNOLOGY AND BIOCHEMISTRY</t>
  </si>
  <si>
    <t>Mrakia; cryophilic yeast; ethanol fermentation; East Antarctica</t>
  </si>
  <si>
    <t>LIGNOCELLULOSIC BIOMASS; COLD ADAPTATION; FUNGI</t>
  </si>
  <si>
    <t>The Antarctic basidiomycetous yeast Mrakia blollopis SK-4 fermented ethanol between pH 5.0 and pH 10.0 with optimum pH at 8.0-10.0. Knowledge of ethanol fermentability as to the genus Mrakia remains incomplete. Further experiments are required to elucidate the ethanol fermentability of genus e.g., as to optimum fermentation pH, optimum fermentation temperature, and cell viability during fermentation.</t>
  </si>
  <si>
    <t>[Tsuji, Masaharu; Hoshino, Tamotsu] Natl Inst Adv Ind Sci &amp; Technol, Biomass Refinery Res Ctr, Higashihiroshima, Hirosima 7390046, Japan; [Singh, Shiv M.] Minist Earth Sci, Natl Ctr Antarctic &amp; Ocean Res, Vasco Da Gama 403804, Goa, India; [Yokota, Yuji] Natl Inst Adv Ind Sci &amp; Technol, Bioprod Res Inst, Toyohira Ku, Sapporo, Hokkaido 0628517, Japan; [Kudoh, Sakae] Natl Inst Polar Res, Tachikawa, Tokyo 1908518, Japan; [Hoshino, Tamotsu] Hokkaido Univ, Grad Sch Life Sci, Kita Ku, Sapporo, Hokkaido 0600810, Japan</t>
  </si>
  <si>
    <t>National Institute of Advanced Industrial Science &amp; Technology (AIST); Ministry of Earth Sciences (MoES) - India; National Centre for Polar and Ocean Research (NCPOR); National Institute of Advanced Industrial Science &amp; Technology (AIST); Research Organization of Information &amp; Systems (ROIS); National Institute of Polar Research (NIPR) - Japan; Hokkaido University</t>
  </si>
  <si>
    <t>Tsuji, M (corresponding author), Natl Inst Adv Ind Sci &amp; Technol, Biomass Refinery Res Ctr, 3-11-32 Kagamiyama, Higashihiroshima, Hirosima 7390046, Japan.</t>
  </si>
  <si>
    <t>masaharu-tsuji@aist.go.jp; yu.yokota@aist.go.jp; tamotsu.hoshino@aist.go.jp</t>
  </si>
  <si>
    <t>Hoshino, Tamotsu/F-3357-2017; Tsuji, Masaharu/GLR-4151-2022; HOSHINO, Tamotsu/R-2959-2019; Tsuji, Masaharu/M-6609-2019</t>
  </si>
  <si>
    <t>Tsuji, Masaharu/0000-0002-9375-7998</t>
  </si>
  <si>
    <t>NIPR under MEXT</t>
  </si>
  <si>
    <t>This work is a part of the Science Program of JARE-48. It was supported by NIPR under MEXT.</t>
  </si>
  <si>
    <t>0916-8451</t>
  </si>
  <si>
    <t>1347-6947</t>
  </si>
  <si>
    <t>BIOSCI BIOTECH BIOCH</t>
  </si>
  <si>
    <t>Biosci. Biotechnol. Biochem.</t>
  </si>
  <si>
    <t>10.1271/bbb.130497</t>
  </si>
  <si>
    <t>Biochemistry &amp; Molecular Biology; Biotechnology &amp; Applied Microbiology; Chemistry, Applied; Food Science &amp; Technology</t>
  </si>
  <si>
    <t>Biochemistry &amp; Molecular Biology; Biotechnology &amp; Applied Microbiology; Chemistry; Food Science &amp; Technology</t>
  </si>
  <si>
    <t>294ZN</t>
  </si>
  <si>
    <t>WOS:000330086500023</t>
  </si>
  <si>
    <t>Zhu, RB; Liu, YS; Xu, H; Ma, DW; Jiang, S</t>
  </si>
  <si>
    <t>Zhu, Renbin; Liu, Yashu; Xu, Hua; Ma, Dawei; Jiang, Shan</t>
  </si>
  <si>
    <t>Marine animals significantly increase tundra N2O and CH4 emissions in maritime Antarctica</t>
  </si>
  <si>
    <t>JOURNAL OF GEOPHYSICAL RESEARCH-BIOGEOSCIENCES</t>
  </si>
  <si>
    <t>nitrous oxide; methane; greenhouse gases; marine animals; tundra; Antarctica</t>
  </si>
  <si>
    <t>NITROUS-OXIDE EMISSIONS; GREENHOUSE-GAS EMISSIONS; METHANE EMISSIONS; AMMONIA EMISSIONS; PENGUIN COLONY; ORGANIC-MATTER; CLIMATE-CHANGE; VICTORIA LAND; SOIL; FLUXES</t>
  </si>
  <si>
    <t>Most studies on greenhouse gas emissions from animals concentrated on domestic animals, with limited data available from wild animals. The number of marine animals is potentially large in coastal Antarctica. In this paper, N2O and CH4 emissions were investigated from a penguin colony, a seal colony, a skua colony, the adjacent animal-lacking tundra, and background tundra sites to test the effects of marine animals on their fluxes in maritime Antarctica. Extremely high N2O emissions occurred in the penguin puddles (mean 392 mu g N2O m(-2) h(-1)) and seal wallows (mean 579 mu g N2O m(-2) h(-1)). The N2O emissions from animal colony tundra (13-57 mu g N2O m(-2) h(-1)) are much higher than those from the animal-lacking tundra, whereas the background tundra showed negligible N2O fluxes. Penguin puddles and seal wallows were stronger CH4 emitters than animal colony tundra soils, while animal-lacking tundra soils were strong CH4 sinks. Overall high N2O and CH4 emissions were modulated by soil physical and chemical processes associated with marine animal activities: sufficient supply of the nutrients NH4+-N and NO3--N, total nitrogen, and total organic carbon from marine animal excreta, animal tramp, and high soil water-filled pore space. Laboratory incubation experiments further confirmed that penguin and seal colony soils produced much higher N2O and CH4 emissions than animal-lacking tundra soils. Our results indicate that marine animal colonies are the hot spots for N2O and CH4 emissions in maritime Antarctica, and even at the global scale, and current climate warming will further increase their emissions.</t>
  </si>
  <si>
    <t>[Zhu, Renbin; Liu, Yashu; Ma, Dawei; Jiang, Shan] Univ Sci &amp; Technol China, Inst Polar Environm, Sch Earth &amp; Space Sci, Hefei 230026, Anhui, Peoples R China; [Liu, Yashu] Jiangsu Univ Sci &amp; Technol, Sch Biol &amp; Chem Engn, Zhenjiang, Peoples R China; [Xu, Hua] Chinese Acad Sci, Inst Soil Sci, State Key Lab Soil &amp; Sustainable Agr, Nanjing, Jiangsu, Peoples R China</t>
  </si>
  <si>
    <t>Chinese Academy of Sciences; University of Science &amp; Technology of China, CAS; Jiangsu University of Science &amp; Technology; Chinese Academy of Sciences; Nanjing Institute of Soil Science, CAS</t>
  </si>
  <si>
    <t>Zhu, RB (corresponding author), Univ Sci &amp; Technol China, Inst Polar Environm, Sch Earth &amp; Space Sci, 96 Jinzhai Rd, Hefei 230026, Anhui, Peoples R China.</t>
  </si>
  <si>
    <t>zhurb@ustc.edu.cn</t>
  </si>
  <si>
    <t>National Natural Science Foundation of China [41076124, 41176171]; Project of Knowledge Innovation of CAS [KZCX2-YW-QN510]; Specialized Research Fund for the Doctoral Program of Higher Education [20123402110026]</t>
  </si>
  <si>
    <t>National Natural Science Foundation of China(National Natural Science Foundation of China (NSFC)); Project of Knowledge Innovation of CAS; Specialized Research Fund for the Doctoral Program of Higher Education(Specialized Research Fund for the Doctoral Program of Higher Education (SRFDP))</t>
  </si>
  <si>
    <t>We are grateful to Robert Rhew for his helpful revision and comments on a previous version of this paper. We also thank Zhiyong Yang and the members of the 24th, 25th, and 26th Chinese Antarctic Research Expedition for their field sampling and assistance. This work was supported by the National Natural Science Foundation of China (grants 41076124 and 41176171), the Project of Knowledge Innovation of CAS (KZCX2-YW-QN510), and Specialized Research Fund for the Doctoral Program of Higher Education (grant 20123402110026).</t>
  </si>
  <si>
    <t>2169-8953</t>
  </si>
  <si>
    <t>2169-8961</t>
  </si>
  <si>
    <t>J GEOPHYS RES-BIOGEO</t>
  </si>
  <si>
    <t>J. Geophys. Res.-Biogeosci.</t>
  </si>
  <si>
    <t>10.1002/2013JG002398</t>
  </si>
  <si>
    <t>Environmental Sciences; Geosciences, Multidisciplinary</t>
  </si>
  <si>
    <t>Environmental Sciences &amp; Ecology; Geology</t>
  </si>
  <si>
    <t>291ZM</t>
  </si>
  <si>
    <t>WOS:000329871400035</t>
  </si>
  <si>
    <t>Boldt, KV; Nittrouer, CA; Hallet, B; Koppes, MN; Forrest, BK; Wellner, JS; Anderson, JB</t>
  </si>
  <si>
    <t>Boldt, Katherine V.; Nittrouer, Charles A.; Hallet, Bernard; Koppes, Michele N.; Forrest, Brittany K.; Wellner, Julia S.; Anderson, John B.</t>
  </si>
  <si>
    <t>Modern rates of glacial sediment accumulation along a 15° S-N transect in fjords from the Antarctic Peninsula to southern Chile</t>
  </si>
  <si>
    <t>JOURNAL OF GEOPHYSICAL RESEARCH-EARTH SURFACE</t>
  </si>
  <si>
    <t>sediments; 210-Pb geochronology; glacial erosion; regional warming; Antarctic Peninsula; Patagonia</t>
  </si>
  <si>
    <t>CONTINENTAL-SHELF DEPOSITS; SHETLAND ISLANDS; GLACIOMARINE SEDIMENTATION; CLIMATE VARIABILITY; CENOZOIC EROSION; BIOGENIC-SILICA; MAXWELL BAY; ICE; WEST; FLUX</t>
  </si>
  <si>
    <t>Rates of glacial erosion in temperate climates rank among the highest worldwide, and the sedimentary products of such erosion record climatic and tectonic signals in many glaciated settings, as well as temporal changes in glacier behavior. Glacial sediment yields are expected to decrease with increasing latitude because decreased temperature and meltwater production reduce glacial sliding, erosion, and sediment transfer; however, this expectation lacks a solid supportive database. Herein we present modern Pb-210-derived sediment accumulation rates on decadal to century time scales for 12 fjords spanning 15 degrees of latitude from the Antarctic Peninsula to southern Chile and interpret the results in light of glacimarine sediment accumulation worldwide. Pb-210 records from the Antarctic Peninsula show surprisingly steady sediment accumulation throughout the past century at rates of 1-7 mm yr(-1), despite rapid warming and glacial retreat. Cores from the South Shetland Islands reveal accelerated sediment accumulation over the past few decades, likely due to changes in the thermal state of the glaciers in this region, which straddles the boundary between subpolar and temperate conditions. In Patagonia and Tierra del Fuego, sediment accumulates faster (11-24 mm yr(-1)), and previously collected seismic profiles show that rates reach meters per year close to the glacier termini. This increase in sediment accumulation rates with decreasing latitude reflects the gradient from subpolar to temperate climates and is consistent with glacial erosion being much faster in the temperate climate of southern Chile than in the polar climate of the Antarctic Peninsula.</t>
  </si>
  <si>
    <t>[Boldt, Katherine V.; Nittrouer, Charles A.; Forrest, Brittany K.] Univ Washington, Sch Oceanog, Seattle, WA 98195 USA; [Nittrouer, Charles A.; Hallet, Bernard] Univ Washington, Dept Earth &amp; Space Sci, Seattle, WA 98195 USA; [Nittrouer, Charles A.; Hallet, Bernard] Univ Washington, Quaternary Res Ctr, Seattle, WA 98195 USA; [Koppes, Michele N.] Univ British Columbia, Dept Geog, Vancouver, BC, Canada; [Wellner, Julia S.] Univ Houston, Dept Earth &amp; Atmospher Sci, Houston, TX USA; [Anderson, John B.] Rice Univ, Dept Earth Sci, Houston, TX USA</t>
  </si>
  <si>
    <t>University of Washington; University of Washington Seattle; University of Washington; University of Washington Seattle; University of Washington; University of Washington Seattle; University of British Columbia; University of Houston System; University of Houston; Rice University</t>
  </si>
  <si>
    <t>Boldt, KV (corresponding author), Univ Washington, Sch Oceanog, Box 357940, Seattle, WA 98195 USA.</t>
  </si>
  <si>
    <t>kboldt@uw.edu</t>
  </si>
  <si>
    <t>Koppes, Michele/0000-0003-0580-2718</t>
  </si>
  <si>
    <t>National Science Foundation Office of Polar Programs [NSF/OPP 03-38137, NSF/OPP 03-38371]; NDSEG; Directorate For Geosciences; Division Of Polar Programs [0739596] Funding Source: National Science Foundation</t>
  </si>
  <si>
    <t>National Science Foundation Office of Polar Programs(National Science Foundation (NSF)NSF - Directorate for Geosciences (GEO)); NDSEG; Directorate For Geosciences; Division Of Polar Programs(National Science Foundation (NSF)NSF - Directorate for Geosciences (GEO))</t>
  </si>
  <si>
    <t>We thank C. Landowski, J. Berquist, and T. Drexler for assistance in the field and laboratory, and the officers, crew, and scientists who sailed on the RV/IB Palmer during NBP0505 and NBP0703. This work was funded by National Science Foundation Office of Polar Programs grants NSF/OPP 03-38137 to J. Anderson and J. Wellner and grant NSF/OPP 03-38371 to B. Hallet. K. Boldt was funded by a NDSEG graduate fellowship. Thoughtful reviews from T. Pratt, R. Gilbert, and two anonymous reviewers significantly improved this manuscript.</t>
  </si>
  <si>
    <t>2169-9003</t>
  </si>
  <si>
    <t>2169-9011</t>
  </si>
  <si>
    <t>J GEOPHYS RES-EARTH</t>
  </si>
  <si>
    <t>J. Geophys. Res.-Earth Surf.</t>
  </si>
  <si>
    <t>10.1002/jgrf.20145</t>
  </si>
  <si>
    <t>292AH</t>
  </si>
  <si>
    <t>WOS:000329873500005</t>
  </si>
  <si>
    <t>Dadic, R; Mott, R; Horgan, HJ; Lehning, M</t>
  </si>
  <si>
    <t>Dadic, Ruzica; Mott, Rebecca; Horgan, Huw J.; Lehning, Michael</t>
  </si>
  <si>
    <t>Observations, theory, and modeling of the differential accumulation of Antarctic megadunes</t>
  </si>
  <si>
    <t>Antarctic megadunes; accumulation patterns; migration direction</t>
  </si>
  <si>
    <t>NONHYDROSTATIC ATMOSPHERIC SIMULATION; PREDICTION SYSTEM ARPS; TURBULENT-FLOW; PART I; SNOW; ICE; SURFACE; PLATEAU; SEPARATION; TRANSPORT</t>
  </si>
  <si>
    <t>Antarctic megadunes are characterized by significant spatial differences in accumulation rate, with higher accumulation on the windward side and near-zero accumulation on the lee side. This leads to spatial differences in physical properties of snow and surface roughness, as well as to the upwind migration of the megadunes. While previous studies agree that megadunes are a result of complex interactions between wind, topography, and snow, it is not clear how they form or why they accumulate on the windward side. Here we use ICESat observations, dimensional analysis, and atmospheric flow modeling to investigate what conditions are responsible for the accumulation patterns and upwind migration of the megadunes. First, we use ICESat data to quantify the pattern of differential surface elevation change across the megadunes. We then use dimensional analysis based on supercritical-flow theory and atmospheric flow modeling to show that the megadunes topography and a stable atmosphere will always lead to upwind dune migration. We show that a combination of persistent katabatic winds, strong stability, and spatial variability in surface roughness is responsible for the accumulation on the upwind slope and hence the upwind migration of the megadunes. We further show that spatial differences in surface roughness are the primary control on accumulation magnitudes and hence dune migration velocity. The dune migration velocity in turn influences the degree of snow-metamorphism and the physical properties of snow that are relevant for paleoclimate records. Our findings pertain to the ongoing evolution of the megadunes, but their genesis remains an open question.</t>
  </si>
  <si>
    <t>[Dadic, Ruzica; Horgan, Huw J.] Victoria Univ Wellington, Antarctic Res Ctr, Wellington, New Zealand; [Mott, Rebecca; Lehning, Michael] WSL Inst Snow &amp; Avalanche Res SLF, Davos, Switzerland; [Lehning, Michael] Ecole Polytech Fed Lausanne, Lab Cryospher Sci, CH-1015 Lausanne, Switzerland</t>
  </si>
  <si>
    <t>Victoria University Wellington; Swiss Federal Institutes of Technology Domain; Swiss Federal Institute for Forest, Snow &amp; Landscape Research; Swiss Federal Institutes of Technology Domain; Ecole Polytechnique Federale de Lausanne</t>
  </si>
  <si>
    <t>Dadic, R (corresponding author), Victoria Univ Wellington, Antarctic Res Ctr, Wellington, New Zealand.</t>
  </si>
  <si>
    <t>ruzica.dadic@vuw.ac.nz</t>
  </si>
  <si>
    <t>Horgan, Huw/I-5847-2019; Dadic, Ruzica/O-4458-2019; Mott, Rebecca/T-6907-2017; Lehning, Michael/AFS-9462-2022</t>
  </si>
  <si>
    <t>Horgan, Huw/0000-0002-4836-0078; Dadic, Ruzica/0000-0003-1303-1896; Mott, Rebecca/0000-0002-6389-7703; Lehning, Michael/0000-0002-8442-0875</t>
  </si>
  <si>
    <t>Swiss National Science Foundation [PA00P2_131450]; Competence Center for Environment and Sustainability CCES (SwissEx), ETH Zurich; Swiss National Supercomputing Centre, CSCS; Swiss National Science Foundation (SNF) [PA00P2_131450] Funding Source: Swiss National Science Foundation (SNF)</t>
  </si>
  <si>
    <t>Swiss National Science Foundation(Swiss National Science Foundation (SNSF)); Competence Center for Environment and Sustainability CCES (SwissEx), ETH Zurich; Swiss National Supercomputing Centre, CSCS; Swiss National Science Foundation (SNF)(Swiss National Science Foundation (SNSF))</t>
  </si>
  <si>
    <t>Many thanks to NSIDC for ICESat and MODIS MOA data, to AMRC (University of Wisconsin-Madison) for AWS data from the Megadune project [Courville et al., 2007]. Thanks to Martin Schneebeli for encouraging this study and helpful discussions, and to Thomas Grunewald for numerous discussions. Ruzica Dadic was supported by a postdoctoral fellowship from the Swiss National Science Foundation (PA00P2_131450). Rebecca Mott was supported by the Competence Center for Environment and Sustainability CCES (SwissEx), ETH Zurich. Parts of the ARPS simulations have been made with support from the Swiss National Supercomputing Centre, CSCS.</t>
  </si>
  <si>
    <t>10.1002/2013JF002844</t>
  </si>
  <si>
    <t>WOS:000329873500021</t>
  </si>
  <si>
    <t>Walker, CC; Bassis, JN; Fricker, HA; Czerwinski, RJ</t>
  </si>
  <si>
    <t>Walker, C. C.; Bassis, J. N.; Fricker, H. A.; Czerwinski, R. J.</t>
  </si>
  <si>
    <t>Structural and environmental controls on Antarctic ice shelf rift propagation inferred from satellite monitoring</t>
  </si>
  <si>
    <t>ice shelves; rift propagation; Antarctica; glaciology</t>
  </si>
  <si>
    <t>EAST ANTARCTICA; MERTZ GLACIER; PENINSULA; COLLAPSE; RETREAT; DISINTEGRATION; STABILITY</t>
  </si>
  <si>
    <t>Iceberg calving from ice shelves accounts for nearly half of the mass loss from the Antarctic Ice Sheet, yet our understanding of this process is limited. The precursor to iceberg calving is large through-cutting fractures, called rifts, that can propagate for decades after they have initiated until they become iceberg detachment boundaries. To improve our knowledge of rift propagation, we monitored the lengths of 78 rifts in 13 Antarctic ice shelves using satellite imagery from the Moderate Resolution Imaging Spectroradiometer and Multiangle Imaging Spectroradiometer between 2002 and 2012. This data set allowed us to monitor trends in rift propagation over the past decade and test if variation in trends is controlled by variable environmental forcings. We found that 43 of the 78 rifts were dormant, i.e., propagated less than 500 m over the observational interval. We found only seven rifts propagated continuously throughout the decade. An additional eight rifts propagated for at least 2 years prior to arresting and remaining dormant for the rest of the decade, and 13 rifts exhibited isolated sudden bursts of propagation after 2 or more years of dormancy. Twelve of the fifteen active rifts were initiated at the ice shelf fronts, suggesting that front-initiated rifts are more active than across-flow rifts. Although we did not find a link between the observed variability in rift propagation rate and changes in atmospheric temperature or sea ice concentration correlated with, we did find a statistically significant correlation between the arrival of tsunamis and propagation of front-initiated rifts in eight ice shelves. This suggests a connection between ice shelf rift propagation and mechanical ocean interaction that needs to be better understood.</t>
  </si>
  <si>
    <t>[Walker, C. C.; Bassis, J. N.; Czerwinski, R. J.] Univ Michigan, Dept Atmospher Ocean &amp; Space Sci, Ann Arbor, MI 48109 USA; [Fricker, H. A.] Univ Calif San Diego, Scripps Inst Oceanog, Inst Geophys &amp; Planetary Phys, La Jolla, CA 92093 USA</t>
  </si>
  <si>
    <t>University of Michigan System; University of Michigan; University of California System; University of California San Diego; Scripps Institution of Oceanography</t>
  </si>
  <si>
    <t>Walker, CC (corresponding author), Univ Michigan, Dept Atmospher Ocean &amp; Space Sci, Ann Arbor, MI 48109 USA.</t>
  </si>
  <si>
    <t>catcolwa@umich.edu</t>
  </si>
  <si>
    <t>Bassis, Jeremy/ABB-8628-2021; Walker, Catherine Colello/HSG-9526-2023</t>
  </si>
  <si>
    <t>Bassis, Jeremy/0000-0003-2946-7176; Walker, Catherine Colello/0000-0003-4019-1000; Fricker, Helen Amanda/0000-0002-0921-1432</t>
  </si>
  <si>
    <t>NASA [NNX10AB216G]; NSF [CAREER-NSF-ANT 114085, EAGER-NSF-ARC 1064535]; Directorate For Geosciences [1064535] Funding Source: National Science Foundation; Office of Polar Programs (OPP) [1064535] Funding Source: National Science Foundation</t>
  </si>
  <si>
    <t>NASA(National Aeronautics &amp; Space Administration (NASA)); NSF(National Science Foundation (NSF)); Directorate For Geosciences(National Science Foundation (NSF)NSF - Directorate for Geosciences (GEO)); Office of Polar Programs (OPP)(National Science Foundation (NSF)NSF - Directorate for Geosciences (GEO))</t>
  </si>
  <si>
    <t>This work was supported by NASA grant NNX10AB216G, NSF CAREER-NSF-ANT 114085, and NSF grant EAGER-NSF-ARC 1064535. We would like to the thank the Editor Bryn Hubbard, the associate editor, and four reviewers whose comments substantially improved this manuscript.</t>
  </si>
  <si>
    <t>10.1002/2013JF002742</t>
  </si>
  <si>
    <t>WOS:000329873500022</t>
  </si>
  <si>
    <t>Sharma, GK</t>
  </si>
  <si>
    <t>Sharma, Girish Kumar</t>
  </si>
  <si>
    <t>NEOGENE RADIOLARIAN BIOSTRATIGRAPHY FROM ODP LEG 119, SITE 745</t>
  </si>
  <si>
    <t>OFIOLITI</t>
  </si>
  <si>
    <t>Neogene Radiolaria biostratigraphy; correlation; ODP Leg119. Southern Ocean</t>
  </si>
  <si>
    <t>DEEP-SEA CORES; SOUTHERN-OCEAN; ATLANTIC SECTOR; ANTARCTIC OCEAN; HISTORY; SEDIMENTS; PACIFIC; PLATEAU; REGION</t>
  </si>
  <si>
    <t>Abundant, generally well preserved radiolarians were used in a stratigraphic analysis of the Neogene sequence of ODP Leg 119, Site 745. Detailed biostratigraphic analysis has been undertaken of radiolarian assemblages of the Pliocene-Pleistocene sequence. Seventy-seven radiolarian taxa were identified including three reworked forms. Twenty-one stratigraphically important species are described and illustrated from this 99.55 m long core, and allow the recognition of four radiolarian zones, i.e., Phi, Chi, Psi and Omega (from oldest to youngest) and the Plio-Pleistocene boundary. These are then correlated with the earlier established zones and boundary in the Southern Ocean.</t>
  </si>
  <si>
    <t>Kumaun Univ, Dept Geol, Mallital, India</t>
  </si>
  <si>
    <t>Kumaun University</t>
  </si>
  <si>
    <t>Sharma, GK (corresponding author), Kumaun Univ, Dept Geol, Mallital, India.</t>
  </si>
  <si>
    <t>gksharma61@yahoo.com</t>
  </si>
  <si>
    <t>DST, New Delhi, India [SR/S4/ES- 80/2003]</t>
  </si>
  <si>
    <t>DST, New Delhi, India(Department of Science &amp; Technology (India))</t>
  </si>
  <si>
    <t>I am greatly indebted to Ocean Drilling Program (ODP), Lamont-Doherty Geological Observatory, USA for providing the long core to carry out this study. I am highly thankful and grateful to DST, New Delhi, India (Project no. SR/S4/ES- 80/2003) for providing financial support to carry out this work. Thanks are also due to Prof. D.B. Lazarus, Germany; Prof J.P. Caulet, France and Prof. K. Takahashi, Japan for their valuable advices in the identification of a few radiolarian species. Special thanks to Prof. Vishnevskaya for critically reviewing the ms. Thanks to Giuseppe Cortese for the suggestions that improved the manuscript. I also wish to thankfully acknowledge the Head of the Department of Geology (CAS), Nainital, India.</t>
  </si>
  <si>
    <t>FIRENZE</t>
  </si>
  <si>
    <t>DIPARTIMENTO DI SCIENZE DELLA TERRA, UNIVERSITA DI FIRENZE, VIA G LA PIRA 4,, 50121 FIRENZE, ITALY</t>
  </si>
  <si>
    <t>0391-2612</t>
  </si>
  <si>
    <t>Ofioliti</t>
  </si>
  <si>
    <t>10.4454/ofioliti.v38i2.425</t>
  </si>
  <si>
    <t>293DB</t>
  </si>
  <si>
    <t>WOS:000329950500004</t>
  </si>
  <si>
    <t>Martínez-Méndez, G; Hebbeln, D; Mohtadi, M; Lamy, F; De Pol-Holz, R; Reyes-Macaya, D; Freudenthal, T</t>
  </si>
  <si>
    <t>Martinez-Mendez, G.; Hebbeln, D.; Mohtadi, M.; Lamy, F.; De Pol-Holz, R.; Reyes-Macaya, D.; Freudenthal, T.</t>
  </si>
  <si>
    <t>Changes in the advection of Antarctic Intermediate Water to the northern Chilean coast during the last 970 kyr</t>
  </si>
  <si>
    <t>Paleoceanography; AAIW; advection changes</t>
  </si>
  <si>
    <t>SEA-SURFACE TEMPERATURE; SOUTHERN-OCEAN; DEEP-WATER; GLACIAL MAXIMUM; SUBTROPICAL FRONT; CARBON-DIOXIDE; PACIFIC-OCEAN; CIRCULATION; EVOLUTION; ICE</t>
  </si>
  <si>
    <t>The Antarctic Intermediate Water (AAIW) is a key player in global-scale oceanic overturning processes and an important conduit for heat, fresh water, and carbon transport. The AAIW past variability is poorly understood mainly due to the lack of sedimentary archives at intermediate water depths. We present records of benthic stable isotopes from sediments retrieved with the seafloor drill rig MARUM-MeBo at 956m water depth off northern Chile (GeoB15016, 27 degrees 29.48S, 71 degrees 07.58W) that extend back to 970ka. The sediments at this site are presently deposited at the boundary between AAIW and Pacific Deep Water (PDW). For previous peak interglacials, our results reveal similar benthic C-13 values at site GeoB15016 and of a newly generated stack of benthic C-13 from various deep Pacific cores representing the average PDW. This suggests, unlike today, the absence of AAIW at the site and the presence of nearly pure PDW. In contrast, more positive C-13 values at site GeoB15016 compared to the stack imply a considerable AAIW contribution during cold phases of interglacials and especially during glacials. Besides, we used three short sediment cores to reconstruct benthic C-13 values from the AAIW core during the last glacial and found a C-13 signature similar to today's. Assuming that this was the case also for the past 970 kyr, we demonstrate that sea level changes and latitudinal migrations of the AAIW formation site can only account for about 50% of the full range of past C-13 increases at site GeoB15016 during cold periods. Other processes that could explain the remaining of the positive C-13 anomalies are increases in glacial AAIW production and/or deeper convection of the AAIW with respect to preceding interglacials.</t>
  </si>
  <si>
    <t>[Martinez-Mendez, G.; Hebbeln, D.; Mohtadi, M.; Freudenthal, T.] Univ Bremen, MARUM Ctr Marine Environm Sci, DE-28359 Bremen, Germany; [Lamy, F.] Alfred Wegener Inst Polar &amp; Marine Res, Bremerhaven, Germany; [De Pol-Holz, R.; Reyes-Macaya, D.] Univ Concepcion, Dept Oceanog, Concepcion, Chile; [De Pol-Holz, R.; Reyes-Macaya, D.] Univ Concepcion, Ctr Climate &amp; Resilience Res, Concepcion, Chile</t>
  </si>
  <si>
    <t>University of Bremen; Helmholtz Association; Alfred Wegener Institute, Helmholtz Centre for Polar &amp; Marine Research; Universidad de Concepcion; Universidad de Concepcion</t>
  </si>
  <si>
    <t>Martínez-Méndez, G (corresponding author), Univ Bremen, MARUM Ctr Marine Environm Sci, Leobener Str, DE-28359 Bremen, Germany.</t>
  </si>
  <si>
    <t>gmartinez@marum.de</t>
  </si>
  <si>
    <t>Méndez, Gema Martínez/AAB-2245-2020; Mohtadi, Mahyar/N-2106-2014; De Pol-Holz, Ricardo/E-3740-2013; Lamy, Frank/H-3611-2014; Hebbeln, Dierk/P-9766-2016</t>
  </si>
  <si>
    <t>Méndez, Gema Martínez/0000-0001-7950-6837; Mohtadi, Mahyar/0000-0003-3306-0969; Reyes Macaya, Dharma Andrea/0000-0003-3913-6004; De Pol-Holz, Ricardo/0000-0002-3281-8232; Lamy, Frank/0000-0001-5952-1765; Hebbeln, Dierk/0000-0001-5099-6115</t>
  </si>
  <si>
    <t>MARUM, University of Bremen, Germany; DFG-Research Center/Excellence Cluster; Bundesministerium fur Bildung &amp; Forschung (BMBF); Fondecyt [11100281]; FONDAP [15110009]</t>
  </si>
  <si>
    <t>MARUM, University of Bremen, Germany; DFG-Research Center/Excellence Cluster(German Research Foundation (DFG)); Bundesministerium fur Bildung &amp; Forschung (BMBF)(Federal Ministry of Education &amp; Research (BMBF)); Fondecyt(Comision Nacional de Investigacion Cientifica y Tecnologica (CONICYT)CONICYT FONDECYT); FONDAP</t>
  </si>
  <si>
    <t>We thank the captain, crew, and scientific shipboard party of the German R/V Sonne cruise SO-211. We would like to thank the MARUM Isotope Laboratory at the University of Bremen, M. Segl and B. Meyer-Sack, as well as T. Westerhold, V. Lukies, and U. Rohl of MARUM, University of Bremen, Germany, for the support during the XRF measurements. T. Westerhold and A. Mix provided invaluable advice for generating the composite of the two drill cores. A. Mix furthermore shared useful discussions on the data interpretation. J. Castalino, A. Kramer, M. Zubrowski, and K. Grumbt are thanked for lab assistance. S. Roman, A. Mackensen, and R. Szarek provided useful insights in the benthic foraminiferal taxonomy. We thank M.J. Ruiz-Chancho, and A. Govin for help with the ANOVA tests. K. Kohlfeld and R. Graham generously shared a compilation on frontal movements in the Southern Ocean and M. Marchant unpublished benthic data of the Chilean margin. Special thanks go to M. Thierens for countless discussions. The GeoB and IODP core repositories in Bremen are thanked for sample storage and V. Bender, A. Wulbers, and W. Hale for support during sampling. G. Martinez-Mendez is funded through DFG-Research Center/Excellence Cluster The Ocean in the Earth System (MARUM fellowship). The ChiMeBo project is funded by the Bundesministerium fur Bildung &amp; Forschung (BMBF). R. De Pol-Holz received funding from Fondecyt grant 11100281 and FONDAP 15110009. H. Bostock is thanked for sharing information about seawater 13C in the Pacific and for her constructive review of our manuscript. Special thanks go to C. Charles (Editor) who provided his own expertise in a second review. The manuscript has been considerably improved through the revision process.</t>
  </si>
  <si>
    <t>10.1002/palo.20047</t>
  </si>
  <si>
    <t>291WM</t>
  </si>
  <si>
    <t>WOS:000329862600001</t>
  </si>
  <si>
    <t>Gordillo, S; Nielsen, SN</t>
  </si>
  <si>
    <t>Gordillo, Sandra; Nielsen, Sven N.</t>
  </si>
  <si>
    <t>The Australasian muricid gastropod Lepsiella as Pleistocene visitor to southernmost South America</t>
  </si>
  <si>
    <t>ACTA PALAEONTOLOGICA POLONICA</t>
  </si>
  <si>
    <t>Gastropoda; Muricidae; Pleistocene; Beagle Channel; Australasia connection</t>
  </si>
  <si>
    <t>TAWERA-GAYI HUPE; TIERRA-DEL-FUEGO; NEW-ZEALAND; PHYLOGENETIC ANALYSIS; MARINE-ENVIRONMENT; BEAGLE CHANNEL; DISPERSAL; QUATERNARY; MOLLUSCA; OCEAN</t>
  </si>
  <si>
    <t>Six shells belonging to a muricid gastropod species were recovered from a Pleistocene marine raised beach located on Navarino Island, in southern South America. None of the living species in the Beagle Channel or in the area is close, and none of the fossil species in the vicinity regions shows the diagnostic characters of the Navarino Pleistocene fossils. Our material resembles Lepsiella baileyana from southern Australia, although some differences in the suture and in the spire outline are recognized. Haustrinae were previously confined geographically to New Zealand and to the temperate coast of Australia, now extending its range of distribution to southern South America. This finding of Lepsiella ukika sp. nov. is best explained on the basis of transoceanic migration from Australasia by means of the Antarctic Circumpolar Current perhaps during a Quaternary glacial period. The presence of this Pleistocene visitor in southern South America is important because it clearly demonstrates that transcontinental traverse of taxa with direct (non-planktonic) development might have happened by rafting on kelp that served as transport platforms.</t>
  </si>
  <si>
    <t>[Gordillo, Sandra] Univ Nacl Cordoba, CONICET, Consejo Nacl Invest Cient &amp; Tecn CICTERRA, Ctr Invest Ciencias Tierra, RA-5000 Cordoba, Argentina; [Gordillo, Sandra] Univ Nacl Cordoba, Fac Ciencias Exactas Fis &amp; Nat, Ctr Invest Paleobiol CIPAL, RA-5000 Cordoba, Argentina; [Nielsen, Sven N.] Univ Kiel, Inst Geowissensch, D-24118 Kiel, Germany</t>
  </si>
  <si>
    <t>Consejo Nacional de Investigaciones Cientificas y Tecnicas (CONICET); National University of Cordoba; National University of Cordoba; University of Kiel</t>
  </si>
  <si>
    <t>Gordillo, S (corresponding author), Univ Nacl Cordoba, CONICET, Consejo Nacl Invest Cient &amp; Tecn CICTERRA, Ctr Invest Ciencias Tierra, Av Velez Sarsfield 1611,X5016GCA, RA-5000 Cordoba, Argentina.</t>
  </si>
  <si>
    <t>sgordillo@cicterra-conicet.gov.ar; sven.nielsen@uach.cl</t>
  </si>
  <si>
    <t>Nielsen, Sven N/0000-0003-2064-8050; Gordillo, Sandra/0000-0002-3937-4865</t>
  </si>
  <si>
    <t>[INACH G05-11]</t>
  </si>
  <si>
    <t>The staff of the Martin Gusinde regional museum in Puerto Williams assisted during the fieldwork. Cristian Aldea (Punta Arenas, Chile), Roland Houart (Institut royal des Sciences naturelles de Belgique, Bruxelles, Belgium), and Silvard Kool (Cape Cod, Massachusetts, USA) gave useful comments on muricids that helped during our research. Jose Coltro (Sao Paulo, Brazil) provided illustrations of Recent Australian specimens. Thanks are extended to Alan G. Beu (GNS Science, Lower Hutt, New Zealand) and Anton Oleinik (Florida Atlantic University, Boca Raton, USA) for comments and suggestions as referees. This paper is a contribution of project INACH G05-11. SG thanks to Aaron Swartz, a strong defender of open access, who died in the fight for freedom of information.</t>
  </si>
  <si>
    <t>INST PALEOBIOLOGII PAN</t>
  </si>
  <si>
    <t>UL TWARDA 51/55, 00-818 WARSAW, POLAND</t>
  </si>
  <si>
    <t>0567-7920</t>
  </si>
  <si>
    <t>1732-2421</t>
  </si>
  <si>
    <t>ACTA PALAEONTOL POL</t>
  </si>
  <si>
    <t>Acta Palaeontol. Pol.</t>
  </si>
  <si>
    <t>10.4202/app.2011.0186</t>
  </si>
  <si>
    <t>287OK</t>
  </si>
  <si>
    <t>WOS:000329551900009</t>
  </si>
  <si>
    <t>Reyes-Arriagada, R; Hiriart-Bertrand, L; Riquelme, V; Simeone, A; Pütz, K; Lüthi, B; Rey, AR</t>
  </si>
  <si>
    <t>Reyes-Arriagada, Ronnie; Hiriart-Bertrand, Luciano; Riquelme, Victoria; Simeone, Alejandro; Puetz, Klemens; Luethi, Benno; Raya Rey, Andrea</t>
  </si>
  <si>
    <t>Population Trends of a Mixed-Species Colony of Humboldt and Magellanic Penguins in Southern Chile after Establishing a Protected Area</t>
  </si>
  <si>
    <t>AVIAN CONSERVATION AND ECOLOGY</t>
  </si>
  <si>
    <t>burrow activity; exclusion; protected area; Spheniscus humboldti; Spheniscus magellanicus; tourism</t>
  </si>
  <si>
    <t>HUMAN DISTURBANCE; SPHENISCUS-MAGELLANICUS; HERON-ISLAND; SEABIRD; TOURISM; MANAGEMENT; RESPONSES; BIRDS; SITE; RESTORATION</t>
  </si>
  <si>
    <t>Worldwide marine protected areas (MPAs) have been designated to protect marine resources, including top predators such as seabirds. There is no conclusive information on whether protected areas can improve population trends of seabirds when these are further exploited as tourist attractions, an activity that has increased in past decades. Humboldt Penguins (Spheniscus humboldti) and Magellanic Penguins (S. magellanicus) breed sympatrically on Punihuil Islets, two small coastal islands off the west coast of Chiloe Island (41 degrees S) in southern Chile that are subject to exploitation for tourism. Our goal was to compare the population size of the mixed colony of Humboldt and Magellanic Penguins before and after protection from unregulated tourism and freely roaming goats in 1997. For this purpose, two censuses were conducted in 2004 and 2008, and the numbers compared with those obtained in 1997 by other authors. The proportion of occupied, unoccupied, and collapsed/flooded burrows changed between years; there were 68% and 34% fewer collapsed burrows in 2004 and 2008, respectively, than in 1997. For the total number of burrows of both species, we counted 48% and 63% more burrows in 2004 and 2008, respectively, than in 1997. We counted 13% more burrows of Humboldt Penguins in 2008 than in 1997, and for Magellanic Penguins, we estimated a 64% increase in burrows in 2008. Presumably, this was as a result of habitat improvement attributable to the exclusion of tourists and the removal of goats from the islets. Although tourist visits to the islets are prohibited, tourism activities around the colonies are prevalent and need to be taken into account to promote appropriate management.</t>
  </si>
  <si>
    <t>[Reyes-Arriagada, Ronnie] Univ Austral Chile, Fac Ciencias, Inst Ecol &amp; Evoluc, Inst Zool, Santiago, Chile; [Hiriart-Bertrand, Luciano] Univ Calif San Diego, Scripps Inst Oceanog, Ctr Marine Biodivers &amp; Conservat, La Jolla, CA 92093 USA; [Riquelme, Victoria] Univ Austral Chile, Fac Ciencias, Inst Zool, Santiago, Chile; [Simeone, Alejandro] Univ Andres Bello, Fac Ecol &amp; Recursos Nat, Dept Ecol &amp; Biodiversidad, Santiago, Chile; [Puetz, Klemens; Luethi, Benno] Zoo Zurich, Antarctic Res Trust, Zurich, Switzerland; [Raya Rey, Andrea] Consejo Nacl Invest Cient &amp; Tecn, CADIC, Buenos Aires, DF, Argentina</t>
  </si>
  <si>
    <t>Universidad Austral de Chile; University of California System; University of California San Diego; Scripps Institution of Oceanography; Universidad Austral de Chile; Universidad Andres Bello; Consejo Nacional de Investigaciones Cientificas y Tecnicas (CONICET)</t>
  </si>
  <si>
    <t>Reyes-Arriagada, R (corresponding author), Univ Austral Chile, Fac Ciencias, Inst Ecol &amp; Evoluc, Inst Zool, Santiago, Chile.</t>
  </si>
  <si>
    <t>Hiriart-Bertrand, Luciano/0000-0001-8888-4776; Raya Rey, Andrea/0000-0003-0127-6650; Puetz, Klemens/0000-0003-1375-2669</t>
  </si>
  <si>
    <t>Zoo Landau in der Pfalz, Germany; Antarctic Research Trust</t>
  </si>
  <si>
    <t>Fieldwork during 2004 was funded by Zoo Landau in der Pfalz, Germany. Fieldwork during 2008 was funded by a research grant from the Antarctic Research Trust. Marcelo Flores and Sabine Dresmman provided valuable help in the field in 2004, and Francisco, Pedro, Pablo, Fena, and Galindo in 2008. The Otway Foundation team was of great help in coordinating logistics at Punihuil in 2004, and Katja Siemund during 2008. CONAF provided permits to work at Punihuil in 2004 and 2008. SUBPESCA (Undersecretariat of Chilean Fisheries) provided permits for handling penguins in 2008. Caitlin Scully, Kristina Malizia, and Claire Evans-Serandour improved the English of the manuscript. The manuscript was reviewed and language edited by a native English-speaking scientist. We are very grateful to all of them.</t>
  </si>
  <si>
    <t>RESILIENCE ALLIANCE</t>
  </si>
  <si>
    <t>WOLFVILLE</t>
  </si>
  <si>
    <t>ACADIA UNIV, BIOLOGY DEPT, WOLFVILLE, NS B0P 1X0, CANADA</t>
  </si>
  <si>
    <t>1712-6568</t>
  </si>
  <si>
    <t>AVIAN CONSERV ECOL</t>
  </si>
  <si>
    <t>Avian Conserv. Ecol.</t>
  </si>
  <si>
    <t>10.5751/ACE-00617-080213</t>
  </si>
  <si>
    <t>Biodiversity Conservation; Ecology; Ornithology</t>
  </si>
  <si>
    <t>Biodiversity &amp; Conservation; Environmental Sciences &amp; Ecology; Zoology</t>
  </si>
  <si>
    <t>284KL</t>
  </si>
  <si>
    <t>WOS:000329315700017</t>
  </si>
  <si>
    <t>Silchenko, AS; Kalinovsky, AI; Avilov, SA; Andryjashchenko, PV; Dmitrenok, PS; Kalinin, VI; Taboada, S; Avila, C</t>
  </si>
  <si>
    <t>Silchenko, Alexandra S.; Kalinovsky, Anatoly I.; Avilov, Sergey A.; Andryjashchenko, Pelageya V.; Dmitrenok, Pavel S.; Kalinin, Vladimir I.; Taboada, Sergi; Avila, Conxita</t>
  </si>
  <si>
    <t>Triterpene glycosides from Antarctic sea cucumbers IV. Turquetoside A, a 3-O-methylquinovose containing disulfated tetraoside from the sea cucumber Staurocucumis turqueti (Vaney, 1906) (=Cucumaria spatha)</t>
  </si>
  <si>
    <t>BIOCHEMICAL SYSTEMATICS AND ECOLOGY</t>
  </si>
  <si>
    <t>Sea cucumber; Staurocucumis turqueti; Triterpene glycosides; Turquetoside A; 3-0-methyl-D-quinovose</t>
  </si>
  <si>
    <t>ASTEROSAPONINS; LIOUVILLEI; A(1); A(3); A(2)</t>
  </si>
  <si>
    <t>A novel triterpene holostane disulfated tetrasaccharide olygoglycoside, turquetoside A, having a rare terminal 3-O-methyl-D-quinovose, was isolated from the Antarctic sea cucumber Staurocucumis turqueti. Its structure was elucidated using 2D NMR procedures (HMBC, HSQC, ROESY) and mass-spectrometry. The occurrence of 3-O-methyl-D-quinovase in triterpene glycosides in S. turqueti and in the congeneric Antarctic sea cucumber Staurocucumis liouvillei suggests that the presence of this sugar in carbohydrate chains of triterpene glycosides is a taxonomical character of the genus Staurocucumis. (C) 2013 Elsevier Ltd. All rights reserved.</t>
  </si>
  <si>
    <t>[Silchenko, Alexandra S.; Kalinovsky, Anatoly I.; Avilov, Sergey A.; Andryjashchenko, Pelageya V.; Dmitrenok, Pavel S.; Kalinin, Vladimir I.] Russian Acad Sci, Far East Div, Pacific Inst Bioorgan Chem, Vladivostok 690022, Russia; [Taboada, Sergi; Avila, Conxita] Univ Barcelona, Fac Biol, Dept Anim Biol Invertebrates, E-08028 Barcelona, Catalonia, Spain; [Avila, Conxita] Univ Barcelona, Biodivers Res Inst IrBIO, E-08028 Barcelona, Catalonia, Spain</t>
  </si>
  <si>
    <t>Russian Academy of Sciences; Elyakov Pacific Institute of Bioorganic Chemistry; University of Barcelona; University of Barcelona</t>
  </si>
  <si>
    <t>Kalinin, VI (corresponding author), Russian Acad Sci, Far East Div, Pacific Inst Bioorgan Chem, Pr 100 Letya Vladivostoka 159, Vladivostok 690022, Russia.</t>
  </si>
  <si>
    <t>kalininv@piboc.dvo.ru</t>
  </si>
  <si>
    <t>Kalinin, Vladimir/M-9951-2013; Taboada, Sergi/AAB-9390-2021; Dmitrenok, Pavel S/N-3307-2013; Avila, Conxita/B-9466-2008; Silchenko, Alexandra/E-6064-2013; Silchenko, Alexandra/ABF-4353-2021</t>
  </si>
  <si>
    <t>Taboada, Sergi/0000-0003-1669-1152; Avila, Conxita/0000-0002-5489-8376; Silchenko, Alexandra/0000-0002-9367-1158; Silchenko, Alexandra/0000-0002-9367-1158</t>
  </si>
  <si>
    <t>Presidium of the Russian Academy of Science; Russian Federation Program for Support of the Leading Scientific Schools [SSh.-546.2012,4]; FEB RAS for young scientists [13-III-B-05-069]; RFBR [11-04-00480-a]; Spanish Government [REN2003-00545, CGL2004-033561ANT, CGL2007-65453/ANT, CTM2010-17415/ANT]</t>
  </si>
  <si>
    <t>Presidium of the Russian Academy of Science(Russian Academy of Sciences); Russian Federation Program for Support of the Leading Scientific Schools; FEB RAS for young scientists; RFBR(Russian Foundation for Basic Research (RFBR)); Spanish Government(Spanish Government)</t>
  </si>
  <si>
    <t>The authors acknowledge the financial support of Grants of Presidium of the Russian Academy of Science Program Molecular and cell biology, the President of the Russian Federation Program for Support of the Leading Scientific Schools Grant SSh.-546.2012,4 and the grant of FEB RAS for young scientists No. 13-III-B-05-069 and the RFBR Grant No. 11-04-00480-a. We are also thankful for the support of the ECOQUIM and ACTIQUIM projects (REN2003-00545, CGL2004-033561ANT, CGL2007-65453/ANT and CTM2010-17415/ANT) from the Spanish Government. The authors would also like to thank W. Arntz and the crew of R/V Polarstern (AWI) for their help during the cruise ANTXXI/2 as well as J. Moles for the taxonomical identification of the specimens. The authors very much appreciate Professor Valentin A. Stonik for reading and discussion of the manuscript.</t>
  </si>
  <si>
    <t>0305-1978</t>
  </si>
  <si>
    <t>1873-2925</t>
  </si>
  <si>
    <t>BIOCHEM SYST ECOL</t>
  </si>
  <si>
    <t>Biochem. Syst. Ecol.</t>
  </si>
  <si>
    <t>10.1016/j.bse.2013.08.012</t>
  </si>
  <si>
    <t>Biochemistry &amp; Molecular Biology; Ecology; Evolutionary Biology</t>
  </si>
  <si>
    <t>Biochemistry &amp; Molecular Biology; Environmental Sciences &amp; Ecology; Evolutionary Biology</t>
  </si>
  <si>
    <t>285UR</t>
  </si>
  <si>
    <t>WOS:000329421000008</t>
  </si>
  <si>
    <t>Ito, T; Follows, MJ</t>
  </si>
  <si>
    <t>Ito, Takamitsu; Follows, Michael J.</t>
  </si>
  <si>
    <t>Air-sea disequilibrium of carbon dioxide enhances the biological carbon sequestration in the Southern Ocean</t>
  </si>
  <si>
    <t>GLOBAL BIOGEOCHEMICAL CYCLES</t>
  </si>
  <si>
    <t>carbon; Southern ocean</t>
  </si>
  <si>
    <t>BOX MODELS; CYCLE; PUMP; REPRESENTATION; GCMS</t>
  </si>
  <si>
    <t>Sinking and subduction of organic material removes carbon from the surface ocean and stores it in inorganic form after remineralization. The wind-driven upwelling of deep waters, notably in the Southern Ocean, counteracts the biological carbon sequestration by returning excess carbon from the abyss, potentially releasing it back to the atmosphere. Numerical models have shown that significant fraction of the excess carbon in the Antarctic Surface Water is not degassed to the atmosphere but reenters into the deep ocean due to the incomplete air-sea equilibration, effectively increasing the efficiency of biological carbon storage in the deep ocean. We develop a simple theory to consider the controls on this effect. The theory predicts a strong coupling between biological carbon sequestration and air-sea disequilibrium expressed as a linear relationship between the biological carbon pump and the degree of supersaturation in the deep ocean. Sensitivity experiments with a three-dimensional ocean biogeochemistry model support this prediction and demonstrate that the disequilibrium pump almost doubles the efficiency of biological carbon sequestration, relative to the effect of nutrient utilization.</t>
  </si>
  <si>
    <t>[Ito, Takamitsu] Georgia Inst Technol, Sch Earth &amp; Atmospher Sci, Atlanta, GA 30332 USA; [Follows, Michael J.] MIT, Dept Earth Atmospher &amp; Planetary Sci, Cambridge, MA USA</t>
  </si>
  <si>
    <t>University System of Georgia; Georgia Institute of Technology; Massachusetts Institute of Technology (MIT)</t>
  </si>
  <si>
    <t>Ito, T (corresponding author), Georgia Inst Technol, Sch Earth &amp; Atmospher Sci, 311 Ferst Dr, Atlanta, GA 30332 USA.</t>
  </si>
  <si>
    <t>taka.ito@eas.gatech.edu</t>
  </si>
  <si>
    <t>Follows, Michael J/G-9824-2011; Ito, Takamitsu/F-3856-2010</t>
  </si>
  <si>
    <t>Ito, Takamitsu/0000-0001-9873-099X</t>
  </si>
  <si>
    <t>NSF [OPP-1142009]; NOAA; Division Of Ocean Sciences; Directorate For Geosciences [1048926, 1259388] Funding Source: National Science Foundation; Office of Polar Programs (OPP); Directorate For Geosciences [1142009] Funding Source: National Science Foundation</t>
  </si>
  <si>
    <t>NSF(National Science Foundation (NSF)); NOAA(National Oceanic Atmospheric Admin (NOAA) - USA); Division Of Ocean Sciences; Directorate For Geosciences(National Science Foundation (NSF)NSF - Directorate for Geosciences (GEO)); Office of Polar Programs (OPP); Directorate For Geosciences(National Science Foundation (NSF)NSF - Directorate for Geosciences (GEO))</t>
  </si>
  <si>
    <t>We are thankful for the comments from David Munday on an earlier version of this manuscript. Anonymous reviewers also provided helpful comments on the manuscript. T. Ito is supported by the NSF grant OPP-1142009. M.J. Follows is grateful for support from NSF and NOAA.</t>
  </si>
  <si>
    <t>0886-6236</t>
  </si>
  <si>
    <t>1944-9224</t>
  </si>
  <si>
    <t>GLOBAL BIOGEOCHEM CY</t>
  </si>
  <si>
    <t>Glob. Biogeochem. Cycle</t>
  </si>
  <si>
    <t>10.1002/2013GB004682</t>
  </si>
  <si>
    <t>Environmental Sciences; Geosciences, Multidisciplinary; Meteorology &amp; Atmospheric Sciences</t>
  </si>
  <si>
    <t>Environmental Sciences &amp; Ecology; Geology; Meteorology &amp; Atmospheric Sciences</t>
  </si>
  <si>
    <t>289MP</t>
  </si>
  <si>
    <t>WOS:000329686900013</t>
  </si>
  <si>
    <t>Villaescusa, JA; Rochera, C; Velázquez, D; Rico, E; Quesada, A; Camacho, A</t>
  </si>
  <si>
    <t>Villaescusa, Juan Antonio; Rochera, Carlos; Velazquez, David; Rico, Eugenio; Quesada, Antonio; Camacho, Antonio</t>
  </si>
  <si>
    <t>Bacterioplankton summer dynamics in a maritime Antarctic lake</t>
  </si>
  <si>
    <t>LIMNETICA</t>
  </si>
  <si>
    <t>Maritime Antarctic Lakes; Summer Dynamics; Bacterioplankton; CDOM; Temperature; Bacterial Diversity</t>
  </si>
  <si>
    <t>GEL-ELECTROPHORESIS DGGE; FRESH-WATER LAKES; COMMUNITY STRUCTURE; LIVINGSTON ISLAND; BYERS PENINSULA; ASSEMBLAGES; GRADIENT; FLUORESCENCE; MARINE</t>
  </si>
  <si>
    <t>Maritime Antarctica shows less severe weather conditions than continental Antarctica, thereby allowing an important thaw process during the austral summer that increases both light availability for primary production and the inputs of nutrients and organic matter through run-off. Thus, a rapid development of certain phytoplankton groups is favoured at the beginning of the austral summer as a direct effect of the higher availability of light and nutrients after the ice thaw. Inputs of allochthonous organic matter from microbial mats and moss carpets distributed across the catchment also enhance the abundance of heterotrophic bacterioplankton. Indeed, the bacterioplankton abundance and the availability of organic matter are correlated for each studied depth, revealing a possible differential use of the organic matter. Additionally, the availability and dynamics of different types of dissolved organic matter (autochthonous and allochthonous) may influence the diversity and abundance of the different bacterioplankton groups along the water column and throughout the summer, with a relative abundance of each group that differs between the surface and bottom waters. The study of DGGE patterns reveals the existence of changes in the abundance of different bacterial taxa during the summer and the different relative importance of each bacterial group at each depth. This result can also be related to the organic matter dynamics during the austral summer, as evidenced by the correlation between the concentration of chromophoric dissolved organic matter (CDOM) and abundance of bacterioplankton at each depth. Therefore, the regional temperature regime, which allows ice thaw of the lakes and their catchments during summer, plays a key role in the onset of biological processes and the length of the productive season throughout the austral summer.</t>
  </si>
  <si>
    <t>[Villaescusa, Juan Antonio; Rochera, Carlos; Camacho, Antonio] Univ Valencia, Cavanilles Inst Biodivers &amp; Evolutionary Biol, E-46003 Valencia, Spain; [Velazquez, David; Quesada, Antonio] Autonomous Univ Madrid, Dept Biol, Madrid, Spain; [Rico, Eugenio] Autonomous Univ Madrid, Dept Ecol, Madrid, Spain</t>
  </si>
  <si>
    <t>University of Valencia; Autonomous University of Madrid; Autonomous University of Madrid</t>
  </si>
  <si>
    <t>Camacho, A (corresponding author), Univ Valencia, Cavanilles Inst Biodivers &amp; Evolutionary Biol, E-46003 Valencia, Spain.</t>
  </si>
  <si>
    <t>antonio.camacho@uv.es</t>
  </si>
  <si>
    <t>Quesada, Antonio/L-2430-2013; Velazquez, David/M-2309-2017; Rochera, Carlos/M-2932-2014; Rico, Eugenio/L-2429-2013; Camacho, Antonio/I-3417-2015</t>
  </si>
  <si>
    <t>Rochera, Carlos/0000-0002-8294-4755; Rico, Eugenio/0000-0001-6978-645X; Camacho, Antonio/0000-0003-0841-2010</t>
  </si>
  <si>
    <t>Spanish Ministry of Education and Science [CGL2005-06549-C02-02/ANT]; Spanish Ministry of Science and Innovation [CGL2007-29841-E, CTM2008-05205-E]; University of Valencia; European FEDER funds</t>
  </si>
  <si>
    <t>Spanish Ministry of Education and Science(Spanish Government); Spanish Ministry of Science and Innovation(Spanish Government); University of Valencia; European FEDER funds(European Union (EU))</t>
  </si>
  <si>
    <t>This study was supported by the project CGL2005-06549-C02-02/ANT from the Spanish Ministry of Education and Science to AC, which was co-financed by European FEDER funds, and CGL2005-06549-C02-01/ANT to AQ. Support for travel costs was obtained from grants CGL2007-29841-E and CTM2008-05205-E, given by the Spanish Ministry of Science and Innovation to AC. The authors are indebted to their colleagues of the LIMNOPOLAR research Team for their support and to the crew of the ship Las Palmas (Spanish Navy) and the Marine Technology Unit (UTM-CSIC) for logistic support. We also thank the Central Service for the Support to Experimental Research (SCSIE) from the University of Valencia for their assistance with some of the analyses.</t>
  </si>
  <si>
    <t>ASOC ESPAN LIMNOL-MISLATA</t>
  </si>
  <si>
    <t>MISLATA (VALENCIA)</t>
  </si>
  <si>
    <t>C/ LOS ANGELES, 33, MISLATA (VALENCIA), SPAIN</t>
  </si>
  <si>
    <t>0213-8409</t>
  </si>
  <si>
    <t>1989-1806</t>
  </si>
  <si>
    <t>Limnetica</t>
  </si>
  <si>
    <t>Limnology; Marine &amp; Freshwater Biology</t>
  </si>
  <si>
    <t>287HZ</t>
  </si>
  <si>
    <t>WOS:000329534000008</t>
  </si>
  <si>
    <t>Robinson, SC; Miller, NG</t>
  </si>
  <si>
    <t>Robinson, Sean C.; Miller, Norton G.</t>
  </si>
  <si>
    <t>Bryophyte diversity on Adirondack alpine summits is maintained by dissemination and establishment of vegetative fragments and spores</t>
  </si>
  <si>
    <t>BRYOLOGIST</t>
  </si>
  <si>
    <t>Bryophyte dispersal; gametophore fragments; fragment viability; asexual reproduction</t>
  </si>
  <si>
    <t>SEXUAL REPRODUCTION; GENETIC DIVERSITY; HYLOCOMIUM-SPLENDENS; ASEXUAL PROPAGULES; ANTARCTIC MOSSES; VICTORIA LAND; DISPERSAL; PATTERNS; PROGRESS; ECOLOGY</t>
  </si>
  <si>
    <t>Many alpine bryophytes rely primarily if not exclusively on gametophytic fragments for reproduction. The dispersal role of these fragments, however, has not been adequately addressed. The objective of this study was to determine the extent to which fragments disperse on alpine summits and the reproductive viability of those fragments. Airborne diaspores were collected from early spring snow deposits in 2008, 2009, and 2010 from the summit of Mt. Marcy, and from summer propagule traps placed on the summits of Mt. Marcy and Algonquin Peak in 2009 and 2010. All fragments collected were identified to genus and/or species, when possible. To test for reproductive viability, fragments were grown in nutrient agar under ambient conditions for a period of 17 weeks. To detect the presence of spores, collected debris was surface sterilized and cultured on separate dishes containing nutrient agar. A total of 6130 gametophytic fragments, representing 26 species, were collected. Collections were dominated by individual leaves (65%) and leafy branch fragments (32%). Up to 20% of fragments collected were found to be viable, with the majority of growth originating from stem tissue. In contrast, spore production was found to be uncommon to rare. The results of this study provide evidence that Adirondack alpine bryophyte populations are maintained by the production and dissemination of gametophore fragments during both winter and summer months, with infrequent spore production events, perhaps episodically when weather conditions are most suitable. Data also suggest that vegetative propagules may travel longer distances on these summits than originally predicted.</t>
  </si>
  <si>
    <t>[Robinson, Sean C.] SUNY Albany, Dept Biol Sci, Albany, NY 12230 USA; [Robinson, Sean C.; Miller, Norton G.] New York State Museum Res &amp; Collect, Albany, NY 12230 USA</t>
  </si>
  <si>
    <t>State University of New York (SUNY) System; State University of New York (SUNY) Albany</t>
  </si>
  <si>
    <t>Robinson, SC (corresponding author), SUNY Coll Oneonta, 108 Ravine Pkwy, Oneonta, NY 13820 USA.</t>
  </si>
  <si>
    <t>sean.robinson@oneonta.edu</t>
  </si>
  <si>
    <t>New York State Museum; SUNY Benevolent Association; Edmond Niles Huyck Preserve; University at Albany Graduate Student Organization</t>
  </si>
  <si>
    <t>The study described in this manuscript was performed as part of the dissertation work of S. C. Robinson completed at the State University of New York University at Albany, under the supervision of Dr. George Robinson of the University and Dr. Norton Miller of the New York State Museum. This paper is dedicated to the memory of Dr. Norton Miller. Without his mentorship, this work would never have been possible. We would like to thank the members of the Adirondack Summit Steward Program for their assistance in the field, and the NYS DEC for issuing the necessary permits to perform the fieldwork described. This research was funded by The New York State Museum, SUNY Benevolent Association, Edmond Niles Huyck Preserve, and the University at Albany Graduate Student Organization.</t>
  </si>
  <si>
    <t>AMER BRYOLOGICAL LICHENOLOGICAL SOC INC</t>
  </si>
  <si>
    <t>OMAHA</t>
  </si>
  <si>
    <t>C/O DR ROBERT S EGAN, SEC-TRES, ABLS, UNIV NEBRASKA OMAHA, DEPT BIOLOGY, OMAHA, NE 68182-0040 USA</t>
  </si>
  <si>
    <t>0007-2745</t>
  </si>
  <si>
    <t>1938-4378</t>
  </si>
  <si>
    <t>Bryologist</t>
  </si>
  <si>
    <t>WIN</t>
  </si>
  <si>
    <t>10.1639/0007-2745-116.4.382</t>
  </si>
  <si>
    <t>283TI</t>
  </si>
  <si>
    <t>WOS:000329269500007</t>
  </si>
  <si>
    <t>Abakumov, EV; Gagarina, EI; Sapega, VF; Vlasov, DY</t>
  </si>
  <si>
    <t>Abakumov, E. V.; Gagarina, E. I.; Sapega, V. F.; Vlasov, D. Yu.</t>
  </si>
  <si>
    <t>Micromorphological features of the fine earth and skeletal fractions of soils of West Antarctica in the areas of Russian Antarctic stations</t>
  </si>
  <si>
    <t>EURASIAN SOIL SCIENCE</t>
  </si>
  <si>
    <t>soils of West Antarctica; micromorphological features; soil processes; microprobe analysis</t>
  </si>
  <si>
    <t>VALLEY</t>
  </si>
  <si>
    <t>Micromorphological features of the fine earth and skeletal fractions of soils of West Antarctica forming under different conditions of pedogenesis have been studied in the areas of Russian Antarctic stations. The processes of mineral weathering and alteration of rock fragments are more pronounced in the Subantarctic soils with better developed humification and immobilization of iron compounds under conditions of surface overmoistening. The biogenic accumulative processes in the soils of King George Island result in the appearance of initial forms of humic plasma that have not been detected in the Antarctic soils in the areas of the Russkaya and Leningradskaya stations. Humus films on mineral grains are present in the soils of King George Island, and organic plasmic material is present in the ornithogenic soils under penguin guano on Lindsey Island. High-latitude Antarctic soils may contain surface concentrations of organic matter; rock fragments are covered by iron oxides and soluble salts. The formation of amorphous organic plasma takes place in the ornithogenic soils of Lindsey Island. The microprobe analysis indicates the presence of local concentrations of organic matter and pedogenic compounds not only on the surface of rock fragments but also in the fissures inside them. This analysis has also proved the translocation of guano-derived organic substances inside rock fragments through a system of fissures in the soils of Lindsey Island and the development of a network of pores inside rock fragments in the soils of King George Island.</t>
  </si>
  <si>
    <t>[Abakumov, E. V.; Gagarina, E. I.; Vlasov, D. Yu.] St Petersburg State Univ, St Petersburg 198178, Russia; [Sapega, V. F.] Karpinskii All Russia Res Inst Geol, St Petersburg 199026, Russia</t>
  </si>
  <si>
    <t>Saint Petersburg State University; A.P. Karpinsky Russian Geological Research Institute (VSEGEI)</t>
  </si>
  <si>
    <t>Abakumov, EV (corresponding author), St Petersburg State Univ, Shestnadtsataya Liniya 29, St Petersburg 198178, Russia.</t>
  </si>
  <si>
    <t>e_abakumov@mail.ru</t>
  </si>
  <si>
    <t>Abakumov, Evgeny/AAO-8580-2020; Abakumov, e_abakumov@mail.ru/ADJ-1297-2022; Vlasov, Dmitry/J-8866-2013</t>
  </si>
  <si>
    <t>Abakumov, Evgeny/0000-0002-5248-9018; Abakumov, e_abakumov@mail.ru/0000-0002-5248-9018; Vlasov, Dmitry/0000-0001-9763-9078; Vlasov, Dmitry/0000-0002-0455-1462</t>
  </si>
  <si>
    <t>Russian Foundation for Basic Research [12-04-00680-a, 10-04-01181-a]; federal targeted program Development of Priority Directions in Science and Technology [11.519.11.2003]</t>
  </si>
  <si>
    <t>Russian Foundation for Basic Research(Russian Foundation for Basic Research (RFBR)Spanish Government); federal targeted program Development of Priority Directions in Science and Technology</t>
  </si>
  <si>
    <t>This study was supported by the Russian Foundation for Basic Research (project nos. 12-04-00680-a and 10-04-01181-a) and by the federal targeted program Development of Priority Directions in Science and Technology in 2007-2013 (state contract no. 11.519.11.2003 from August 17, 2011).</t>
  </si>
  <si>
    <t>PLEIADES PUBLISHING INC</t>
  </si>
  <si>
    <t>MOSCOW</t>
  </si>
  <si>
    <t>PLEIADES PUBLISHING INC, MOSCOW, 00000, RUSSIA</t>
  </si>
  <si>
    <t>1064-2293</t>
  </si>
  <si>
    <t>1556-195X</t>
  </si>
  <si>
    <t>EURASIAN SOIL SCI+</t>
  </si>
  <si>
    <t>Eurasian Soil Sci.</t>
  </si>
  <si>
    <t>10.1134/S1064229313120028</t>
  </si>
  <si>
    <t>284DO</t>
  </si>
  <si>
    <t>WOS:000329296500011</t>
  </si>
  <si>
    <t>Pollard, D; Kump, LR; Zachos, JC</t>
  </si>
  <si>
    <t>Pollard, D.; Kump, L. R.; Zachos, J. C.</t>
  </si>
  <si>
    <t>Interactions between carbon dioxide, climate, weathering, and the Antarctic ice sheet in the earliest Oligocene</t>
  </si>
  <si>
    <t>GLOBAL AND PLANETARY CHANGE</t>
  </si>
  <si>
    <t>Eocene-Oligocene Transition; Antarctic ice sheet; paleoclimate modeling; silicate weathering feedback; carbon cycles</t>
  </si>
  <si>
    <t>GLOBAL CHEMICAL EROSION; ATMOSPHERIC CO2; EOCENE; MODEL; GLACIATION; TRANSITION; CYCLE; COMPENSATION; TEMPERATURE; FEEDBACKS</t>
  </si>
  <si>
    <t>A coupled set of models is used to explore the possibility of long-term internal cycles in the CO2-climate-weathering-Antarctic Ice Sheet system. Cycles of this type were found in an earlier study with 0-D box models, and proposed to explain the quasi-periodic oscillations in benthic deep-sea-core records during the Eocene-Oligocene Transition similar to 34 Ma. Here the system is extended using a 3-D Global Climate Model, a 3-D Antarctic ice-sheet model, and two previously published spatially distributed parameterizations of CO2 consumption by silicate weathering. In 6-million year long simulations across an idealized Eocene-Oligocene Transition, no internal cycles are found, and the coupled system just relaxes from the initial state to the final state, with at most one overdamped half-cycle. The absence of cycles is presumably due to features in this 3-0 model system that are absent in the 0-D models: powerful Height Mass-Balance Feedback producing strong ice-sheet expansion after initial growth, and hysteresis in ice-sheet response to climate that damps retreat due to moderate warming. With one of the weathering parameterizations, the models indicate a region of negative slope in the relation between CO2 level and global weathering consumption, occurring in the range similar to 02 to 1.5x PAL (preindustrial atmospheric level). This contrasts with the monotonically increasing relation usually assumed. If confirmed, it would have serious consequences for the well-known CO2-weathering thermostat mechanism, at least for CO2 levels below similar to 1.5x PAL. (C) 2013 Elsevier B.V. All rights reserved.</t>
  </si>
  <si>
    <t>[Pollard, D.] Penn State Univ, Earth &amp; Environm Syst Inst, University Pk, PA 16802 USA; [Kump, L. R.] Penn State Univ, Dept Geosci, University Pk, PA 16802 USA; [Zachos, J. C.] Univ Calif Santa Cruz, Earth &amp; Planetary Sci Dept, Santa Cruz, CA 95064 USA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</si>
  <si>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 University of California System; University of California Santa Cruz</t>
  </si>
  <si>
    <t>Pollard, D (corresponding author), Penn State Univ, Earth &amp; Environm Syst Inst, University Pk, PA 16802 USA.</t>
  </si>
  <si>
    <t>pollard@essc.psu.edu</t>
  </si>
  <si>
    <t>Zachos, James C/A-7674-2008; Kump, Lee R/H-8287-2012</t>
  </si>
  <si>
    <t>US National Science Foundation [EAR 0652020]; Canadian Institute for Advanced Research</t>
  </si>
  <si>
    <t>US National Science Foundation(National Science Foundation (NSF)); Canadian Institute for Advanced Research(Canadian Institute for Advanced Research (CIFAR))</t>
  </si>
  <si>
    <t>We thank Mathias Bellaton for substantial contributions in the early stages of the modeling, especially in the soil and runoff components, during an extended visit to the Pennsylvania State University as a graduate student in 2008. We also thank two anonymous reviewers for careful and constructive reviews. This research was funded in part by the US National Science Foundation under award EAR 0652020 (LK, DP). JZ and LK also acknowledge the support of the Canadian Institute for Advanced Research.</t>
  </si>
  <si>
    <t>0921-8181</t>
  </si>
  <si>
    <t>1872-6364</t>
  </si>
  <si>
    <t>GLOBAL PLANET CHANGE</t>
  </si>
  <si>
    <t>Glob. Planet. Change</t>
  </si>
  <si>
    <t>10.1016/j.gloplacha.2013.09.012</t>
  </si>
  <si>
    <t>285FB</t>
  </si>
  <si>
    <t>WOS:000329378000021</t>
  </si>
  <si>
    <t>Yaxley, GM; Kamenetsky, VS; Nichols, GT; Maas, R; Belousova, E; Rosenthal, A; Norman, M</t>
  </si>
  <si>
    <t>Yaxley, Gregory M.; Kamenetsky, Vadim S.; Nichols, Geoffrey T.; Maas, Roland; Belousova, Elena; Rosenthal, Anja; Norman, Marc</t>
  </si>
  <si>
    <t>The discovery of kimberlites in Antarctica extends the vast Gondwanan Cretaceous province</t>
  </si>
  <si>
    <t>BEAVER LAKE AREA; ULTRAMAFIC LAMPROPHYRES; EAST ANTARCTICA; TRACE-ELEMENT; GROUP-I; LAMBERT GRABEN; CENTRAL INDIA; MINAS-GERAIS; SOUTH-AFRICA; OFF-CRATON</t>
  </si>
  <si>
    <t>Kimberlites are a volumetrically minor component of the Earth's volcanic record, but are very important as the major commercial source of diamonds and as the deepest samples of the Earth's mantle. They were predominantly emplaced from approximate to 2,100 Ma to approximate to 10 ka ago, into ancient, stable regions of continental crust (cratons), but are also known from continental rifts and mobile belts. Kimberlites have been reported from almost all major cratons on all continents except for Antarctica. Here we report the first bona fide Antarctic kimberlite occurrence, from the northern Prince Charles Mountains, emplaced during the reactivation of the Lambert Graben associated with rifting of India from Australia-Antarctica. The samples are texturally, mineralogically and geochemically typical of Group I kimberlites from more classical localities. Their approximate to 120 Ma ages overlap with those of many kimberlites from other world-wide localities, extending a vast Cretaceous, Gondwanan kimberlite province, for the first time, into Antarctica.</t>
  </si>
  <si>
    <t>[Yaxley, Gregory M.; Rosenthal, Anja; Norman, Marc] Australian Natl Univ, Res Sch Earth Sci, Canberra, ACT 0200, Australia; [Kamenetsky, Vadim S.] Univ Tasmania, ARC Ctr Excellence Ore Deposits, Hobart, Tas 7001, Australia; [Kamenetsky, Vadim S.] Univ Tasmania, Inst Marine &amp; Antarct Studies, Hobart, Tas 7001, Australia; [Nichols, Geoffrey T.; Belousova, Elena] Macquarie Univ, Dept Earth &amp; Planetary Sci, GEMOC, N Ryde, NSW 2109, Australia; [Maas, Roland] Univ Melbourne, Sch Earth Sci, Melbourne, Vic 3010, Australia; [Rosenthal, Anja] Univ Bayreuth, Bayer Geoinst, D-95440 Bayreuth, Germany</t>
  </si>
  <si>
    <t>Australian National University; University of Tasmania; University of Tasmania; Macquarie University; University of Melbourne; Melbourne Bioinformatics; University of Bayreuth</t>
  </si>
  <si>
    <t>Yaxley, GM (corresponding author), Australian Natl Univ, Res Sch Earth Sci, Canberra, ACT 0200, Australia.</t>
  </si>
  <si>
    <t>greg.yaxley@anu.edu.au</t>
  </si>
  <si>
    <t>Norman, Marc D/A-2244-2008; Rosenthal, Anja/J-9393-2014; Kamenetsky, Vadim/CAF-7424-2022; Kamenetsky, Vadim/K-2200-2019; Belousova, Elena/JOJ-9926-2023; Kamenetsky, Vadim/B-1019-2008; Yaxley, Greg/A-1167-2008</t>
  </si>
  <si>
    <t>Rosenthal, Anja/0000-0003-3912-4046; Belousova, Elena/0000-0001-9369-4993; Kamenetsky, Vadim/0000-0002-2734-8790; Yaxley, Greg/0000-0003-0445-8812; Belousova, Elena/0000-0003-2315-3520; Norman, Marc/0000-0002-1357-5415</t>
  </si>
  <si>
    <t>Australian Research Council; University of Tasmania; Marie Curie International Incoming Fellowship [302637]</t>
  </si>
  <si>
    <t>Australian Research Council(Australian Research Council); University of Tasmania; Marie Curie International Incoming Fellowship(European Union (EU))</t>
  </si>
  <si>
    <t>G.T.N. thanks R. F. Flint and ANARE expeditioners for assistance during the summers of 1987-88, 1988-89 and 1989-90. C. Lawson and N. Pearson (Macquarie University) provided XRF analyses and electron microprobe time, respectively. We acknowledge funding from the Australian Research Council (V. S. K. and G. M. Y.), the University of Tasmania (V. S. K.) and a Marie Curie International Incoming Fellowship (302637) to A. R. This is contribution 312 from the ARC Centre of Excellence for Core to Crust Fluid Systems (http://www/ccfs/mq/.edu.au) and 878 in the GEMOC Key Centre (http://www.gemoc.mq.edu.au).</t>
  </si>
  <si>
    <t>10.1038/ncomms3921</t>
  </si>
  <si>
    <t>285LW</t>
  </si>
  <si>
    <t>WOS:000329396500007</t>
  </si>
  <si>
    <t>Pérez, AF; Boy, CC; Curelovich, J; Pérez-Barros, P; Calcagno, JA</t>
  </si>
  <si>
    <t>Perez, Analia F.; Boy, Claudia C.; Curelovich, Jessica; Perez-Barros, Patricia; Calcagno, Javier A.</t>
  </si>
  <si>
    <t>Relationship between energy allocation and gametogenesis in Aulacomya atra (Bivalvia: Mytilidae) in a sub-Antarctic environment</t>
  </si>
  <si>
    <t>REVISTA DE BIOLOGIA MARINA Y OCEANOGRAFIA</t>
  </si>
  <si>
    <t>Energetics; calorimetry; reproduction; bivalve; Beagle Channel; Aulacomya atra</t>
  </si>
  <si>
    <t>MUSSEL MYTILUS-EDULIS; SCALLOP PLACOPECTEN-MAGELLANICUS; ECOLOGICAL ENERGETICS; REPRODUCTIVE OUTPUT; SOUTHERNMOST LIMIT; FOOD AVAILABILITY; BEAGLE CHANNEL; GROWTH; CYCLE; TEMPERATURE</t>
  </si>
  <si>
    <t>Gametogenesis and temporal variation in energy allocation to different organs were analyzed in Aulacomya atra from the Beagle Channel (Tierra del Fuego, Argentina). Our results show that A. atra presents an extended spawning period from late winter to spring when the lowest value of mantle-gonad index (MGI) and maximum number of spawned individuals were observed. The MGI in mature males increased as the energy density of the mantle-gonad (EDMG) decreased, indicating an increase in mass of lower energy values. In contrast, the MGI in mature females increased as EDMG increased, indicating an increase in mass of higher energy values. Consequently, males and females reached a similar energy content of the mantle-gonad (ECMG) by means of different strategies: males have gonads of larger size but with lower energy by unit of mass than females. Besides, we observed a decrease in the digestive gland index (DGI) in concordance with an increase in the MGI of mature individuals, and a trend towards the depletion of ED and EC in the digestive gland during gonadal maturation. Our results evidence the role of the digestive gland as an energy reservoir and a different energy allocation strategy between sexes during gonadal maturation.</t>
  </si>
  <si>
    <t>[Perez, Analia F.; Curelovich, Jessica; Perez-Barros, Patricia; Calcagno, Javier A.] Univ Maimonides, CONICET, Ctr Estudios Biomed Biotecnol Ambientales &amp; Diagn, Inst Super Invest, RA-1405 Buenos Aires, DF, Argentina; [Boy, Claudia C.] Ctr Austral Invest Cient CADIC CONICET, Ushuaia, Tierra Del Fueg, Argentina</t>
  </si>
  <si>
    <t>Consejo Nacional de Investigaciones Cientificas y Tecnicas (CONICET); Consejo Nacional de Investigaciones Cientificas y Tecnicas (CONICET)</t>
  </si>
  <si>
    <t>Pérez, AF (corresponding author), Univ Maimonides, CONICET, Ctr Estudios Biomed Biotecnol Ambientales &amp; Diagn, Inst Super Invest, Hidalgo 775, RA-1405 Buenos Aires, DF, Argentina.</t>
  </si>
  <si>
    <t>analiaperez@conicet.gov.ar</t>
  </si>
  <si>
    <t>UNIV VALPARAISO, Faculty Marine Sciences and Natural Resources</t>
  </si>
  <si>
    <t>CASILLA 5080 - RENACA, VINA DEL MAR, 00000, CHILE</t>
  </si>
  <si>
    <t>0717-3326</t>
  </si>
  <si>
    <t>0718-1957</t>
  </si>
  <si>
    <t>REV BIOL MAR OCEANOG</t>
  </si>
  <si>
    <t>Rev. Biol. Mar. Oceanogr.</t>
  </si>
  <si>
    <t>10.4067/S0718-19572013000300005</t>
  </si>
  <si>
    <t>285ZR</t>
  </si>
  <si>
    <t>Green Submitted, gold, Green Published</t>
  </si>
  <si>
    <t>WOS:000329434700005</t>
  </si>
  <si>
    <t>Kim, S; Jo, S; Lee, H; Kim, TU; Kim, IC; Yim, JH; Chung, H</t>
  </si>
  <si>
    <t>Kim, Sojin; Jo, Sungsin; Lee, Hongki; Kim, Tae Ue; Kim, Il-Chan; Yim, Joung Han; Chung, Heekyoung</t>
  </si>
  <si>
    <t>Lobarstin Enhances Chemosensitivity in Human Glioblastoma T98G Cells</t>
  </si>
  <si>
    <t>ANTICANCER RESEARCH</t>
  </si>
  <si>
    <t>Lobarstin; glioblastoma; temozolomide; chemosensitivity; DNA repair</t>
  </si>
  <si>
    <t>MALIGNANT GLIOMA; TEMOZOLOMIDE RESISTANCE; ALKYLATING-AGENTS; MGMT EXPRESSION; TUMOR-CELLS; IN-VITRO; INHIBITION; LINES; XENOGRAFTS; MECHANISMS</t>
  </si>
  <si>
    <t>Background/Aim: Lobarstin is a metabolite occurring from the Antarctic lichen Stereocaulon alpnum. Human glioblastoma is highly resistant to chemotherapy with temozolomide. Lobarstin was examined for its effect on glioblastoma. Materials and Methods: Temozolomide-resistant T98G cells were subjected to toxicity test with temozolomide and/or lobarstin. DNA damage and recovery was assessed by the alkaline comet assay and expression of DNA repair genes was examined by RT-PCR and western blot analysis. Results: Lobarstin alone at 40 mu M was toxic against T98G, but had no effect in primary human fibroblasts. Co-treatment of lobarstin with temozolomide yielded enhanced toxicity. Temozolomide-alone or with lobarstin co-treatment gave similar extent of DNA damage. However, the recovery was reduced in co-treated cells. Expression of DNA repair genes, O-6-methylguanine-DNA methyltransferase, poly(ADPribose) polymerase I and ligase 3 were reduced in lobarstin-treated cells. Conclusion: Enhanced sensitivity to temozolomide by lobarstin co-treatment may be attributed to reduced DNA repair.</t>
  </si>
  <si>
    <t>[Kim, Sojin; Kim, Tae Ue] Yonsei Univ, Coll Hlth Sci, Dept Biomed Lab Sci, Wonju, Gangwon Do, South Korea; [Kim, Sojin; Chung, Heekyoung] Hanyang Univ, Coll Med, Dept Pathol, Seoul 133791, South Korea; [Kim, Sojin; Jo, Sungsin; Lee, Hongki; Chung, Heekyoung] Hanyang Univ, Hanyang Biomed Res Inst, Seoul 133791, South Korea; [Jo, Sungsin] Hanyang Univ, Grad Sch Biomed Sci &amp; Bioengn, Dept Biomed Sci, Seoul 133791, South Korea; [Lee, Hongki] Hanyang Univ, Grad Sch, Dept Biomed Sci, Seoul 133791, South Korea; [Kim, Il-Chan; Yim, Joung Han] Korea Inst Ocean Sci &amp; Technol, Korea Polar Res Inst, Dept Life Sci, Inchon, South Korea</t>
  </si>
  <si>
    <t>Yonsei University; Hanyang University; Hanyang University; Hanyang University; Hanyang University; Korea Polar Research Institute (KOPRI); Korea Institute of Ocean Science &amp; Technology (KIOST)</t>
  </si>
  <si>
    <t>Chung, H (corresponding author), Hanyang Univ, Coll Med, Dept Pathol, 222 Wangsimni Ro, Seoul 133791, South Korea.</t>
  </si>
  <si>
    <t>hc2n@hanyang.ac.kr</t>
  </si>
  <si>
    <t>Jo, Sungsin/AAL-3659-2021</t>
  </si>
  <si>
    <t>Jo, Sungsin/0000-0003-3034-5029</t>
  </si>
  <si>
    <t>Ministry of Oceans and Fisheries, Republic of Korea [PM12030]</t>
  </si>
  <si>
    <t>Ministry of Oceans and Fisheries, Republic of Korea</t>
  </si>
  <si>
    <t>This research was a part of the project titled Korea-Polar Ocean Development: K-POD (project no. PM12030) funded by the Ministry of Oceans and Fisheries, Republic of Korea.</t>
  </si>
  <si>
    <t>INT INST ANTICANCER RESEARCH</t>
  </si>
  <si>
    <t>ATHENS</t>
  </si>
  <si>
    <t>EDITORIAL OFFICE 1ST KM KAPANDRITIOU-KALAMOU RD KAPANDRITI, PO BOX 22, ATHENS 19014, GREECE</t>
  </si>
  <si>
    <t>0250-7005</t>
  </si>
  <si>
    <t>1791-7530</t>
  </si>
  <si>
    <t>ANTICANCER RES</t>
  </si>
  <si>
    <t>Anticancer Res.</t>
  </si>
  <si>
    <t>Oncology</t>
  </si>
  <si>
    <t>277EN</t>
  </si>
  <si>
    <t>WOS:000328801900028</t>
  </si>
  <si>
    <t>Nemirovskaya, IA; Kravchishina, MD; Lisitzyn, AP; Artem'ev, VA</t>
  </si>
  <si>
    <t>Nemirovskaya, I. A.; Kravchishina, M. D.; Lisitzyn, A. P.; Artem'ev, V. A.</t>
  </si>
  <si>
    <t>Composition features of organic compounds and suspended particulate matter in snow-ice cover on fast antarctic ice</t>
  </si>
  <si>
    <t>DOKLADY EARTH SCIENCES</t>
  </si>
  <si>
    <t>VARIABILITY; SECTORS</t>
  </si>
  <si>
    <t>[Nemirovskaya, I. A.; Kravchishina, M. D.; Lisitzyn, A. P.; Artem'ev, V. A.] Russian Acad Sci, PP Shirshov Oceanol Inst, Moscow 117901, Russia</t>
  </si>
  <si>
    <t>Russian Academy of Sciences; Shirshov Institute of Oceanology</t>
  </si>
  <si>
    <t>Nemirovskaya, IA (corresponding author), Russian Acad Sci, PP Shirshov Oceanol Inst, Moscow 117901, Russia.</t>
  </si>
  <si>
    <t>nemir@ocean.ru</t>
  </si>
  <si>
    <t>Kravchishina, Marina/B-3741-2017; Nemirovskaya, Inna/G-2392-2017</t>
  </si>
  <si>
    <t>Kravchishina, Marina/0000-0001-9967-2891;</t>
  </si>
  <si>
    <t>Russian Foundation for Basic Research [11-05-00456, 11-05-00087-a]; Presidium of the Russian Academy of Sciences [23]; Foundation of the President of the Russian Federation for Leading Scientific Schools [NSh-618.2012.5]; Earth Science Section, Russian Academy of Sciences (project Nanoparticles in Internal and External Spheres of the Earth); Russian Antarctic Expedition</t>
  </si>
  <si>
    <t>Russian Foundation for Basic Research(Russian Foundation for Basic Research (RFBR)Spanish Government); Presidium of the Russian Academy of Sciences(Russian Academy of Sciences); Foundation of the President of the Russian Federation for Leading Scientific Schools; Earth Science Section, Russian Academy of Sciences (project Nanoparticles in Internal and External Spheres of the Earth); Russian Antarctic Expedition</t>
  </si>
  <si>
    <t>This study was supported by the Russian Foundation for Basic Research (project nos. 11-05-00456 and 11-05-00087-a), the Presidium of the Russian Academy of Sciences (program 23), the Foundation of the President of the Russian Federation for Leading Scientific Schools (grant NSh-618.2012.5), Earth Science Section, Russian Academy of Sciences (project Nanoparticles in Internal and External Spheres of the Earth), and the Russian Antarctic Expedition.</t>
  </si>
  <si>
    <t>1028-334X</t>
  </si>
  <si>
    <t>1531-8354</t>
  </si>
  <si>
    <t>DOKL EARTH SCI</t>
  </si>
  <si>
    <t>Dokl. Earth Sci.</t>
  </si>
  <si>
    <t>10.1134/S1028334X13120131</t>
  </si>
  <si>
    <t>283IX</t>
  </si>
  <si>
    <t>WOS:000329240800017</t>
  </si>
  <si>
    <t>Demissie, TD; Hosokawa, K; Kleinknecht, NH; Espy, PJ; Hibbins, RE</t>
  </si>
  <si>
    <t>Demissie, T. D.; Hosokawa, K.; Kleinknecht, N. H.; Espy, P. J.; Hibbins, R. E.</t>
  </si>
  <si>
    <t>Planetary wave oscillations observed in ozone and PMSE data from Antarctica</t>
  </si>
  <si>
    <t>JOURNAL OF ATMOSPHERIC AND SOLAR-TERRESTRIAL PHYSICS</t>
  </si>
  <si>
    <t>Planetary wave SuperDARN radar; Ozone; Middle atmosphere; Antarctica</t>
  </si>
  <si>
    <t>MESOSPHERE SUMMER ECHOES; LOWER THERMOSPHERE; MIDDLE ATMOSPHERE; 6.5-DAY WAVE; 5-DAY WAVE; HF RADAR; TEMPERATURE; STRATOSPHERE; SUPERDARN; REGION</t>
  </si>
  <si>
    <t>The effect of temperature variations caused by planetary waves on the occurrence of Polar Mesospheric Summer Echoes (PMSE) has been a subject of recent research. These same temperature fluctuations have also been shown to modulate the ozone volume mixing ratio above 30 km. In this study, ground-based radiometer measurements of ozone mixing ratio profiles at Troll station (72 degrees S, 2 degrees E), Antarctica are compared with PMSE extracted from the near-range measurements of the Sanae (72 degrees S, 2 degrees W) Super Dual Auroral Radar (SuperDARN) over the radiometer field of view. We show here that the resulting quasi-periodic fluctuations in PMSE correlate with the variations seen in the ozone. The ozone mixing-ratio variations may then be used to trace the phase variation of planetary waves with height to demonstrate that they extend from the stratosphere up to the mesopause. The results indicate that the modulation of PMSE occurrence frequency during the summer of 2009/10 is the result of two planetary waves with similar zonal structure and period, but with different vertical phase structures. (C) 2013 Published by Elsevier Ltd.</t>
  </si>
  <si>
    <t>[Demissie, T. D.; Kleinknecht, N. H.; Espy, P. J.; Hibbins, R. E.] Norwegian Univ Sci &amp; Technol NTNU, Trondheim, Norway; [Hosokawa, K.] Univ Electrocommun, Dept Commun Engn &amp; Informat, Tokyo, Japan; [Espy, P. J.; Hibbins, R. E.] Birkeland Ctr Space Sci, Bergen, Norway</t>
  </si>
  <si>
    <t>Norwegian University of Science &amp; Technology (NTNU); University of Electro-Communications - Japan</t>
  </si>
  <si>
    <t>Demissie, TD (corresponding author), Norwegian Univ Sci &amp; Technol NTNU, Dept Phys, Trondheim, Norway.</t>
  </si>
  <si>
    <t>teferi.demissie@ntnu.no</t>
  </si>
  <si>
    <t>Hibbins, Robert/0000-0002-6867-2255</t>
  </si>
  <si>
    <t>Norwegian Research council (NFR) project; Norwegian Polar Institute Antarctic Program</t>
  </si>
  <si>
    <t>We thank David Newnham at BAS, Kim Holmen at the Norwegian Polar Institute (NPI) and Paul Hartogh at Max Planck Institute (MPI) for their support of the microwave radiometer. We also thank Asbjorn Djupdal (NPI), David Maxfield and Paul Breen (BAS) for their help. The work has been funded by the Norwegian Research council (NFR) project Gravity wave sources and scales in the Polar Regions and their effect on Polar Mesospheric Clouds. In addition, we acknowledge the Norwegian Polar Institute Antarctic Program which provided funding under the project Observations of carbon monoxide and ozone in the Antarctic and Arctic: Implications for the Inter-hemispheric coupling of vertical motions.</t>
  </si>
  <si>
    <t>1364-6826</t>
  </si>
  <si>
    <t>1879-1824</t>
  </si>
  <si>
    <t>J ATMOS SOL-TERR PHY</t>
  </si>
  <si>
    <t>J. Atmos. Sol.-Terr. Phys.</t>
  </si>
  <si>
    <t>10.1016/j.jastp.2013.10.008</t>
  </si>
  <si>
    <t>Geochemistry &amp; Geophysics; Meteorology &amp; Atmospheric Sciences</t>
  </si>
  <si>
    <t>278TQ</t>
  </si>
  <si>
    <t>WOS:000328913100023</t>
  </si>
  <si>
    <t>Tripathi, OP; Jennings, SG; O'Dowd, CD; Lambkin, KP; Moran, E</t>
  </si>
  <si>
    <t>Tripathi, Om P.; Jennings, S. G.; O'Dowd, C. D.; Lambkin, K. P.; Moran, E.</t>
  </si>
  <si>
    <t>Measurements of stratospheric ozone at a mid-latitude observing station Valentia, Ireland (51.94° N, 10.25° W), using ground-based and ozonesonde observations from 1994 to 2009</t>
  </si>
  <si>
    <t>JOURNAL OF ATMOSPHERIC CHEMISTRY</t>
  </si>
  <si>
    <t>Stratospheric Ozone; Ozonesonde; Brewer spectrophotometer; Mid-latitude ozone trend</t>
  </si>
  <si>
    <t>BREWER-DOBSON CIRCULATION; COLUMN OZONE; TRENDS; UNCERTAINTIES; LATITUDES; RECOVERY; UMKEHR; AIR; AGE</t>
  </si>
  <si>
    <t>Sixteen years (1994 - 2009) of ozone profiling by ozonesondes at Valentia Meteorological and Geophysical Observatory, Ireland (51.94(A degrees) N, 10.23(A degrees) W) along with a co-located MkIV Brewer spectrophotometer for the period 1993-2009 are analyzed. Simple and multiple linear regression methods are used to infer the recent trend, if any, in stratospheric column ozone over the station. The decadal trend from 1994 to 2010 is also calculated from the monthly mean data of Brewer and column ozone data derived from satellite observations. Both of these show a 1.5 % increase per decade during this period with an uncertainty of about +/- 0.25 %. Monthly mean data for March show a much stronger trend of similar to 4.8 % increase per decade for both ozonesonde and Brewer data. The ozone profile is divided between three vertical slots of 0-15 km, 15-26 km, and 26 km to the top of the atmosphere and a 11-year running average is calculated. Ozone values for the month of March only are observed to increase at each level with a maximum change of +9.2 +/- 3.2 % per decade (between years 1994 and 2009) being observed in the vertical region from 15 to 26 km. In the tropospheric region from 0 to 15 km, the trend is positive but with a poor statistical significance. However, for the top level of above 26 km the trend is significantly positive at about 4 % per decade. The March integrated ozonesonde column ozone during this period is found to increase at a rate of similar to 6.6 % per decade compared with the Brewer and satellite positive trends of similar to 5 % per decade.</t>
  </si>
  <si>
    <t>[Tripathi, Om P.] Univ Reading, Dept Meteorol, Reading, Berks, England; [Jennings, S. G.; O'Dowd, C. D.] Natl Univ Ireland Galway, Sch Phys, Galway, Ireland; [Jennings, S. G.; O'Dowd, C. D.] Natl Univ Ireland Galway, Ctr Climate &amp; Air Pollut Studies, Ryan Inst, Galway, Ireland; [Lambkin, K. P.] Valentia Meteorol &amp; Geophys Observ, Met Eireann Irish Meteorol Serv, Caherciveen, Ireland; [Moran, E.] Met Eireann Irish Meteorol Serv, Dublin, Ireland</t>
  </si>
  <si>
    <t>University of Reading; Ollscoil na Gaillimhe-University of Galway; Ollscoil na Gaillimhe-University of Galway; Met Eireann - Ireland; Met Eireann - Ireland</t>
  </si>
  <si>
    <t>Tripathi, OP (corresponding author), Univ Reading, Dept Meteorol, Reading, Berks, England.</t>
  </si>
  <si>
    <t>o.p.tripathi@reading.ac.uk</t>
  </si>
  <si>
    <t>O'Dowd, Colin D/K-8904-2012</t>
  </si>
  <si>
    <t>O'Dowd, Colin D/0000-0002-3068-2212</t>
  </si>
  <si>
    <t>Environment Protection Agency (EPA) of Ireland</t>
  </si>
  <si>
    <t>The Environment Protection Agency (EPA) of Ireland is acknowledged for its support (EPA Project: Ozone levels, changes and trends over Ireland - an Integrated Analysis). The Australian Antarctic Division is kindly thanked for logistical support of the Antarctic firn sampling http://www.environment.gov.au/soe/2006/publications/drs/pubs/276/atm/a_10_ozone_chlorine_observations_eesc_dl.xls. The authors wish to also thank anonymous reviewers for their valuable comments and suggestions.</t>
  </si>
  <si>
    <t>0167-7764</t>
  </si>
  <si>
    <t>1573-0662</t>
  </si>
  <si>
    <t>J ATMOS CHEM</t>
  </si>
  <si>
    <t>J. Atmos. Chem.</t>
  </si>
  <si>
    <t>10.1007/s10874-013-9274-5</t>
  </si>
  <si>
    <t>277YU</t>
  </si>
  <si>
    <t>WOS:000328856000001</t>
  </si>
  <si>
    <t>Kidston, M; Matear, R; Baird, ME</t>
  </si>
  <si>
    <t>Kidston, Mehera; Matear, Richard; Baird, Mark E.</t>
  </si>
  <si>
    <t>Phytoplankton growth in the Australian sector of the Southern Ocean, examined by optimising ecosystem model parameters</t>
  </si>
  <si>
    <t>JOURNAL OF MARINE SYSTEMS</t>
  </si>
  <si>
    <t>Marine ecosystem modelling; Marine ecology; Biogeochemical cycles; Iron; Parameter optimization; Southern Ocean; Australia, Tasmania, 140 degrees E</t>
  </si>
  <si>
    <t>SUB-ARCTIC PACIFIC; ANTARCTIC CIRCUMPOLAR CURRENT; EQUATORIAL PACIFIC; IRON-ENRICHMENT; PLANKTON DYNAMICS; NORTH-ATLANTIC; SILICIC-ACID; MIXED-LAYER; DATA ASSIMILATION; DISSOLVED IRON</t>
  </si>
  <si>
    <t>SeaWiFS surface chlorophyll estimates and Levitus nitrate estimates in the Southern Ocean south of Australia (140 E) show that this region is characterised by a high-nitrate low-chlorophyll (HNLC) regime typical of Southern Ocean waters. The HNLC conditions become more prominent moving south from the Sub-Antarctic Zone, with surface chlorophyll generally decreasing and nitrate increasing with latitude. Parameter optimisation experiments were performed using simulated annealing to fit a zero-dimensional nitrogen-based four-component ecosystem model to SeaWiFS surface chlorophyll data in the Sub-Antarctic Zone (SAZ), Polar Frontal Zone (PFZ) and Antarctic Zone (AZ). We hypothesise that bioavailability of iron limits phytoplankton growth in this region. A physiological indicator of iron availability was investigated by optimising three of the model parameters defining maximum photosynthetic growth and maximum photosynthetic efficiency of phytoplankton. The effect of zooplankton grazing and light, mixed layer depth and temperature forcing data on the optimisation results was investigated in further optimisation experiments. An error analysis of the optimised parameter estimates was performed by analysing the Hessian matrix of the cost function. The parameter optimisations indicate that phytoplankton growth rates in the Polar Frontal Zone and Antarctic Zone are limited by some process not explicitly included in this model, with iron availability being the most likely candidate. Based on these optimisations we support the theory that micronutrient availability is the primary cause of the HNLC conditions in the Australian sector of the Southern Ocean. (c) 2013 Elsevier B.V. All rights reserved.</t>
  </si>
  <si>
    <t>[Kidston, Mehera] Univ New S Wales, Sch Math, Sydney, NSW 2052, Australia; [Kidston, Mehera; Matear, Richard] CSIRO Div Marine &amp; Atmospher Res, Hobart, Tas 7001, Australia; [Baird, Mark E.] Univ Technol Sydney, Plant Funct Biol &amp; Climate Change Cluster, Broadway, NSW 2007, Australia</t>
  </si>
  <si>
    <t>University of New South Wales Sydney; Commonwealth Scientific &amp; Industrial Research Organisation (CSIRO); University of Technology Sydney</t>
  </si>
  <si>
    <t>Kidston, M (corresponding author), CEA Saclay, Lab Sci Climat &amp; Environm, F-91191 Gif Sur Yvette, France.</t>
  </si>
  <si>
    <t>mehera.kidston@lsce.ipsl.fr</t>
  </si>
  <si>
    <t>Baird, Mark/GLU-2397-2022; matear, richard/C-5133-2011</t>
  </si>
  <si>
    <t>Baird, Mark/0000-0003-4955-2298; matear, richard/0000-0002-3225-0800</t>
  </si>
  <si>
    <t>Northcote Graduate Scholarship scheme; Australian Government; CSIRO Wealth from Oceans Flagship Collaboration Fund; ARC Discovery Project [DP0557618]; Australia Climate Change Science Program; Australian Research Council [DP0557618] Funding Source: Australian Research Council</t>
  </si>
  <si>
    <t>Northcote Graduate Scholarship scheme; Australian Government(Australian Government); CSIRO Wealth from Oceans Flagship Collaboration Fund; ARC Discovery Project(Australian Research Council); Australia Climate Change Science Program; Australian Research Council(Australian Research Council)</t>
  </si>
  <si>
    <t>We would like to thank the NASA Ocean Biology Processing Group at the GSFC, Greenbelt, MD 20771 for the production and distribution of the SeaWiFS ocean colour data set. We are grateful for the financial support from the Northcote Graduate Scholarship scheme administered by the Menzies Centre for Australian Studies, the Australian Government's Endeavour Europe Award and the CSIRO Wealth from Oceans Flagship Collaboration Fund. Mark Baird was funded by ARC Discovery Project DP0557618. Richard Matear was funded by the Australia Climate Change Science Program.</t>
  </si>
  <si>
    <t>0924-7963</t>
  </si>
  <si>
    <t>1879-1573</t>
  </si>
  <si>
    <t>J MARINE SYST</t>
  </si>
  <si>
    <t>J. Mar. Syst.</t>
  </si>
  <si>
    <t>10.1016/j.jmarsys.2013.04.011</t>
  </si>
  <si>
    <t>Geosciences, Multidisciplinary; Marine &amp; Freshwater Biology; Oceanography</t>
  </si>
  <si>
    <t>Geology; Marine &amp; Freshwater Biology; Oceanography</t>
  </si>
  <si>
    <t>280EG</t>
  </si>
  <si>
    <t>WOS:000329010900011</t>
  </si>
  <si>
    <t>Postma, M; Bester, MN; De Bruyn, PJN</t>
  </si>
  <si>
    <t>Postma, Martin; Bester, Marthan N.; De Bruyn, P. J. Nico</t>
  </si>
  <si>
    <t>Spatial variation in female southern elephant seal mass change assessed by an accurate non-invasive photogrammetry method</t>
  </si>
  <si>
    <t>ANTARCTIC SCIENCE</t>
  </si>
  <si>
    <t>breeding season; life history theory; methodology advancement; Mirounga leonina; moult; pelagic foraging</t>
  </si>
  <si>
    <t>KING-GEORGE-ISLAND; LIONS EUMETOPIAS-JUBATUS; MIROUNGA-LEONINA; MARION ISLAND; MACQUARIE ISLAND; WEANING MASS; EL-NINO; LA-NINA; INVESTMENT; LACTATION</t>
  </si>
  <si>
    <t>Physically weighing large marine mammals sequentially over time has presented researchers with a logistical challenge and has severely limited sample sizes. Using a well-established photogrammetry method we developed a simple mathematical method to calculate accurate mass measurements at specific stages in the life cycle of a top marine predator. Female southern elephant seals (n = 23) at Marion Island were sampled sequentially using photogrammetry and three-dimensional models (based on each photogrammetry project) were built for estimation of body mass. Simple equations were applied to obtain mass at critical instances in their life cycle. Marion Island elephant seal mass data was compared to data obtained from physically weighed elephant seals from King George, South Georgia and Macquarie islands. Females from Marion Island are smaller, but their percentage lactation mass loss is similar to females from these other populations. The similarity of percentage mass loss during lactation between different female populations illustrates the accuracy and practicality of the photogrammetric method over a temporal scale. Photogrammetric mass estimation can be used alongside datasets of physically weighed animals and can greatly benefit ecology and life history studies.</t>
  </si>
  <si>
    <t>[Postma, Martin; Bester, Marthan N.; De Bruyn, P. J. Nico] Univ Pretoria, Dept Zool &amp; Entomol, Mammal Res Inst, ZA-0028 Hatfield, South Africa</t>
  </si>
  <si>
    <t>Postma, M (corresponding author), Univ Pretoria, Dept Zool &amp; Entomol, Mammal Res Inst, Private Bag X20, ZA-0028 Hatfield, South Africa.</t>
  </si>
  <si>
    <t>mpostma@zoology.up.ac.za</t>
  </si>
  <si>
    <t>Bester, Marthán N/E-5387-2010; de Bruyn, P. J. Nico/E-4176-2010</t>
  </si>
  <si>
    <t>de Bruyn, P. J. Nico/0000-0002-9114-9569</t>
  </si>
  <si>
    <t>Department of Science and Technology</t>
  </si>
  <si>
    <t>Department of Science and Technology(Department of Science &amp; Technology (India))</t>
  </si>
  <si>
    <t>We thank the South African Department of Environmental Affairs for providing logistical support within the South African National Antarctic Programme and the Department of Science and Technology (administered through the National Research Foundation) for funding the marine mammal monitoring programme at Marion Island. The Marion Island seal researchers of 2006, 2007, 2008 and 2009 are thanked for their endless hours of data collection and Cheryl Tosh for valuable comments on earlier versions of this paper. The comments by the editor and two anonymous reviewers are acknowledged and improved the manuscript.</t>
  </si>
  <si>
    <t>0954-1020</t>
  </si>
  <si>
    <t>1365-2079</t>
  </si>
  <si>
    <t>ANTARCT SCI</t>
  </si>
  <si>
    <t>Antarct. Sci.</t>
  </si>
  <si>
    <t>10.1017/S0954102013000059</t>
  </si>
  <si>
    <t>Environmental Sciences; Geography, Physical; Geosciences, Multidisciplinary</t>
  </si>
  <si>
    <t>Environmental Sciences &amp; Ecology; Physical Geography; Geology</t>
  </si>
  <si>
    <t>273PG</t>
  </si>
  <si>
    <t>WOS:000328547200002</t>
  </si>
  <si>
    <t>Ding, W; Zhu, RB; Ma, DW; Xu, H</t>
  </si>
  <si>
    <t>Ding, Wei; Zhu, Renbin; Ma, Dawei; Xu, Hua</t>
  </si>
  <si>
    <t>Summertime fluxes of N2O, CH4 and CO2 from the littoral zone of Lake Daming, East Antarctica: effects of environmental conditions</t>
  </si>
  <si>
    <t>carbon dioxide; GWP; methane; nitrous oxide</t>
  </si>
  <si>
    <t>NITROUS-OXIDE FLUX; ICE-COVERED LAKES; CARBON-DIOXIDE; METHANE; PHOTOSYNTHESIS; ATMOSPHERE; EMISSIONS; VALLEY; DELTA; SOIL</t>
  </si>
  <si>
    <t>Nitrous oxide (N2O), methane (CH4) and carbon dioxide (CO2) fluxes were investigated from the algal-rich littoral zone of Lake Daming, East Antarctica during the summers of 2008/09 and 2009/10, using a static chamber technique. High N2O emissions occurred in the littoral zone with the mean flux range of 0.19-7.11 mol N2O m(-2) h(-1). The mean CH4 fluxes ranged from 2.51-5.32 mol CH4 m(-2) h(-1), and they were significantly affected by the lake thermal regime. There were significant differences (P &lt; 0.05) in CH4 and N2O fluxes under the light and dark conditions, and sunlight greatly increased N2O emissions by stimulating the algal photosynthesis, but decreased CH4 emissions. Overall the littoral zone represented a weak CO2 sink with the mean flux range of -0.37-0.13 mmol CO2 m(-2) h(-1). The mean ecosystem respiration and photosynthesis rates varied from 0.47-2.90 mmol CO2 m(-2) h(-1) and from -0.33 to -2.63 mmol CO2 m(-2) h(-1). The combined global warming potential (GWP) of N2O and CH4 fluxes completely counteracted and surpassed CO2 uptake by the algal photosynthesis, and high GWP-positive of N2O and CH4 emissions might convert an algal-rich lake site with a net CO2 uptake into a net radiative forcing source during the ice-free period.</t>
  </si>
  <si>
    <t>[Ding, Wei; Zhu, Renbin; Ma, Dawei] Univ Sci &amp; Technol China, Sch Earth &amp; Space Sci, Inst Polar Environm, Hefei 230026, Anhui, Peoples R China; [Xu, Hua] Chinese Acad Sci, Inst Soil Sci, State Key Lab Soil &amp; Sustainable Agr, Nanjing 210008, Jiangsu, Peoples R China</t>
  </si>
  <si>
    <t>Chinese Academy of Sciences; University of Science &amp; Technology of China, CAS; Chinese Academy of Sciences; Nanjing Institute of Soil Science, CAS</t>
  </si>
  <si>
    <t>Zhu, RB (corresponding author), Univ Sci &amp; Technol China, Sch Earth &amp; Space Sci, Inst Polar Environm, Hefei 230026, Anhui, Peoples R China.</t>
  </si>
  <si>
    <t>Ding, WeiXin/L-8657-2013</t>
  </si>
  <si>
    <t>National Natural Science Foundation of China [41176171, 41076124]; Specialized Research Fund for the Doctoral Program of Higher Education [20123402110026]; Polar Office of National Ocean Bureau of China</t>
  </si>
  <si>
    <t>National Natural Science Foundation of China(National Natural Science Foundation of China (NSFC)); Specialized Research Fund for the Doctoral Program of Higher Education(Specialized Research Fund for the Doctoral Program of Higher Education (SRFDP)); Polar Office of National Ocean Bureau of China</t>
  </si>
  <si>
    <t>This work was supported by the National Natural Science Foundation of China (Grant No. 41176171, 41076124) and Specialized Research Fund for the Doctoral Program of Higher Education (Grant No. 20123402110026). We thank Dr Yuhan Luo and Dr Jin Huang for their help in field sampling. We also thank the Polar Office of National Ocean Bureau of China and the members of the 25th and 26th Chinese Antarctic Research Expedition for their support. We are also grateful to the anonymous reviewers and editor for their helpful revision and comments on a previous version of this paper.</t>
  </si>
  <si>
    <t>10.1017/S0954102013000242</t>
  </si>
  <si>
    <t>WOS:000328547200004</t>
  </si>
  <si>
    <t>Cuthbert, RJ; Louw, H; Parker, G; Rexer-Huber, K; Visser, P</t>
  </si>
  <si>
    <t>Cuthbert, R. J.; Louw, H.; Parker, G.; Rexer-Huber, K.; Visser, P.</t>
  </si>
  <si>
    <t>Observations of mice predation on dark-mantled sooty albatross and Atlantic yellow-nosed albatross chicks at Gough Island</t>
  </si>
  <si>
    <t>conservation; invasive species; Mus musculus; Phoebetria fusca; Thalassarche chlororhynchos</t>
  </si>
  <si>
    <t>INTRODUCED HOUSE MICE; BURROWING PETRELS; BREEDING BIOLOGY; CONSERVATION; DEMOGRAPHY; BIRDS</t>
  </si>
  <si>
    <t>Introduced house mice Mus musculus L. have been discovered to be major predators of chicks of the Tristan albatross Diomedea dabbenena L. and Atlantic petrel Pterodroma incerta Schlegel and to also predate great shearwater Puffinus gravis O'Reilly chicks at Gough Island, and similar predatory behaviour has been reported for house mice on Marion Island. Observations on Gough Island over three breeding seasons of nesting Atlantic yellow-nosed albatrosses Thalassarche chlororhynchos Gmelin and dark-mantled sooty albatross Phoebetria fusca Hilsenberg indicate that house mice are also preying on these two species: the first records of mice preying upon summer-breeding albatross species on Gough Island. Predation on these two albatross species appears to be relatively rare (approximate to 2% for the Atlantic yellow-nosed albatrosses) and ongoing monitoring is required to ascertain if the impact of mice is increasing. Conservation actions to eradicate mice from Gough Island will be of benefit to these species and other species that are being impacted by this invasive species.</t>
  </si>
  <si>
    <t>[Cuthbert, R. J.; Louw, H.; Parker, G.; Rexer-Huber, K.; Visser, P.] Royal Soc Protect Birds, Sandy SG19 2DL, Beds, England; [Louw, H.; Parker, G.; Rexer-Huber, K.; Visser, P.] Univ Cape Town, Percy FitzPatrick Inst, DST NRF Ctr Excellence, ZA-7701 Rondebosch, South Africa</t>
  </si>
  <si>
    <t>Royal Society for Protection of Birds; National Research Foundation - South Africa; University of Cape Town</t>
  </si>
  <si>
    <t>Cuthbert, RJ (corresponding author), Royal Soc Protect Birds, Sandy SG19 2DL, Beds, England.</t>
  </si>
  <si>
    <t>richard_cuthbert@yahoo.co.uk</t>
  </si>
  <si>
    <t>UK Government</t>
  </si>
  <si>
    <t>We thank the South African National Antarctic Programme, University of Cape Town and Royal Society for the Protection of Birds for providing logistical support in the field and the Tristan da Cunha Conservation Department for granting permission to work on Gough Island. Funding was provided by the UK Government's Overseas Territories Environment Programme (OTEP). Thanks to M. Nysschens for assistance with albatross monitoring. The constructive comments of the reviewers are gratefully acknowledged.</t>
  </si>
  <si>
    <t>10.1017/S0954102013000126</t>
  </si>
  <si>
    <t>WOS:000328547200005</t>
  </si>
  <si>
    <t>Savage, JE; Bradshaw, MA; Bassett, KN</t>
  </si>
  <si>
    <t>Savage, Jeni E.; Bradshaw, Margaret A.; Bassett, Kari N.</t>
  </si>
  <si>
    <t>Marginal marine depositional setting and correlation of the Devonian Sperm Bluff Formation (Taylor Group), southern Victoria Land, Antarctica</t>
  </si>
  <si>
    <t>conglomerates; provenance; sandstones; trace fossils; wave-dominated delta</t>
  </si>
  <si>
    <t>TRACE FOSSILS; BEACON SUPERGROUP; AZTEC SILTSTONE; RANGE</t>
  </si>
  <si>
    <t>Analysis of conglomerates and sandstones of the Sperm Bluff Formation at the base of the Taylor Group (Devonian) between the Mackay Glacier and Bull Pass provides new insights into the nature of initial coarse-grained deposition on basement along the northern side of the McMurdo sedimentary basin. Six lithofacies are recognized in the Sperm Bluff Formation: conglomerate lithofacies, pebbly sandstone lithofacies, cross-bedded sandstone lithofacies, low-angle cross-stratified sandstone lithofacies, bioturbated sandstone lithofacies and interbedded siltstone/sandstone lithofacies. Sedimentary environments ranged from wave-dominated delta, estuary or lagoon to shoreface and inner shelf. The assemblage is thought to reflect changes in sea level. Rhyolite is the most abundant clast type in the coarse lithofacies, but is unknown in outcrop in southern Victoria Land. The rhyolites correlate in age and geochemistry with Cambrian granites in the basement. Coarse beds also contain numerous quartzite clasts, probably derived from the late Precambrian Skelton Group. Palaeocurrents on Mount Suess indicate a strong unimodal flow to the west, but other sites show polymodal palaeoflow. The Sperm Bluff Formation is correlated with Terra Cotta Siltstone, New Mountain Sandstone and Altar Mountain formations based on the lithology of sandstones and their ichnology. A northward onlap during the Early Devonian is indicated.</t>
  </si>
  <si>
    <t>[Savage, Jeni E.] Tropicana Anglogold Ashanti, Perth, WA 6805, Australia; [Bradshaw, Margaret A.; Bassett, Kari N.] Univ Canterbury, Dept Geol Sci, Christchurch 8140, New Zealand</t>
  </si>
  <si>
    <t>University of Canterbury</t>
  </si>
  <si>
    <t>Bradshaw, MA (corresponding author), Univ Canterbury, Dept Geol Sci, Private Bag 4800, Christchurch 8140, New Zealand.</t>
  </si>
  <si>
    <t>Margaret.bradshaw@canterbury.ac.nz</t>
  </si>
  <si>
    <t>Ministry of Foreign Affairs Trade; University of Canterbury</t>
  </si>
  <si>
    <t>The authors wish to thank Antarctica New Zealand and Scott Base staff for excellent logistic support in the field. We thank the Ministry of Foreign Affairs &amp; Trade and the University of Canterbury for scholarship funding for the principal author, and a research grant for the expedition. Thanks to mountaineer Duncan Ritchie for his help in the field, to Anekant Wandres for assistance with geochemical and clast analysis, and to John Bradshaw for proofreading the manuscript and for many Beacon discussions. We also thank Nigel Trewin (Aberdeen) and Morag Hunter (Cambridge) for comments that have significantly improved this paper.</t>
  </si>
  <si>
    <t>10.1017/S0954102013000205</t>
  </si>
  <si>
    <t>WOS:000328547200006</t>
  </si>
  <si>
    <t>Cordero, RR; Damiani, A; Seckmeyer, G; Riechelmann, S; Labbe, F; Laroze, D; Garate, F</t>
  </si>
  <si>
    <t>Cordero, Raul R.; Damiani, Alessandro; Seckmeyer, Gunther; Riechelmann, Stefan; Labbe, Fernando; Laroze, David; Garate, Fernanda</t>
  </si>
  <si>
    <t>Satellite-derived UV climatology at Escudero Station, Antarctic Peninsula</t>
  </si>
  <si>
    <t>OMI; ozone; satellite retrievals; UV irradiance; UV spectroradiometry</t>
  </si>
  <si>
    <t>SPECTRAL IRRADIANCE; VERSION-2 DATA; TOTAL OZONE; RADIATION; CLOUD; ALBEDO; MODEL; AREA</t>
  </si>
  <si>
    <t>We have used data from the Ozone Monitoring Instrument (OMI) aboard NASA's Earth Observing System (EOS) Aura satellite over the period 2004-11 to describe the characteristics of surface ultraviolet (UV) irradiance at Escudero Station (62 degrees 12S, 58 degrees 57W). The station is located on King George Island (northern Antarctic Peninsula). Temperatures in summer are frequently above 0 degrees C, and the surrounding ocean is typically ice-free. We found that the UV irradiance at Escudero is driven by the Antarctic ozone hole (which annually in spring leads to significant variations in the ozone) and by clouds (which are more frequent and have a larger optical depth compared with other Antarctic sites). The combined effect of ozone and clouds led to significant variations in the surface UV. The variability (taken as the standard deviation of the UV estimates retrieved from OMI) is typically greater than 30% at Escudero, but may reach values greater than 50% in spring. The consistency of OMI-derived data was checked by using ground-based spectral measurements carried out under controlled conditions in January 2011.</t>
  </si>
  <si>
    <t>[Cordero, Raul R.; Damiani, Alessandro; Garate, Fernanda] Univ Santiago Chile, Santiago, Chile; [Seckmeyer, Gunther; Riechelmann, Stefan] Leibniz Univ Hannover, D-30419 Hannover, Germany; [Labbe, Fernando] Univ Tecn Federico Santa Maria, Valparaiso, Chile; [Laroze, David] Univ Tarapaca, Inst Alta Invest, Arica, Chile; [Laroze, David] Max Planck Inst, D-55021 Mainz, Germany</t>
  </si>
  <si>
    <t>Universidad de Santiago de Chile; Leibniz University Hannover; Universidad Tecnica Federico Santa Maria; Universidad de Tarapaca; Max Planck Society</t>
  </si>
  <si>
    <t>Cordero, RR (corresponding author), Univ Santiago Chile, Ave Bernardo OHiggins 3363, Santiago, Chile.</t>
  </si>
  <si>
    <t>raul.cordero@usach.cl</t>
  </si>
  <si>
    <t>Laroze, David/E-9134-2011; Cordero, Raul R/M-7979-2017; Damiani, Alessandro/X-4677-2019; Laroze, David/Z-2852-2019</t>
  </si>
  <si>
    <t>Laroze, David/0000-0002-6487-8096; Damiani, Alessandro/0000-0003-3014-6193; Laroze, David/0000-0002-6487-8096; Cordero, Raul R./0000-0001-7607-7993</t>
  </si>
  <si>
    <t>CONICYT-DAAD [257-2010]; CONICYT-BMBF [236-2010]; CONICYT-ANILLOS [ACT98]; FONDECYT [1120639, 3110159, 1120764]; Chilean Antarctic Institute (INACH); Millennium Scientific Initiative [P10-061-F]; CEDENNA; UTA-Project [8750-12]</t>
  </si>
  <si>
    <t>CONICYT-DAAD(Comision Nacional de Investigacion Cientifica y Tecnologica (CONICYT)Deutscher Akademischer Austausch Dienst (DAAD)); CONICYT-BMBF(Federal Ministry of Education &amp; Research (BMBF)); CONICYT-ANILLOS(Comision Nacional de Investigacion Cientifica y Tecnologica (CONICYT)CONICYT PIA/ANILLOS); FONDECYT(Comision Nacional de Investigacion Cientifica y Tecnologica (CONICYT)CONICYT FONDECYT); Chilean Antarctic Institute (INACH); Millennium Scientific Initiative; CEDENNA; UTA-Project</t>
  </si>
  <si>
    <t>The support of CONICYT-DAAD (Preis 257-2010), CONICYT-BMBF (Preis 236-2010), CONICYT-ANILLOS (Preis ACT98), FONDECYT (Preis 1120639, Preis 3110159 and Preis 1120764), the Chilean Antarctic Institute (INACH), the Millennium Scientific Initiative (P10-061-F), CEDENNA, UTA-Project 8750-12, USACH-DICYT and UTFSM-DGIP is gratefully acknowledged. We also thank the reviewers for their constructive comments.</t>
  </si>
  <si>
    <t>10.1017/S0954102013000175</t>
  </si>
  <si>
    <t>WOS:000328547200007</t>
  </si>
  <si>
    <t>Tolotti, R; Salvi, C; Salvi, G; Bonci, MC</t>
  </si>
  <si>
    <t>Tolotti, R.; Salvi, C.; Salvi, G.; Bonci, M. C.</t>
  </si>
  <si>
    <t>Late Quaternary climate variability as recorded by micropalaeontological diatom data and geochemical data in the western Ross Sea, Antarctica</t>
  </si>
  <si>
    <t>Antarctic palaeoceanography; geochemical analysis; glacio-marine sedimentation; ice sheet; palaeoenvironmental changes; sea-ice diatoms</t>
  </si>
  <si>
    <t>SOUTHERN-OCEAN SEDIMENTS; ICE-SHEET; LATE PLEISTOCENE; RETREAT; BIOSTRATIGRAPHY; BIOGEOGRAPHY; ASSEMBLAGES; MARINE; TAXA</t>
  </si>
  <si>
    <t>Cores acquired from the Ross Sea continental shelf and continental slope during the XXX Italian Programma Nazionale di Ricerche in Antartide (PNRA) were analysed and yielded interesting micropalaeontological, biostratigraphic diatom results and palaeoceanographic implications. These multi-proxy analyses enabled us to reconstruct the glacial/deglacial history of this sector of the Ross embayment over the last 40 000 years, advancing our understanding of the Last Glacial Maximum (LGM) environmental and sedimentological processes linked to the Ross Sea ice sheet/ice shelf fluctuations in a basin and continental-slope environment, and allowed us to measure some of the palaeoceanographic dynamics. The central sector of the Ross Sea and part of its coast (south of the Drygalski Ice Tongue) enjoyed open marine conditions in the pre-LGM era (27 500-24 000 years bp). The retreat of the ice sheet could have been influenced by a southward shift of a branch of the Ross gyre, which triggered early deglaciation at c. 18 600 cal bp with a significant Modified Circumpolar Deep Water inflow over the continental slope at c. 14 380 cal BP. We assume that a lack of depositional material in each core, although at different times, represents a hiatus. Other than problems in core collection, this could be due to the onset of modern oceanographic conditions, with strong gravity currents and strong High Salinity Shelf Water exportation. Moreover, we presume that improvements in biostratigraphy, study of reworked diatom taxa, and lithological and geochemical analyses will provide important constraints for the reconstruction of the LGM grounding line, ice-flow lines and ice-flow paths and an interesting tool for reconstructing palaeo-sub-bottom currents in this sector of the Ross embayment.</t>
  </si>
  <si>
    <t>[Tolotti, R.; Bonci, M. C.] Dipartimento Sci Terra Ambiente &amp; Vita DISTAV, I-16132 Genoa, Italy; [Salvi, C.; Salvi, G.] Museo Nazl Antartide, Sez Trieste, I-34127 Trieste, Italy</t>
  </si>
  <si>
    <t>Tolotti, R (corresponding author), Dipartimento Sci Terra Ambiente &amp; Vita DISTAV, Corso Europa 26, I-16132 Genoa, Italy.</t>
  </si>
  <si>
    <t>raffaella.tolotti@unige.it</t>
  </si>
  <si>
    <t>Italian Programma Nazionale di Ricerche in Antartide (PNRA)</t>
  </si>
  <si>
    <t>This research was been developed within the framework of the 'Glaciology and Paleoclimate' project supported by the Italian Programma Nazionale di Ricerche in Antartide (PNRA). We thank Dr Grobe for the first revision of the manuscript and three other anonymous reviewers for further key suggestions. We are grateful to Prof Camilla Pirini, together with Dr Sergio Radrizzani, for her assistance during the electron microscope sessions (SEM). We thank Massimo Presti for his hints and help in carbon age calibration and Martina Busetti for improving the manuscript with the basic draft of Fig. 6, then modified for diatom palaeoenvironmental model. We also thank Prof Nicola Corradi, Dr Eugenio Andri and the DISTAV staff for their support.</t>
  </si>
  <si>
    <t>10.1017/S0954102013000199</t>
  </si>
  <si>
    <t>WOS:000328547200008</t>
  </si>
  <si>
    <t>Gough, AJ; Mahoney, AR; Langhorne, PJ; Haskell, TG</t>
  </si>
  <si>
    <t>Gough, A. J.; Mahoney, A. R.; Langhorne, P. J.; Haskell, T. G.</t>
  </si>
  <si>
    <t>Salinity evolution and mechanical properties of snow-loaded multiyear sea ice near an ice shelf</t>
  </si>
  <si>
    <t>brine rejection; ice structure; permeability; slush layer; snow ice</t>
  </si>
  <si>
    <t>ROSS SEA; MCMURDO SOUND; PACK ICE; WINTER; ANTARCTICA; THICKNESS; ICEBERG; COVER; PHASE</t>
  </si>
  <si>
    <t>Sea ice often forms attached to floating ice shelves. Accumulating snow can depress its freeboard, creating a flooded slush layer that may subsequently freeze to form snow ice, rejecting brine as it freezes. The resulting salinity profile determines the mechanical properties of the sea ice. We provide measurements of snow-loaded, multiyear sea ice from summer to winter. Brine from a slush layer is not completely expelled from the sea ice when the slush refreezes to form snow ice. Measurements of sea ice salinity and temperature indicate that the fate of this brine depends on the permeability of the sea ice below it. The sea ice in this study was also deformed by a nearby ice shelf over eleven years at a strain rate &lt;(epsilon)over dot&gt; = (-8 +/- 3) x 10(-4) yr(-1) (or 3 x 10(-11) s(-1)). From transects of sea ice thickness and structure we estimate an effective Young's modulus at medium scales for sea ice mostly composed of snow ice of 0.1 GPa &lt; E &lt; 0.4 GPa, suggesting that this eleven year old sea ice cover has similar mechanical properties to warm first year sea ice. This is important for the parameterisations needed to simulate multiyear sea ice in the complex region near an ice shelf.</t>
  </si>
  <si>
    <t>[Gough, A. J.; Mahoney, A. R.; Langhorne, P. J.] Univ Otago, Dept Phys, Dunedin 9054, New Zealand; [Mahoney, A. R.] Univ Alaska Fairbanks, Inst Geophys, Fairbanks, AK 99775 USA; [Haskell, T. G.] Ind Res Ltd, Lower Hutt, New Zealand</t>
  </si>
  <si>
    <t>University of Otago; University of Alaska System; University of Alaska Fairbanks; Callaghan Innovation</t>
  </si>
  <si>
    <t>Gough, AJ (corresponding author), Univ Otago, Dept Phys, POB 56, Dunedin 9054, New Zealand.</t>
  </si>
  <si>
    <t>ajgo@physics.otago.ac.nz</t>
  </si>
  <si>
    <t>Gough, Alex J/D-4784-2009; Langhorne, Pat/C-3539-2018</t>
  </si>
  <si>
    <t>Langhorne, Pat/0000-0003-0239-7657</t>
  </si>
  <si>
    <t>Foundation for Research, Science and Technology; University of Otago</t>
  </si>
  <si>
    <t>Foundation for Research, Science and Technology(New Zealand Foundation for Research, Science and Technology); University of Otago</t>
  </si>
  <si>
    <t>We thank Brian Staite, Euan Paterson and the 2009 Scott Base winter team for assistance in the field. This work, part of New Zealand's contribution to the IPY, was funded by the Foundation for Research, Science and Technology and a University of Otago postgraduate scholarship. The Rt Hon William R. Chandler also donated generously to the project. Logistical support was provided by Antarctica New Zealand. We thank Mike Williams and Jean-Louis Tison for their comments and Jeff Scanniello for information on the breakout history at Cape Armitage prior to 2003. We also gratefully acknowledge the constructive comments of the reviewer.</t>
  </si>
  <si>
    <t>10.1017/S0954102013000217</t>
  </si>
  <si>
    <t>WOS:000328547200009</t>
  </si>
  <si>
    <t>Zacny, K; Paulsen, G; McKay, CP; Glass, B; Davé, A; Davila, AF; Marinova, M; Mellerowicz, B; Heldmann, J; Stoker, C; Cabrol, N; Hedlund, M; Craft, J</t>
  </si>
  <si>
    <t>Zacny, K.; Paulsen, G.; McKay, C. P.; Glass, B.; Dave, A.; Davila, A. F.; Marinova, M.; Mellerowicz, B.; Heldmann, J.; Stoker, C.; Cabrol, N.; Hedlund, M.; Craft, J.</t>
  </si>
  <si>
    <t>Reaching 1m Deep on Mars: The Icebreaker Drill</t>
  </si>
  <si>
    <t>ASTROBIOLOGY</t>
  </si>
  <si>
    <t>Drilling; Sampling; Mars; Mars drilling; Subsurface exploration; Ice; Search for life</t>
  </si>
  <si>
    <t>GROUND ICE; STRENGTH; LIFE; TEMPERATURE; MISSION; SURFACE; ENERGY; WATER; MODEL; SOIL</t>
  </si>
  <si>
    <t>The future exploration of Mars will require access to the subsurface, along with acquisition of samples for scientific analysis and ground-truthing of water ice and mineral reserves for in situ resource utilization. The Icebreaker drill is an integral part of the Icebreaker mission concept to search for life in ice-rich regions on Mars. Since the mission targets Mars Special Regions as defined by the Committee on Space Research (COSPAR), the drill has to meet the appropriate cleanliness standards as requested by NASA's Planetary Protection Office. In addition, the Icebreaker mission carries life-detection instruments; and in turn, the drill and sample delivery system have to meet stringent contamination requirements to prevent false positives. This paper reports on the development and testing of the Icebreaker drill, a 1m class rotary-percussive drill and triple redundant sample delivery system. The drill acquires subsurface samples in short, approximately 10cm bites, which makes the sampling system robust and prevents thawing and phase changes in the target materials. Autonomous drilling, sample acquisition, and sample transfer have been successfully demonstrated in Mars analog environments in the Arctic and the Antarctic Dry Valleys, as well as in a Mars environmental chamber. In all environments, the drill has been shown to perform at the 1-1-100-100 level; that is, it drilled to 1m depth in approximately 1 hour with less than 100N weight on bit and approximately 100 W of power. The drilled substrate varied and included pure ice, ice-rich regolith with and without rocks and with and without 2% perchlorate, and whole rocks. The drill is currently at a Technology Readiness Level (TRL) of 5. The next-generation Icebreaker drill weighs 10kg, which is representative of the flightlike model at TRL 5/6.</t>
  </si>
  <si>
    <t>[Zacny, K.; Paulsen, G.; Mellerowicz, B.; Hedlund, M.; Craft, J.] Honeybee Robot, Pasadena, CA 91103 USA; [McKay, C. P.; Glass, B.; Dave, A.; Davila, A. F.; Heldmann, J.; Stoker, C.] NASA, Ames Res Ctr, Moffett Field, CA 94035 USA; [Marinova, M.] Space Explorat Technol Corp, Hawthorne, CA USA; [Cabrol, N.] SETI Inst, Carl Sagan Ctr Mt View, Mountain View, CA USA; [Cabrol, N.] NASA, Ames Space Sci Div, Moffett Field, CA USA</t>
  </si>
  <si>
    <t>National Aeronautics &amp; Space Administration (NASA); NASA Ames Research Center; National Aeronautics &amp; Space Administration (NASA)</t>
  </si>
  <si>
    <t>Zacny, K (corresponding author), Honeybee Robot, 398 W Washington Blvd,Suite 200, Pasadena, CA 91103 USA.</t>
  </si>
  <si>
    <t>zacny@honeybeerobotics.com</t>
  </si>
  <si>
    <t>Stoker, Carol/ABE-1381-2021; Davila, Alfonso F/A-2198-2013</t>
  </si>
  <si>
    <t>Stoker, Carol/0000-0001-7265-292X; McKay, Christopher/0000-0002-6243-1362</t>
  </si>
  <si>
    <t>NASA [NNA09DA97C, NNX11AJ87G]; US Antarctic Program as part of the National Science Foundation Office of Polar Programs; NASA [143447, NNX11AJ87G] Funding Source: Federal RePORTER</t>
  </si>
  <si>
    <t>NASA(National Aeronautics &amp; Space Administration (NASA)); US Antarctic Program as part of the National Science Foundation Office of Polar Programs; NASA(National Aeronautics &amp; Space Administration (NASA))</t>
  </si>
  <si>
    <t>The research reported in this manuscript was funded by the National Aeronautics and Space Administration (NASA) Astrobiology Science and Technology for Exploring Planets (ASTEP) and Astrobiology Science and Technology Instrument Development (ASTID) programs: NASA Contracts NNA09DA97C Mars Umbrella Drilling Scout (MUDS)'', and NNX11AJ87G Robotic Investigation of Subsurface Life in the Atacama''. Testing in Antarctica was supported by the US Antarctic Program as part of the National Science Foundation Office of Polar Programs.</t>
  </si>
  <si>
    <t>MARY ANN LIEBERT, INC</t>
  </si>
  <si>
    <t>NEW ROCHELLE</t>
  </si>
  <si>
    <t>140 HUGUENOT STREET, 3RD FL, NEW ROCHELLE, NY 10801 USA</t>
  </si>
  <si>
    <t>1531-1074</t>
  </si>
  <si>
    <t>1557-8070</t>
  </si>
  <si>
    <t>Astrobiology</t>
  </si>
  <si>
    <t>10.1089/ast.2013.1038</t>
  </si>
  <si>
    <t>Astronomy &amp; Astrophysics; Biology; Geosciences, Multidisciplinary</t>
  </si>
  <si>
    <t>Astronomy &amp; Astrophysics; Life Sciences &amp; Biomedicine - Other Topics; Geology</t>
  </si>
  <si>
    <t>273WE</t>
  </si>
  <si>
    <t>WOS:000328566200005</t>
  </si>
  <si>
    <t>An, ML; Mou, SL; Zhang, XW; Zheng, Z; Ye, NH; Wang, DS; Zhang, W; Miao, JL</t>
  </si>
  <si>
    <t>An, Meiling; Mou, Shanli; Zhang, Xiaowen; Zheng, Zhou; Ye, Naihao; Wang, Dongsheng; Zhang, Wei; Miao, Jinlai</t>
  </si>
  <si>
    <t>Expression of fatty acid desaturase genes and fatty acid accumulation in Chlamydomonas sp ICE-L under salt stress</t>
  </si>
  <si>
    <t>BIORESOURCE TECHNOLOGY</t>
  </si>
  <si>
    <t>Chlamydomonas sp ICE-L; Salt stress; FADs; PUFAs</t>
  </si>
  <si>
    <t>LIPID PRODUCTION; BOTRYOCOCCUS-BRAUNII; GROWTH; MICROALGA; SALINITY; BIODIESEL; LIGHT; CULTIVATION; NITROGEN; ALGAE</t>
  </si>
  <si>
    <t>The Antarctic ice microalgae Chlamydomonas sp. ICE-L which is highly resistant to salt stress holds promise in providing an alternative species for the production of microalgal oil. We studied the effects of the alga in confrontation with NaCI stress on the growth, oil yield and expression of fatty acid desaturase genes. The growth rate of Chlamydomonas sp. ICE-L decreased with the gradual increase in NaC1 concentration. Interestingly, we found that the highest lipid content was achieved at 16 parts per thousand, NaC1, reaching 23% (w/w). Meanwhile, the expression of Delta 9ACPCiFAD increased rapidly while Delta 12CiFAD, omega 3CiFAD2 and Delta 6CiFAD showed a delayed elevation in response to altered salt stress. C18:3 was the dominant PUFA, which account for about 75% TFA in Chlamydomonas sp. ICE-L Under 96 parts per thousand, and 128 parts per thousand NaC1 stress, the content of C20:5 almost approached that of C18:3. In contrast, low salinity enhanced the dominance of C18:3 at the expense of C20:3 and C20:5. (C) 2013 Elsevier Ltd. All rights reserved.</t>
  </si>
  <si>
    <t>[An, Meiling; Zheng, Zhou; Miao, Jinlai] State Ocean Adm, Inst Oceanog 1, Key Lab Marine Bioact Subst, Qingdao, Peoples R China; [Mou, Shanli; Zhang, Xiaowen; Ye, Naihao] Chinese Acad Fishery Sci, Yellow Sea Fisheries Res Inst, Qingdao, Peoples R China; [Wang, Dongsheng] Qingdao Agr Univ, Qingdao, Peoples R China; [Zhang, Wei] Qingdao Univ Sci &amp; Technol, Qingdao, Peoples R China</t>
  </si>
  <si>
    <t>First Institute of Oceanography, Ministry of Natural Resources; Chinese Academy of Fishery Sciences; Yellow Sea Fisheries Research Institute, CAFS; Qingdao Agricultural University; Qingdao University of Science &amp; Technology</t>
  </si>
  <si>
    <t>Ye, NH (corresponding author), Chinese Acad Fishery Sci, Yellow Sea Fisheries Res Inst, Qingdao, Peoples R China.</t>
  </si>
  <si>
    <t>yenh@ysfri.ac.cn; miaojinlai@163.com</t>
  </si>
  <si>
    <t>Zheng, Zhou/JJD-0602-2023</t>
  </si>
  <si>
    <t>National Natural Science Foundation of China [41176153, 31200272, 31200187]; Shandong Science and Technology plan project [2011GHY11528]; Hi-Tech Research and Development Program (863) of China [2012AA052103]; Specialized Fund for the Basic Research Operating expenses Program [20603022012004]; Natural Science Foundation of Shandong Province [2009ZRA02075]; Qingdao Municipal Science and Technology plan project [11-3-1-5-hy]; National Marine Public Welfare Research Project [200805069]</t>
  </si>
  <si>
    <t>National Natural Science Foundation of China(National Natural Science Foundation of China (NSFC)); Shandong Science and Technology plan project; Hi-Tech Research and Development Program (863) of China(National High Technology Research and Development Program of China); Specialized Fund for the Basic Research Operating expenses Program; Natural Science Foundation of Shandong Province(Natural Science Foundation of Shandong Province); Qingdao Municipal Science and Technology plan project; National Marine Public Welfare Research Project</t>
  </si>
  <si>
    <t>This work was supported by National Natural Science Foundation of China (41176153, 31200272, 31200187), Shandong Science and Technology plan project (2011GHY11528), Hi-Tech Research and Development Program (863) of China (2012AA052103), the Specialized Fund for the Basic Research Operating expenses Program (20603022012004), Natural Science Foundation of Shandong Province (2009ZRA02075), Qingdao Municipal Science and Technology plan project (11-3-1-5-hy), National Marine Public Welfare Research Project (200805069).</t>
  </si>
  <si>
    <t>0960-8524</t>
  </si>
  <si>
    <t>1873-2976</t>
  </si>
  <si>
    <t>BIORESOURCE TECHNOL</t>
  </si>
  <si>
    <t>Bioresour. Technol.</t>
  </si>
  <si>
    <t>10.1016/j.biortech.2013.09.027</t>
  </si>
  <si>
    <t>Agricultural Engineering; Biotechnology &amp; Applied Microbiology; Energy &amp; Fuels</t>
  </si>
  <si>
    <t>Agriculture; Biotechnology &amp; Applied Microbiology; Energy &amp; Fuels</t>
  </si>
  <si>
    <t>273HG</t>
  </si>
  <si>
    <t>WOS:000328525300012</t>
  </si>
  <si>
    <t>Zhang, GL; Chen, LH; Li, SZ</t>
  </si>
  <si>
    <t>Zhang, Guo-Liang; Chen, Li-Hui; Li, Shi-Zhen</t>
  </si>
  <si>
    <t>Mantle dynamics and generation of a geochemical mantle boundary along the East Pacific Rise - Pacific/Antarctic ridge</t>
  </si>
  <si>
    <t>mantle boundary; mantle dynamics; mid-oceanic ridge basalts; HIMU; asthenosphere consumption; Pacific mantle sub-domain</t>
  </si>
  <si>
    <t>AUSTRALIAN-ANTARCTIC DISCORDANCE; SUBDUCTED OCEANIC-CRUST; SOUTH-PACIFIC; INTRAPLATE VOLCANISM; ISLAND BASALTS; CONVECTION PLUMES; SEAMOUNT CHAIN; MAGMA SOURCES; DARWIN RISE; LU-HF</t>
  </si>
  <si>
    <t>A large-scale mantle compositional discontinuity was identified along the East Pacific Rise (EPR) and the Pacific-Antarctic Ridge (PAR) with an inferred transition located at the EPR 23 degrees S-32 degrees S. Because of the EPR-Easter hotspot interactions in this area, the nature of this geochemical discontinuity remains unclear. IODP Sites U1367 and 1J1368 drilled into the ocean crust that was accreted at similar to 33.5 Ma and similar to 13.5 Ma, respectively, between 28 degrees S and 30 degrees S on the EPR. We use lavas from Sites U1367 and U1368 to track this mantle discontinuity away from the EPR. The mantle sources for basalts at Sites U1367 and U1368 represent, respectively, northern and southern Pacific mantle sub-domains in terms of Sr-Nd-Pb-Hf isotopes. The significant isotopic differences between the two IODP sites are consistent with addition of ancient subduction-processed ocean crust to the south Pacific mantle sub-domain. Our modeling result shows that a trace element pattern similar to that of U1368 E-MORB can be formed by melting a subduction-processed typical N-MORB. The trace element and isotope compositions for Site U1368 MORBs can be formed by mixing a HIMU mantle end-member with Site U1367 MORBs. Comparison of our data with those from the EPR-PAR shows a geochemical mantle boundary near the Easter microplate that separates the Pacific upper mantle into northern and southern sub-domains. On the basis of reconstruction of initial locations of the ocean crust at the two sites, we find that the mantle boundary has moved northward to the Easter microplate since before 33.5 Ma. A model, in which along-axis asthenospheric flow to where asthenosphere consumption is strongest, explains the movement of the apparent mantle boundary. Crown Copyright (C) 2013 Published by Elsevier B.V. All rights reserved.</t>
  </si>
  <si>
    <t>[Zhang, Guo-Liang] Chinese Acad Sci, Inst Oceanol, Key Lab Marine Geol &amp; Environm, Qingdao 266071, Peoples R China; [Chen, Li-Hui] Nanjing Univ, Sch Earth Sci &amp; Engn, State Key Lab Mineral Deposits Res, Nanjing 210093, Jiangsu, Peoples R China; [Li, Shi-Zhen] Chinese Acad Geol Sci, Inst Geol, Beijing 100037, Peoples R China</t>
  </si>
  <si>
    <t>Chinese Academy of Sciences; Institute of Oceanology, CAS; Nanjing University; China Geological Survey; Institute of Geology, Chinese Academy of Geological Sciences; Chinese Academy of Geological Sciences</t>
  </si>
  <si>
    <t>Zhang, GL (corresponding author), Chinese Acad Sci, Inst Oceanol, Key Lab Marine Geol &amp; Environm, Qingdao 266071, Peoples R China.</t>
  </si>
  <si>
    <t>Zhangguoliang@qdio.ac.cn</t>
  </si>
  <si>
    <t>Zhang, Guo-Liang/H-4166-2014; Chen, Li-Hui/G-4286-2011</t>
  </si>
  <si>
    <t>Chen, Li-Hui/0000-0003-1761-5063; zhang, guoliang/0000-0001-9474-7962</t>
  </si>
  <si>
    <t>National Natural Science Foundation of China [41376065, 41176043]; Pilot Project of Knowledge Innovation Program, Chinese Academy of Sciences [KZCX2-EW-QN205]; Open Foundation of Institute of Oceanology, Chinese Academy of Sciences [MGE2011KG05]</t>
  </si>
  <si>
    <t>National Natural Science Foundation of China(National Natural Science Foundation of China (NSFC)); Pilot Project of Knowledge Innovation Program, Chinese Academy of Sciences; Open Foundation of Institute of Oceanology, Chinese Academy of Sciences</t>
  </si>
  <si>
    <t>We thank the dedicated effort of the ship's crew and scientific staff of the Drillship JOIDES Resolution. We are grateful to the two anonymous reviewers for their constructive suggestions. Discussions with and suggestions from Y.L. Niu is very helpful. Fu-Gen Mao and Xun Yu in Nanjing University are thanked for their help in measuring Hf isotope. This study was financially supported by the National Natural Science Foundation of China (41376065, 41176043), the Pilot Project of Knowledge Innovation Program, Chinese Academy of Sciences (KZCX2-EW-QN205), and Open Foundation of Institute of Oceanology, Chinese Academy of Sciences (MGE2011KG05).</t>
  </si>
  <si>
    <t>10.1016/j.epsl.2013.09.045</t>
  </si>
  <si>
    <t>274FZ</t>
  </si>
  <si>
    <t>WOS:000328593500016</t>
  </si>
  <si>
    <t>Pook, MJ; Risbey, JS; Mcintosh, PC; Ummenhofer, CC; Marshall, AG; Meyers, GA</t>
  </si>
  <si>
    <t>Pook, M. J.; Risbey, J. S.; Mcintosh, P. C.; Ummenhofer, C. C.; Marshall, A. G.; Meyers, G. A.</t>
  </si>
  <si>
    <t>The Seasonal Cycle of Blocking and Associated Physical Mechanisms in the Australian Region and Relationship with Rainfall</t>
  </si>
  <si>
    <t>MONTHLY WEATHER REVIEW</t>
  </si>
  <si>
    <t>Atmosphere-land interaction; Atmosphere-ocean interaction; Climate variability; Climatology; Seasonal cycle; Seasonal variability</t>
  </si>
  <si>
    <t>PRESSURE SYSTEMS; CUTOFF LOW; SOUTHERN; VARIABILITY; CLIMATOLOGY; ANTICYCLONES; REANALYSIS; NORTHERN; FLOW; BAROCLINICITY</t>
  </si>
  <si>
    <t>The seasonal cycle of blocking in the Australian region is shown to be associated with major seasonal temperature changes over continental Antarctica (approximately 15 degrees-35 degrees C) and Australia (about 8 degrees-17 degrees C) and with minor changes over the surrounding oceans (below 5 degrees C). These changes are superimposed on a favorable background state for blocking in the region resulting from a conjunction of physical influences. These include the geographical configuration and topography of the Australian and Antarctic continents and the positive west to east gradient of sea surface temperature in the Indo-Australian sector of the Southern Ocean. Blocking is represented by a blocking index (BI) developed by the Australian Bureau of Meteorology. The BI has a marked seasonal cycle that reflects seasonal changes in the strength of the westerly winds in the midtroposphere at selected latitudes. Significant correlations between the BI at Australian longitudes and rainfall have been demonstrated in southern and central Australia for the austral autumn, winter, and spring. Patchy positive correlations are evident in the south during summer but significant negative correlations are apparent in the central tropical north. By decomposing the rainfall into its contributions from identifiable synoptic types during the April-October growing season, it is shown that the high correlation between blocking and rainfall in southern Australia is explained by the component of rainfall associated with cutoff lows. These systems form the cyclonic components of blocking dipoles. In contrast, there is no significant correlation between the BI and rainfall from Southern Ocean fronts.</t>
  </si>
  <si>
    <t>[Pook, M. J.; Risbey, J. S.; Mcintosh, P. C.] CAWCR CSIRO Marine &amp; Atmospher Res, Hobart, Tas, Australia; [Pook, M. J.; Risbey, J. S.; Mcintosh, P. C.] Climate Adaptat Natl Res Flagship, Clayton, Vic, Australia; [Ummenhofer, C. C.] Univ New S Wales, Climate Change Res Ctr, Sydney, NSW, Australia; [Marshall, A. G.] CAWCR Bur Meteorol, Hobart, Tas, Australia; [Pook, M. J.; Meyers, G. A.] CSIRO Marine &amp; Atmospher Res, Hobart, Tas 7001, Australia</t>
  </si>
  <si>
    <t>Commonwealth Scientific &amp; Industrial Research Organisation (CSIRO); Commonwealth Scientific &amp; Industrial Research Organisation (CSIRO); University of New South Wales Sydney; Commonwealth Scientific &amp; Industrial Research Organisation (CSIRO)</t>
  </si>
  <si>
    <t>Pook, MJ (corresponding author), CSIRO Marine &amp; Atmospher Res, GPO Box 1538, Hobart, Tas 7001, Australia.</t>
  </si>
  <si>
    <t>mike.pook@csiro.au</t>
  </si>
  <si>
    <t>Pook, Michael J/A-3810-2012; McIntosh, Peter C/F-7594-2012; Risbey, James/M-8419-2013</t>
  </si>
  <si>
    <t>Risbey, James/0000-0003-3202-9142; Marshall, Andrew/0000-0003-4902-1462</t>
  </si>
  <si>
    <t>Managing Climate Variability Program of the Australian Government; Australian Research Council</t>
  </si>
  <si>
    <t>Managing Climate Variability Program of the Australian Government(Grains R&amp;D Corp); Australian Research Council(Australian Research Council)</t>
  </si>
  <si>
    <t>This work was partly funded by the Managing Climate Variability Program of the Australian Government, which is managed by the Grains Research and Development Corporation. CCU received support from the Australian Research Council through funding awarded to the Centre of Excellence for Climate System Science. Drs. Andrew Dowdy and Terence O'Kane provided valuable comments on an earlier draft of the manuscript and the paper has been improved by the constructive comments of three reviewers. We gratefully acknowledge use of the SODA reanalysis product, accessed through the IRI Data Library.</t>
  </si>
  <si>
    <t>0027-0644</t>
  </si>
  <si>
    <t>1520-0493</t>
  </si>
  <si>
    <t>MON WEATHER REV</t>
  </si>
  <si>
    <t>Mon. Weather Rev.</t>
  </si>
  <si>
    <t>10.1175/MWR-D-13-00040.1</t>
  </si>
  <si>
    <t>256AY</t>
  </si>
  <si>
    <t>hybrid, Green Published, Green Accepted</t>
  </si>
  <si>
    <t>WOS:000327283300020</t>
  </si>
  <si>
    <t>Miao, YF; Fang, XM; Song, CH; Yan, XL; Xu, L; Chen, CF</t>
  </si>
  <si>
    <t>Miao, Yun-Fa; Fang, Xiao-Min; Song, Chun-Hui; Yan, Xiao-Li; Xu, Li; Chen, Chuan-Fei</t>
  </si>
  <si>
    <t>Pollen and fossil wood's linkage with Mi-1 Glaciation in northeastern Tibetan Plateau, China</t>
  </si>
  <si>
    <t>PALAEOWORLD</t>
  </si>
  <si>
    <t>Palynology; Fossil woods; Picea; Mi-1 Glaciation; Xining Basin</t>
  </si>
  <si>
    <t>LATE CENOZOIC UPLIFT; BRITISH-COLUMBIA; CLIMATE-CHANGE; AMERICAN-WEST; SOUTHERN ASIA; 20 MA; OCEAN; MONSOON; PICEA; ARIDIFICATION</t>
  </si>
  <si>
    <t>A more complete picture of the Cenozoic climate change and its driving mechanisms can only be obtained by an integrated analysis of widely distributed paleoclimate records from both oceanic and terrestrial sediments. However, there are fewer Cenozoic continental paleoclimatic records available when compared with the numerous marine records. Here, we present palynological results from the Xining Basin, northeastern Tibet, covering the Mi-1 Glaciation at around 23 Ma. We found that cold-tolerant conifers (such as Picea, Abies, Tsuga, and Larix) thrived while thermophilic plants (Rutaceae, Anacarabiaceae, Euphorbiaceae, Sapindaceae, Myrtaceae, and Podocarpaceae) declined in the Xining Basin during the Mi-1 Glaciation. Both before and after the Mi-1 Glaciation, there were few cold-tolerant conifers but more abundant thermophilic plants in the Xining Basin. Our results clearly show that climate in the northern and southern hemispheres was strongly coupled during the Mi-1 Glaciation and that cooling around 23 Ma was not limited to the southern hemisphere. We argue that the most plausible linking mechanism between Antarctic cooling and Asian cooling was the combination of low orbital eccentricity with a protracted node in obliquity. Crown Copyright (C) 2013 Published by Elsevier B.V. on behalf of Nanjing Institute of Geology and Palaeontology, CAS. All rights reserved.</t>
  </si>
  <si>
    <t>[Miao, Yun-Fa] Chinese Acad Sci, Cold &amp; Arid Reg Environm &amp; Engn Inst, Key Lab Desert &amp; Desertificat, Lanzhou 730000, Peoples R China; [Fang, Xiao-Min] Chinese Acad Sci, Inst Tibetan Plateau Res, Key Lab Continental Collis &amp; Plateau Uplift, Beijing 100085, Peoples R China; [Song, Chun-Hui] Lanzhou Univ, Sch Earth Sci, Lanzhou 730000, Peoples R China; [Song, Chun-Hui] Lanzhou Univ, Key Lab Westen Chinas Mineral Resources Gansu Pro, Lanzhou 730000, Peoples R China; [Yan, Xiao-Li; Chen, Chuan-Fei] Lanzhou Univ, Key Lab Western Chinas Environm Syst, Minist Educ, Lanzhou 730000, Peoples R China; [Yan, Xiao-Li; Chen, Chuan-Fei] Lanzhou Univ, Coll Resources &amp; Environm, Lanzhou 730000, Peoples R China; [Xu, Li] Qinghai Petr Subcorp PetroChina Co Ltd, Dunhuang 736202, Peoples R China</t>
  </si>
  <si>
    <t>Chinese Academy of Sciences; Cold &amp; Arid Regions Environmental &amp; Engineering Research Institute, CAS; Chinese Academy of Sciences; Institute of Tibetan Plateau Research, CAS; Lanzhou University; Lanzhou University; Lanzhou University; Lanzhou University</t>
  </si>
  <si>
    <t>Fang, XM (corresponding author), Chinese Acad Sci, Cold &amp; Arid Reg Environm &amp; Engn Inst, Key Lab Desert &amp; Desertificat, Lanzhou 730000, Peoples R China.</t>
  </si>
  <si>
    <t>fangxm@itpcas.ac.cn</t>
  </si>
  <si>
    <t>Strategic Priority Research Program of the Chinese Academy of Sciences [XDB03020103, XDB03020400]; (973) National Basic Research Program of China [2013CB956400, 2011CB403000, 2010CB833401]; NSFC [40920114001, 41021001, 41172153]; Foundation for Excellent Youth Scholars of CAREERI [51Y184991]</t>
  </si>
  <si>
    <t>Strategic Priority Research Program of the Chinese Academy of Sciences(Chinese Academy of Sciences); (973) National Basic Research Program of China(National Basic Research Program of China); NSFC(National Natural Science Foundation of China (NSFC)); Foundation for Excellent Youth Scholars of CAREERI</t>
  </si>
  <si>
    <t>This work was co-supported by the Strategic Priority Research Program of the Chinese Academy of Sciences (XDB03020103, XDB03020400), the (973) National Basic Research Program of China (Grant. No. 2013CB956400, 2011CB403000, 2010CB833401), and NSFC Grants (40920114001, 41021001, 41172153), and the Foundation for Excellent Youth Scholars of CAREERI (51Y184991). We thank Jun-Sheng Nie and GeoEditing for valuable comments and English improvement, plus Frederic M.B. Jacques and an anonymous reviewer. We also thank Zhi-Gao Zhang, Yu-Hu Tang, Qiang Zhu, and Yong-Bo Huang for their help in fieldwork and Hong-Xia Yu for her assistance in laboratory.</t>
  </si>
  <si>
    <t>1871-174X</t>
  </si>
  <si>
    <t>1875-5887</t>
  </si>
  <si>
    <t>Palaeoworld</t>
  </si>
  <si>
    <t>3-4</t>
  </si>
  <si>
    <t>10.1016/j.palwor.2013.06.001</t>
  </si>
  <si>
    <t>275WQ</t>
  </si>
  <si>
    <t>WOS:000328710300005</t>
  </si>
  <si>
    <t>Zdzitowiecki, K; Laskowski, Z</t>
  </si>
  <si>
    <t>Zdzitowiecki, Krzysztof; Laskowski, Zdzislaw</t>
  </si>
  <si>
    <t>New data on the occurrence of Acanthocephala in some fish in Admiralty Bay (South Shetland Islands)</t>
  </si>
  <si>
    <t>ACTA PARASITOLOGICA</t>
  </si>
  <si>
    <t>Antarctica; Admiralty Bay; Acanthocephala; notothenioid fish; infection</t>
  </si>
  <si>
    <t>NOTOTHENIA-CORIICEPS; ANTARCTIC FISH; INFECTION</t>
  </si>
  <si>
    <t>New data on the infection with Acanthocephala of 33 fish caught in Admiralty Bay in November 2007 to January 2008 are given. These fish belong to 5 species: Notothenia rossii (22 immature specimens), Lindbergichthys nudifrons (n = 7), Trematomus bernacchii (n = 1), T. newnesi (n = 1) and Harpagifer antarcticus (n = 2). Three species of Echinorhynchida: Aspersentis megarhynchus, Metacanthocephalus dalmori and M. johnstoni and four species of Polymorphida: Corynosoma arctocephali, C. bullosum, C. hamanni and C. pseudohamanni, were found. Prevalence of N. rossii and L. nudifrons was 100%. The mean abundance of infection of N. rossii (125.09) was larger than that of Notothenia coriiceps (82.93). Data of infection of N. rossii in 2007 was almost identical with that in 1979 (mean abundance 118.66). The most abundant in this host were A. megarhynchus, M. johnstoni, C. hamanni and C. pseudohamanni (mean abundances 36.36, 29.77, 13.86 and 44.73, respectively). In total Echinorhynchida were more abundant than Polymorphida in 2007/08 (66.18 versus 58.91). Reverse situation was in 1979 (mean abundance 47.36 for Echinorhynchida and 71.3 for Polymorphida. Only 7 L. nudifrons were examined in 2007/08 and Echinorhynchida were more numerous in this host (mean abundance 26.71) than Polymorphida (10.29). Single specimens of other fish were infected with a few Acanthocephala belonging to species recorded in the same hosts with those found in 1978/79.</t>
  </si>
  <si>
    <t>[Zdzitowiecki, Krzysztof; Laskowski, Zdzislaw] Polish Acad Sci, W Stefanski Inst Parasitol, PL-00818 Warsaw, Poland</t>
  </si>
  <si>
    <t>Polish Academy of Sciences</t>
  </si>
  <si>
    <t>Laskowski, Z (corresponding author), Polish Acad Sci, W Stefanski Inst Parasitol, Twarda 51-55, PL-00818 Warsaw, Poland.</t>
  </si>
  <si>
    <t>laskowz@twarda.pan.pl</t>
  </si>
  <si>
    <t>Laskowski, Zdzislaw/V-5682-2018</t>
  </si>
  <si>
    <t>Laskowski, Zdzislaw/0000-0001-8542-6307</t>
  </si>
  <si>
    <t>1230-2821</t>
  </si>
  <si>
    <t>1896-1851</t>
  </si>
  <si>
    <t>ACTA PARASITOL</t>
  </si>
  <si>
    <t>Acta Parasitolog.</t>
  </si>
  <si>
    <t>10.2478/s11686-013-0175-1</t>
  </si>
  <si>
    <t>Parasitology; Veterinary Sciences; Zoology</t>
  </si>
  <si>
    <t>270SR</t>
  </si>
  <si>
    <t>WOS:000328339500017</t>
  </si>
  <si>
    <t>Wang, LZ; Macri, LM; Wang, LF; Ashley, MCB; Cui, XQ; Peng, LL; Gong, XF; Lawrence, JS; Liu, Q; Daniel, LV; Pennypacker, CR; Shang, ZH; Storey, JWV; Yang, HG; Yang, J; Yuan, XY; York, DG; Zhou, X; Zhu, ZX; Zhu, ZH</t>
  </si>
  <si>
    <t>Wang, Lingzhi; Macri, Lucas M.; Wang, Lifan; Ashley, Michael C. B.; Cui, Xiangqun; Peng, Long-Long; Gong, Xuefei; Lawrence, Jon S.; Liu, Qiang; Daniel Luong-Van; Pennypacker, Carl R.; Shang, Zhaohui; Storey, John W. V.; Yang, Huigen; Yang, Ji; Yuan, Xiangyan; York, Donald G.; Zhou, Xu; Zhu, Zhenxi; Zhu, Zonghong</t>
  </si>
  <si>
    <t>PHOTOMETRY OF VARIABLE STARS FROM DOME A, ANTARCTICA: RESULTS FROM THE 2010 OBSERVING SEASON</t>
  </si>
  <si>
    <t>ASTRONOMICAL JOURNAL</t>
  </si>
  <si>
    <t>site testing; stars: variables: general</t>
  </si>
  <si>
    <t>GRAVITATIONAL LENSING EXPERIMENT; ASTRONOMY; SEARCH; CSTAR; SITE</t>
  </si>
  <si>
    <t>We present results from a season of observations with the Chinese Small Telescope ARray, obtained over 183 days of the 2010 Antarctic winter. We carried out high-cadence time-series aperture photometry of 9125 stars with i less than or similar to 15.3 mag located in a 23 deg(2) region centered on the south celestial pole. We identified 188 variable stars, including 67 new objects relative to our 2008 observations, thanks to broader synoptic coverage, a deeper magnitude limit, and a larger field of view. We used the photometric data set to derive site statistics from Dome A. Based on two years of observations, we find that extinction due to clouds at this site is less than 0.1 and 0.4 mag during 45% and 75% of the dark time, respectively.</t>
  </si>
  <si>
    <t>[Wang, Lingzhi; Zhu, Zonghong] Beijing Normal Univ, Dept Astron, Beijing 100875, Peoples R China; [Wang, Lingzhi; Macri, Lucas M.; Wang, Lifan] Texas A&amp;M Univ, Dept Phys &amp; Astronomy, Mitchell Inst Fundamental Phys &amp; Astron, College Stn, TX 77843 USA; [Wang, Lingzhi; Wang, Lifan; Cui, Xiangqun; Peng, Long-Long; Gong, Xuefei; Liu, Qiang; Shang, Zhaohui; Yang, Huigen; Yang, Ji; Yuan, Xiangyan; Zhou, Xu; Zhu, Zhenxi; Zhu, Zonghong] Chinese Ctr Antarctic Astron, Nanjing 210008, Jiangsu, Peoples R China; [Wang, Lifan; Peng, Long-Long; Yang, Ji; Zhu, Zhenxi] Chinese Acad Sci, Purple Mt Observ, Nanjing 210008, Jiangsu, Peoples R China; [Ashley, Michael C. B.; Daniel Luong-Van; Storey, John W. V.] Univ New S Wales, Sch Phys, Sydney, NSW 2052, Australia; [Cui, Xiangqun; Gong, Xuefei; Yuan, Xiangyan] Nanjing Inst Astron Opt &amp; Technol, Nanjing 210042, Jiangsu, Peoples R China; [Lawrence, Jon S.] Australian Astron Observ, Sydney, NSW 1710, Australia; [Wang, Lingzhi; Liu, Qiang; Zhou, Xu] Chinese Acad Sci, Natl Astron Observ China, Beijing 100012, Peoples R China; [Pennypacker, Carl R.] Univ Calif Berkeley, Lawrence Berkeley Natl Lab, Ctr Astrophys, Berkeley, CA 94720 USA; [Shang, Zhaohui] Tianjin Normal Univ, Tianjin 300074, Peoples R China; [Yang, Huigen] Polar Res Inst China, Shanghai 200136, Peoples R China; [York, Donald G.] Univ Chicago, Dept Astron &amp; Astrophys, Chicago, IL 60637 USA; [York, Donald G.] Univ Chicago, Enrico Fermi Inst, Chicago, IL 60637 USA</t>
  </si>
  <si>
    <t>Beijing Normal University; Texas A&amp;M University System; Texas A&amp;M University College Station; Purple Mountain Observatory, CAS; Chinese Academy of Sciences; Nanjing Institute of Astronomical Optics &amp; Technology, NAOC, CAS; University of New South Wales Sydney; Chinese Academy of Sciences; Nanjing Institute of Astronomical Optics &amp; Technology, NAOC, CAS; Chinese Academy of Sciences; National Astronomical Observatory, CAS; United States Department of Energy (DOE); Lawrence Berkeley National Laboratory; University of California System; University of California Berkeley; Tianjin Normal University; Polar Research Institute of China; University of Chicago; University of Chicago</t>
  </si>
  <si>
    <t>Wang, LZ (corresponding author), Chinese Acad Sci, Natl Astron Observ China, Beijing 100012, Peoples R China.</t>
  </si>
  <si>
    <t>wanglingzhi@bao.ac.cn</t>
  </si>
  <si>
    <t>Lawrence, Jon/0000-0002-6998-6993; Wang, Lingzhi/0000-0002-1094-3817; Ashley, Michael/0000-0003-1412-2028; Macri, Lucas/0000-0002-1775-4859</t>
  </si>
  <si>
    <t>Chinese Academy of Sciences [034031001]; National Natural Science Foundation of China [10825313, 11073005, 11303041]; Ministry of Science and Technology National Basic Science Program (Project 973) [2012CB821804]; Excellent Doctoral Dissertation of Beijing Normal University Engagement Fund; National Astronomical Observatories, Chinese Academy of Sciences; Department of Physics and Astronomy at Texas AM University; Mitchell-Heep-Munnerlyn Endowed Career Enhancement Professorship in Physics or Astronomy; Chinese PANDA International Polar Year project; NSFC-CAS joint key program [10778706]; CAS main direction program [KJCX2-YW-T08]; Chinese Polar Environment Comprehensive Investigation and Assessment Programs (CHINARE); Australian Research Council; Australian Antarctic Division</t>
  </si>
  <si>
    <t>Chinese Academy of Sciences(Chinese Academy of Sciences); National Natural Science Foundation of China(National Natural Science Foundation of China (NSFC)); Ministry of Science and Technology National Basic Science Program (Project 973)(National Basic Research Program of China); Excellent Doctoral Dissertation of Beijing Normal University Engagement Fund; National Astronomical Observatories, Chinese Academy of Sciences(Chinese Academy of Sciences); Department of Physics and Astronomy at Texas AM University; Mitchell-Heep-Munnerlyn Endowed Career Enhancement Professorship in Physics or Astronomy; Chinese PANDA International Polar Year project; NSFC-CAS joint key program; CAS main direction program; Chinese Polar Environment Comprehensive Investigation and Assessment Programs (CHINARE); Australian Research Council(Australian Research Council); Australian Antarctic Division</t>
  </si>
  <si>
    <t>L.W. acknowledges support by the BaiRen program of the Chinese Academy of Sciences (034031001); the National Natural Science Foundation of China under the Distinguished Young Scholar grant 10825313 and grants 11073005 and 11303041; the Ministry of Science and Technology National Basic Science Program (Project 973) under grant number 2012CB821804; the Excellent Doctoral Dissertation of Beijing Normal University Engagement Fund; and a Young Researcher Grant of the National Astronomical Observatories, Chinese Academy of Sciences.; L.M. and L.W. acknowledge support by the Department of Physics and Astronomy at Texas A&amp;M University through faculty startup funds and the Mitchell-Heep-Munnerlyn Endowed Career Enhancement Professorship in Physics or Astronomy.; This work was supported by the Chinese PANDA International Polar Year project, NSFC-CAS joint key program through grant number 10778706, CAS main direction program through grant number KJCX2-YW-T08, and by the Chinese Polar Environment Comprehensive Investigation and Assessment Programs (CHINARE). The authors deeply appreciate the great efforts made by the 24-28th Dome A expedition teams who provided invaluable assistance to the astronomers that set up and maintained the CSTAR telescope and the PLATO system. PLATO was supported by the Australian Research Council and the Australian Antarctic Division. Iridium communications were provided by the US National Science Foundation and the US Antarctic Program.</t>
  </si>
  <si>
    <t>0004-6256</t>
  </si>
  <si>
    <t>1538-3881</t>
  </si>
  <si>
    <t>ASTRON J</t>
  </si>
  <si>
    <t>Astron. J.</t>
  </si>
  <si>
    <t>10.1088/0004-6256/146/6/139</t>
  </si>
  <si>
    <t>262PC</t>
  </si>
  <si>
    <t>Green Published, Green Submitted, Bronze</t>
  </si>
  <si>
    <t>WOS:000327747700002</t>
  </si>
  <si>
    <t>Shin, J</t>
  </si>
  <si>
    <t>Shin, Jaeryul</t>
  </si>
  <si>
    <t>Stratigraphy and geochronology of quaternary marine terraces of Tasmania, Southeastern Australia: implications on neotectonism</t>
  </si>
  <si>
    <t>GEOSCIENCES JOURNAL</t>
  </si>
  <si>
    <t>Quaternary marine terrace; OSL dating; non-uniform uplift; intraplate tectonics; Tasmania</t>
  </si>
  <si>
    <t>ANTARCTIC DISCORDANCE; CONTINENTAL-MARGIN; SEDIMENTS; DYNAMICS</t>
  </si>
  <si>
    <t>This study documents emergent marine terraces of Tasmania in Southeast Australia that are commonly observed along the coasts with both the distribution and elevation of terraces varying around the island. The primary objective is to document existence, characteristics and geochronology of little known terrace sequences on each coastline and to establish correlations between them. In order to address variability in uplift in Tasmania this study attempts to correlate uplift records from a number of widely separated locations. Quartz OSL dating technique was applied to constrain the age of the late Quaternary terrace sequences. The results imply that the time-integrated uplift rates around the Tasmanian coasts ranged from 40 m/Ma to 112 m/Ma since the last interglacial period, suggesting a non-uniform uplift during the late Quaternary. In addition, likely Miocene paleo-shorelines ranging 160 to 270 m around Tasmania show a similar pattern with the non-uniform uplift during the Late Neogene. The vertical motion of Tasmania within a horizontal length scale of order 100 kms and amplitude of order 100 m accords well with the dynamic topography records documented elsewhere in Southern Australia over the Neogene.</t>
  </si>
  <si>
    <t>Kyungpook Natl Univ, Dept Geog, Taegu 701702, South Korea</t>
  </si>
  <si>
    <t>Kyungpook National University</t>
  </si>
  <si>
    <t>Shin, J (corresponding author), Kyungpook Natl Univ, Dept Geog, Taegu 701702, South Korea.</t>
  </si>
  <si>
    <t>jaeryul.shin@gmail.com</t>
  </si>
  <si>
    <t>GEOLOGICAL SOCIETY KOREA</t>
  </si>
  <si>
    <t>SEOUL</t>
  </si>
  <si>
    <t>NEW BLD RM 813, KSTC, 835-4, YEOKSAM-DONG, KANGNAM-GU, SEOUL, 135-703, SOUTH KOREA</t>
  </si>
  <si>
    <t>1226-4806</t>
  </si>
  <si>
    <t>1598-7477</t>
  </si>
  <si>
    <t>GEOSCI J</t>
  </si>
  <si>
    <t>Geosci. J.</t>
  </si>
  <si>
    <t>10.1007/s12303-013-0046-7</t>
  </si>
  <si>
    <t>270SC</t>
  </si>
  <si>
    <t>WOS:000328338000005</t>
  </si>
  <si>
    <t>Fernández-Alvarez, FA; Anadón, N</t>
  </si>
  <si>
    <t>Fernandez-Alvarez, F. A.; Anadon, N.</t>
  </si>
  <si>
    <t>Redescription of Tubulanus mawsoni (Wheeler 1940) comb. nov (Palaeonemertea: Tubulanidae) from the Bellingshausen Sea (Antarctica)</t>
  </si>
  <si>
    <t>Tubulanus mawsoni; Carinina; Nemertea; Bellingshausen Sea; Antarctica; taxonomy</t>
  </si>
  <si>
    <t>PHYLUM NEMERTEA; ANOPLA</t>
  </si>
  <si>
    <t>Tubulanus mawsoni (Wheeler 1940) comb. nov. is redescribed based on the material collected during the Spanish Antarctic expedition Bentart-03 through the Bellingshausen Sea (Antarctica). Previously belonging to the genus Carinina Hubrecht 1885, the species is transferred to the genus Tubulanus based on the situation of the brain and lateral nerves between the basement membrane and the outer circular muscle layer, the presence of muscle crosses in the body wall, the position of the blood and excretory systems, the presence of proboscis nerves and the structure of the cerebral sensory organs, the rhynchocoel wall and the rhynchodaeal and buccal nerves. Microphotographs of the different regions of the body and the proboscis structure are provided for the first time. Based on the ambiguities between Tubulanus diagnosis and the species descriptions, as well as the possible paraphyletic status of the genus, the need for new morphological and molecular studies is suggested.</t>
  </si>
  <si>
    <t>[Fernandez-Alvarez, F. A.; Anadon, N.] Univ Oviedo, Dept Biol Organismos &amp; Sistemas Zool, Asturias, Spain</t>
  </si>
  <si>
    <t>University of Oviedo</t>
  </si>
  <si>
    <t>Anadón, N (corresponding author), Univ Oviedo, Dept Biol Organismos &amp; Sistemas Zool, Asturias, Spain.</t>
  </si>
  <si>
    <t>nanadon@uniovi.es</t>
  </si>
  <si>
    <t>Fernández-Álvarez, Fernando Ángel/B-6196-2014</t>
  </si>
  <si>
    <t>Fernández-Álvarez, Fernando Ángel/0000-0002-8679-7377; Anadon-Alvarez, Maria Nuria/0000-0002-9928-0115</t>
  </si>
  <si>
    <t>Spanish Government [REN2001 1074/ANT]</t>
  </si>
  <si>
    <t>Spanish Government(Spanish Government)</t>
  </si>
  <si>
    <t>The Bentar-03 cruise was supported by the Antarctic Programme REN2001 1074/ANT of the Spanish Government. We are grateful to Dr Ana Ramos, the leader of Bentart's projects and to our colleagues from Bentart cruise 2003. Thanks are due to the crew and UTM technicians of RV Hesperides. We greatly appreciate Helen Stoddart (Australian Museum) and Emma Sherlock (The Natural History Museum, London) for their help in the search of Wheeler's material. We would like to thank C. Lastra for assistance and linguistic review of the text of an earlier draft of the manuscript. Thanks to three anonymous reviewers for their helpful comments and suggestions, which substantially improved the manuscript. Javier Cristobo of the Spanish Oceanographic Institute provided the map in Fig. 1.</t>
  </si>
  <si>
    <t>10.1080/03014223.2013.778302</t>
  </si>
  <si>
    <t>265DU</t>
  </si>
  <si>
    <t>WOS:000327930700002</t>
  </si>
  <si>
    <t>Galbán-Malagón, C; Cabrerizo, A; Caballero, G; Dachs, J</t>
  </si>
  <si>
    <t>Galban-Malagon, Cristobal; Cabrerizo, Ana; Caballero, Gemma; Dachs, Jordi</t>
  </si>
  <si>
    <t>Atmospheric occurrence and deposition of hexachlorobenzene and hexachlorocyclohexanes in the Southern Ocean and Antarctic Peninsula</t>
  </si>
  <si>
    <t>ATMOSPHERIC ENVIRONMENT</t>
  </si>
  <si>
    <t>Antartic Peninsula; Southern Ocean; HCH; HCB; Atmospheric deposition</t>
  </si>
  <si>
    <t>PERSISTENT ORGANIC POLLUTANTS; ORGANOCHLORINE PESTICIDES; ALPHA-HEXACHLOROCYCLOHEXANE; POLYCHLORINATED-BIPHENYLS; NORTH-ATLANTIC; BIOGEOCHEMICAL CONTROLS; CHLORINATED PESTICIDES; GAS-EXCHANGE; AIR; TRANSPORT</t>
  </si>
  <si>
    <t>Despite the distance of Antarctica and the Southern Ocean to primary source regions of organochlorine pesticides, such as hexachlorobenzene (HCB) and hexachlorocyclohexanes (HCHs), these organic pollutants are found in this remote region due to long range atmospheric transport and deposition. This study reports the gas- and aerosol-phase concentrations of alpha-HCH, gamma-HCH, and HCB in the atmosphere from the Weddell, South Scotia and Bellingshausen Seas. The atmospheric samples were obtained in two sampling cruises in 2008 and 2009, and in a third sampling campaign at Livingston Island (2009) in order to quantify the potential secondary sources of HCHs and HCB due to volatilization from Antarctic soils and snow. The gas phase concentrations of HCHs and HCB are low, and in the order of very few pg m(-3) alpha-HCH and gamma-HCH concentrations were higher when the air mass back trajectory was coming from the Antarctic continent, consistent with net volatilization fluxes of gamma-HCH measured at Livingston Island being a significant secondary source to the regional atmosphere. In addition, the Southern ocean is an important net sink of HCHs, and to minor extent of HCB, due to high diffusive air-to-water fluxes. These net absorption fluxes for HCHs are presumably due to the role of bacterial degradation, depleting the water column concentrations of HCHs in surface waters and driving an air-water disequilibrium. This is the first field study that has investigated the coupling between the atmospheric occurrence of HCHs and HCB, the simultaneous air-water exchange, soil/snow-air exchange, and long range transport of organic pollutants in Antarctica and the Southern Ocean. (C) 2013 Elsevier Ltd. All rights reserved.</t>
  </si>
  <si>
    <t>[Galban-Malagon, Cristobal; Cabrerizo, Ana; Caballero, Gemma; Dachs, Jordi] IDAEA CSIC, Dept Environm Chem, Barcelona 08034, Catalunya, Spain</t>
  </si>
  <si>
    <t>Consejo Superior de Investigaciones Cientificas (CSIC); CSIC - Centro de Investigacion y Desarrollo Pascual Vila (CID-CSIC); CSIC - Instituto de Diagnostico Ambiental y Estudios del Agua (IDAEA)</t>
  </si>
  <si>
    <t>Dachs, J (corresponding author), IDAEA CSIC, Dept Environm Chem, Jordi Girona 18-26, Barcelona 08034, Catalunya, Spain.</t>
  </si>
  <si>
    <t>jordi.dachs@idaea.csic.es</t>
  </si>
  <si>
    <t>Galbán-Malagón, Cristobal/B-2170-2017; Cabrerizo, Ana/AAA-9050-2020; Galbán-Malagón, Cristobal/J-2384-2015; Cabrerizo, Ana/D-8256-2018</t>
  </si>
  <si>
    <t>Galbán-Malagón, Cristobal/0000-0001-8397-5804; Cabrerizo, Ana/0000-0002-5933-1483; Dachs, Jordi/0000-0002-4237-169X</t>
  </si>
  <si>
    <t>1352-2310</t>
  </si>
  <si>
    <t>1873-2844</t>
  </si>
  <si>
    <t>ATMOS ENVIRON</t>
  </si>
  <si>
    <t>Atmos. Environ.</t>
  </si>
  <si>
    <t>10.1016/j.atmosenv.2013.07.061</t>
  </si>
  <si>
    <t>267JV</t>
  </si>
  <si>
    <t>WOS:000328094800005</t>
  </si>
  <si>
    <t>Chen, QQ; Zhu, RB; Xu, H</t>
  </si>
  <si>
    <t>Chen, Qingqing; Zhu, Renbin; Xu, Hua</t>
  </si>
  <si>
    <t>Stable isotopes of carbon dioxide in the marine atmosphere along a hemispheric course from China to Antarctica</t>
  </si>
  <si>
    <t>Carbon dioxide; Stable isotope; Antarctica; Ocean; Atmosphere</t>
  </si>
  <si>
    <t>CO2 CONCENTRATIONS; OCEAN; CYCLE; VARIABILITY; VEGETATION; OXYGEN; O-18</t>
  </si>
  <si>
    <t>During the 24th Chinese Antarctic Expedition, the air samples were collected at 10:00 and 22:00 (local time) along the track of ship Xuelong from Shanghai Harbor, China to Antarctica. Carbon dioxide (CO2) concentrations and its isotopic compositions were measured in these samples. Mean CO2 concentration at 22:00 (419.4 +/- 27.1 ppmv) was higher than that at 10:00 (392.7 +/- 20.0 ppmv), whereas delta C-13-CO2 values at 22:00 (-8.58 +/- 0.47 parts per thousand) were lower than those at 10:00 (-8.23 +/- 0.49 parts per thousand), indicating that the C-13/C-12 ratio might be associated with the photosynthesis and respiration of terrestrial or marine organisms during the diurnal cycle. Overall the mean delta C-13- and delta O-18-CO2 were 8.39 +/- 0.51 parts per thousand and 0.03 +/- 1.39 parts per thousand, respectively, from 30 degrees N to 69 degrees S, and the delta C-13 significantly negatively correlated with delta O-18-CO2. A small but progressive increase in delta C-13 values with increasing latitudes southward was in good agreement with the expected trend. The enhanced CO2 concentrations occurred in the atmosphere close to Eurasia continent, Philippines, Malaysia and Indonesia, and the delta C-13 oscillations agreed well with anthropogenic pollution. In the range of 30 degrees S-50 degrees S, CO2 concentrations were generally low with relatively stable delta C-13 and delta O-18 values. In Antarctic Convergence Zone, a great difference of delta C-13 occurred between 10:00 and 22:00, and atmospheric CO2 was significantly depleted in C-13 at 22:00. Our results indicated that the isotopic compositions of CO2 in the marine atmosphere might be a sensitive indicator for the strength of CO2 source and sink from the ocean. (C) 2013 Elsevier Ltd. All rights reserved.</t>
  </si>
  <si>
    <t>[Chen, Qingqing; Zhu, Renbin] Univ Sci &amp; Technol China, Sch Earth &amp; Spatial Sci, Inst Polar Environm, Hefei 230026, Peoples R China; [Xu, Hua] Chinese Acad Sci, Inst Soil Sci, State Key Lab Soil &amp; Sustainable Agr, Nanjing 210091, Jiangsu, Peoples R China</t>
  </si>
  <si>
    <t>Zhu, RB (corresponding author), Univ Sci &amp; Technol China, Sch Earth &amp; Spatial Sci, Inst Polar Environm, Hefei 230026, Peoples R China.</t>
  </si>
  <si>
    <t>CHEN, QING/IXN-5937-2023; chen, qy/JXM-3217-2024</t>
  </si>
  <si>
    <t>CHEN, QING/0000-0001-5250-1710;</t>
  </si>
  <si>
    <t>National Natural Science Foundation of China [41076124, 41176171]</t>
  </si>
  <si>
    <t>National Natural Science Foundation of China(National Natural Science Foundation of China (NSFC))</t>
  </si>
  <si>
    <t>This study was supported by the National Natural Science Foundation of China (Grant No. 41076124; 41176171). We are grateful to the anonymous reviewers and editor for their helpful revision and comments on a previous version of this paper.</t>
  </si>
  <si>
    <t>10.1016/j.atmosenv.2013.08.002</t>
  </si>
  <si>
    <t>WOS:000328094800036</t>
  </si>
  <si>
    <t>Robertson, G; Candy, SG; Hall, S</t>
  </si>
  <si>
    <t>Robertson, Graham; Candy, Steven G.; Hall, Steve</t>
  </si>
  <si>
    <t>New branch line weighting regimes to reduce the risk of seabird mortality in pelagic longline fisheries without affecting fish catch</t>
  </si>
  <si>
    <t>AQUATIC CONSERVATION-MARINE AND FRESHWATER ECOSYSTEMS</t>
  </si>
  <si>
    <t>pelagic longline fisheries; seabird bycatch; fish catch rates; branch line weighting; hook sink rates; innovation; cooperative research</t>
  </si>
  <si>
    <t>DIVING DEPTHS; BAITED HOOKS; SINK RATES; BYCATCH; ALBATROSSES; PETRELS; IMPACT</t>
  </si>
  <si>
    <t>1. Experiments were conducted on two new branch line weighting regimes designed to reduce the risk of seabird mortality in the Australian pelagic longline fishery. The experiments compared the sink rates and fish catch rates of the new regimes with that used by the fishing industry. 2. Baited hooks on gear with a 120g lead weight 2m from the hook reduced the time to reach 2m, 5m and 8m depths by 16%, 58% and 70%, respectively, compared with industry standard gear with 60g at 3.5m. Baited hooks with 40g leads at the hook reduced the time taken to reach 2m, 5m and 8m depth by 33%, 28% and 25%, respectively. The reduction in time with a 60g lead at the hook to these depths was similar to 40%. 3. There were no statistically detectable differences in catch rates of target and non-target fish between industry standard branch lines and branch lines with both 120g leads at 2m and those with 40g leads at the hook. The results contest the widely-accepted opinion that major branch line modifications, including weight at the hook, reduce fish catch. 4. The regime with a 40g lead at or very close to (i.e. 0.5m) the hook has the most potential for adoption in fisheries due to: (i) improved crew safety; (ii) ease of port-based inspection for compliance purposes; (iii) reduced construction costs; (iv) reduced bin tangles; and (v) ease of deployment. Lead loss from shark bite-offs can be minimized by placing leads on short (&lt;= 0.5m) leaders. In areas of moderate to high risk to seabirds, or where the risks are unknown, the use of 60g leads either at or0.5m from the hook is encouraged. Copyright (c) 2013 John Wiley &amp; Sons, Ltd.</t>
  </si>
  <si>
    <t>[Robertson, Graham; Candy, Steven G.] Australian Antarctic Div, Kingston, Tas 7050, Australia; [Hall, Steve] Australian Fisheries Management Author, Minyama, Qld, Australia</t>
  </si>
  <si>
    <t>Robertson, G (corresponding author), Australian Antarctic Div, 230 Channel Highway, Kingston, Tas 7050, Australia.</t>
  </si>
  <si>
    <t>graham.robertson@aad.gov.au</t>
  </si>
  <si>
    <t>GAP/Planeterra Foundation, Toronto, Canada</t>
  </si>
  <si>
    <t>Funding for both experiments was provided by the GAP/Planeterra Foundation, Toronto, Canada. We very gratefully acknowledge their support. We are also grateful to Heesham Garroun for assistance with the data collection on the F/V Samurai and Sheryl Hamilton for entering the data into the computer. Comments by Ian Hay and two anonymous referees improved a draft.</t>
  </si>
  <si>
    <t>1052-7613</t>
  </si>
  <si>
    <t>1099-0755</t>
  </si>
  <si>
    <t>AQUAT CONSERV</t>
  </si>
  <si>
    <t>Aquat. Conserv.-Mar. Freshw. Ecosyst.</t>
  </si>
  <si>
    <t>10.1002/aqc.2346</t>
  </si>
  <si>
    <t>Environmental Sciences; Marine &amp; Freshwater Biology; Water Resources</t>
  </si>
  <si>
    <t>Environmental Sciences &amp; Ecology; Marine &amp; Freshwater Biology; Water Resources</t>
  </si>
  <si>
    <t>261NG</t>
  </si>
  <si>
    <t>WOS:000327671300009</t>
  </si>
  <si>
    <t>Ikeda, T</t>
  </si>
  <si>
    <t>Ikeda, Tsutomu</t>
  </si>
  <si>
    <t>Metabolism and chemical composition of pelagic decapod shrimps: synthesis toward a global bathymetric model</t>
  </si>
  <si>
    <t>JOURNAL OF OCEANOGRAPHY</t>
  </si>
  <si>
    <t>Ammonia excretion; Decapods; CN composition; Global bathymetric model; O:N ratio; Respiration</t>
  </si>
  <si>
    <t>ANTARCTIC MICRONEKTONIC CRUSTACEA; GREAT-BARRIER-REEF; DEEP-SEA; MIDWATER CRUSTACEANS; EASTERN GULF; BODY-MASS; VERTICAL-DISTRIBUTION; MARINE ZOOPLANKTON; AMMONIA EXCRETION; ENERGY CONTENT</t>
  </si>
  <si>
    <t>Respiration, ammonia excretion and chemical composition data [water content, ash, carbon (C), nitrogen (N) and C:N ratios] of 16-43 pelagic decapods from epipelagic through abyssopelagic zones of the world's oceans were compiled. For respiration, the independent variables including body dry mass, habitat temperature and sampling depth were all significant predictors of the empirical regression model, whereas the former two variables were significant predictors of the theoretical regression model. For ammonia excretion, body dry mass and habitat temperature were significant predictors of both regression models. Overall, these variables accounted for 68-87 % of the variance in the data. Atomic O:N ratios (respiration:ammonia excretion) ranged from 9.1 to 91 (median 16.4), and no appreciable effects of the three variables were detected. Body composition components were not significantly affected by the three variables, except positive effects of habitat temperature on ash and negative effects of sampling depth on N composition. As judged by C:N ratios, protein was considered to be the major organic component of most pelagic decapods. Some pelagic decapods from &gt; 500 m depth exhibited high C:N ratios (8.6-10.2), suggesting a deposition of lipids in the body. Comparison of the present results with global bathymetric models of euphausiids and mysids revealed great similarities among these pelagic crustacean taxa characterized by common behavioral and morphological features such as active swimming, developed compound eyes and respiratory gill organ.</t>
  </si>
  <si>
    <t>Ikeda, T (corresponding author), 16-3-1001 Toyokawa Cho, Hakodate, Hokkaido 0400065, Japan.</t>
  </si>
  <si>
    <t>ikeda.tutomu@sepia.plala.or.jp</t>
  </si>
  <si>
    <t>0916-8370</t>
  </si>
  <si>
    <t>1573-868X</t>
  </si>
  <si>
    <t>J OCEANOGR</t>
  </si>
  <si>
    <t>J. Oceanogr.</t>
  </si>
  <si>
    <t>10.1007/s10872-013-0200-x</t>
  </si>
  <si>
    <t>259CT</t>
  </si>
  <si>
    <t>WOS:000327505700002</t>
  </si>
  <si>
    <t>Bishop, SP; Bryan, FO</t>
  </si>
  <si>
    <t>Bishop, Stuart P.; Bryan, Frank O.</t>
  </si>
  <si>
    <t>A Comparison of Mesoscale Eddy Heat Fluxes from Observations and a High-Resolution Ocean Model Simulation of the Kuroshio Extension</t>
  </si>
  <si>
    <t>ANTARCTIC CIRCUMPOLAR CURRENT; GULF-STREAM; VARIABILITY; CIRCULATION; ENERGETICS</t>
  </si>
  <si>
    <t>For the first time estimates of divergent eddy heat flux (DEHF) from a high-resolution (0.1 degrees) simulation of the Parallel Ocean Program (POP) are compared with estimates made during the Kuroshio Extension System Study (KESS). The results from POP are in good agreement with KESS observations. POP captures the lateral and vertical structure of mean-to-eddy energy conversion rates, which range from 2 to 10 cm(2) s(-3). The dynamical mechanism of vertical coupling between the deep and upper ocean is the process responsible for DEHFs in POP and is in accordance with baroclinic instability observed in the Gulf Stream and Kuroshio Extension. Meridional eddy heat transport values are similar to 14% larger in POP at its maximum value. This is likely due to the more zonal path configuration in POP. The results from this study suggest that HR POP is a useful tool for estimating eddy statistics in the Kuroshio Extension region, and thereby provide guidance in the formulation and testing of eddy mixing parameterization schemes.</t>
  </si>
  <si>
    <t>[Bishop, Stuart P.; Bryan, Frank O.] Natl Ctr Atmospher Res, Boulder, CO 80307 USA</t>
  </si>
  <si>
    <t>Bishop, SP (corresponding author), Natl Ctr Atmospher Res, POB 3000, Boulder, CO 80307 USA.</t>
  </si>
  <si>
    <t>sbishop@ucar.edu</t>
  </si>
  <si>
    <t>Bryan, Frank/I-1309-2016</t>
  </si>
  <si>
    <t>National Science Foundation (NSF); NSF [OCE02-21008, OCE08-51246]</t>
  </si>
  <si>
    <t>National Science Foundation (NSF)(National Science Foundation (NSF)); NSF(National Science Foundation (NSF))</t>
  </si>
  <si>
    <t>The authors thank Peter Gent and Justin Small for helpful comments that improved this manuscript. This work was supported under the Advanced Study Program at the National Center for Atmospheric Research (NCAR). NCAR is supported by the National Science Foundation (NSF). We also thank Randy Watts, Kathy Donohue, and Karen Tracey for their processing of the KESS data. KESS was supported by NSF Grants OCE02-21008 and OCE08-51246.</t>
  </si>
  <si>
    <t>10.1175/JPO-D-13-0150.1</t>
  </si>
  <si>
    <t>263MO</t>
  </si>
  <si>
    <t>WOS:000327812900004</t>
  </si>
  <si>
    <t>Behrendt, JC</t>
  </si>
  <si>
    <t>Behrendt, John C.</t>
  </si>
  <si>
    <t>Mobile magma under Antarctic ice</t>
  </si>
  <si>
    <t>NATURE GEOSCIENCE</t>
  </si>
  <si>
    <t>BENEATH; SHEET; VOLCANO</t>
  </si>
  <si>
    <t>[Behrendt, John C.] Univ Colorado, Inst Arctic &amp; Alpine Res, Denver, CO 80225 USA; [Behrendt, John C.] USGS, Denver, CO 80225 USA</t>
  </si>
  <si>
    <t>University of Colorado System; University of Colorado Denver; United States Department of the Interior; United States Geological Survey</t>
  </si>
  <si>
    <t>Behrendt, JC (corresponding author), Univ Colorado, Inst Arctic &amp; Alpine Res, Denver, CO 80225 USA.</t>
  </si>
  <si>
    <t>john.behrendt@colorado.edu</t>
  </si>
  <si>
    <t>75 VARICK ST, 9TH FLR, NEW YORK, NY 10013-1917 USA</t>
  </si>
  <si>
    <t>1752-0894</t>
  </si>
  <si>
    <t>1752-0908</t>
  </si>
  <si>
    <t>NAT GEOSCI</t>
  </si>
  <si>
    <t>Nat. Geosci.</t>
  </si>
  <si>
    <t>10.1038/ngeo2011</t>
  </si>
  <si>
    <t>263HW</t>
  </si>
  <si>
    <t>WOS:000327799500004</t>
  </si>
  <si>
    <t>Lough, AC; Wiens, DA; Barcheck, CG; Anandakrishnan, S; Aster, RC; Blankenship, DD; Huerta, AD; Nyblade, A; Young, DA; Wilson, TJ</t>
  </si>
  <si>
    <t>Lough, Amanda C.; Wiens, Douglas A.; Barcheck, C. Grace; Anandakrishnan, Sridhar; Aster, Richard C.; Blankenship, Donald D.; Huerta, Audrey D.; Nyblade, Andrew; Young, Duncan A.; Wilson, Terry J.</t>
  </si>
  <si>
    <t>Seismic detection of an active subglacial magmatic complex in Marie Byrd Land, Antarctica</t>
  </si>
  <si>
    <t>ICE-SHEET; BENEATH; CONSTRAINTS; VOLCANISM; SWARMS; LAYER; RIFT</t>
  </si>
  <si>
    <t>Numerous volcanoes exist in Marie Byrd Land, a highland region of West Antarctica. High heat flow through the crust in this region may influence the stability of the West Antarctic Ice Sheet(1-4). Volcanic activity progressed from north to south in the Executive Committee mountain range between the Miocene and Holocene epochs, but there has been no evidence for recent magmatic activity(5-7). Here we use a recently deployed seismic network to show that in 2010 and 2011, two swarms of seismic activity occurred at 25-40 km depth beneath subglacial topographic and magnetic highs, located 55 km south of the youngest subaerial volcano in the Executive Committee Range. We interpret the swarm events as deep long-period earthquakes based on their unusual frequency content. Such earthquakes occur beneath active volcanoes, are caused by deep magmatic activity and, in some cases, precede eruptions(8-11). We also use radar profiles to identify a prominent ash layer in the ice overlying the seismic swarm. Located at 1,400m depth, the ash layer is about 8,000 years old and was probably sourced from the nearby Mount Waesche volcano. Together, these observations provide strong evidence for ongoing magmatic activity and demonstrate that volcanism continues to migrate southwards along the Executive Committee Range. Eruptions at this site are unlikely to penetrate the 1.2 to 2-km-thick overlying ice, but would generate large volumes of melt water that could significantly affect ice stream flow.</t>
  </si>
  <si>
    <t>[Lough, Amanda C.; Wiens, Douglas A.; Barcheck, C. Grace] Washington Univ, Dept Earth &amp; Planetary Sci, St Louis, MO 63130 USA; [Barcheck, C. Grace] Univ Calif Santa Cruz, Dept Earth &amp; Planetary Sci, Santa Cruz, CA 95064 USA; [Anandakrishnan, Sridhar; Nyblade, Andrew] Penn State Univ, Dept Geosci, University Pk, PA 16802 USA; [Aster, Richard C.] New Mexico Inst Min &amp; Technol, Dept Earth &amp; Environm Sci, Socorro, NM 87801 USA; [Aster, Richard C.] Colorado State Univ, Dept Geosci, Ft Collins, CO 80523 USA; [Blankenship, Donald D.; Young, Duncan A.] Univ Texas Austin, Inst Geophys, Austin, TX 78759 USA; [Huerta, Audrey D.] Cent Washington Univ, Dept Geol Sci, Ellensburg, WA 98926 USA; [Wilson, Terry J.] Ohio State Univ, Dept Geol Sci, Columbus, OH 43210 USA</t>
  </si>
  <si>
    <t>Washington University (WUSTL); University of California System; University of California Santa Cruz; Pennsylvania Commonwealth System of Higher Education (PCSHE); Pennsylvania State University; Pennsylvania State University - University Park; New Mexico Institute of Mining Technology; Colorado State University; University of Texas System; University of Texas Austin; Central Washington University; University System of Ohio; Ohio State University</t>
  </si>
  <si>
    <t>Lough, AC (corresponding author), Washington Univ, Dept Earth &amp; Planetary Sci, St Louis, MO 63130 USA.</t>
  </si>
  <si>
    <t>alough@levee.wustl.edu</t>
  </si>
  <si>
    <t>Aster, Richard/E-5067-2013; Huerta, Audrey D/A-8680-2009; Anandakrishnan, Sridhar/JCN-5026-2023; Young, Duncan/G-6256-2010; Wiens, Douglas/J-9259-2016</t>
  </si>
  <si>
    <t>Aster, Richard/0000-0002-0821-4906; Huerta, Audrey/0000-0002-0252-8496; Young, Duncan/0000-0002-6866-8176; Wiens, Douglas/0000-0002-5169-4386</t>
  </si>
  <si>
    <t>NSF Office of Polar Programs [0632230, 0632239, 0652322, 0632335, 0632136, 0632209, 0632185, 1043761, EAR-1063471]; Incorporated Research Institutions for Seismology (IRIS) through the PASSCAL Instrument Center at New Mexico Tech; DOE National Nuclear Security Administration; Directorate For Geosciences; Office of Polar Programs (OPP) [1246776, 0632239, 1249631, 0632209, 1246666, 1043761, 0632185] Funding Source: National Science Foundation; Office of Polar Programs (OPP); Directorate For Geosciences [0632136, 1246712, 0632335] Funding Source: National Science Foundation</t>
  </si>
  <si>
    <t>NSF Office of Polar Programs(National Science Foundation (NSF)); Incorporated Research Institutions for Seismology (IRIS) through the PASSCAL Instrument Center at New Mexico Tech; DOE National Nuclear Security Administration(National Nuclear Security AdministrationUnited States Department of Energy (DOE)); Directorate For Geosciences; Office of Polar Programs (OPP)(National Science Foundation (NSF)NSF - Directorate for Geosciences (GEO)); Office of Polar Programs (OPP); Directorate For Geosciences(National Science Foundation (NSF)NSF - Directorate for Geosciences (GEO))</t>
  </si>
  <si>
    <t>POLENET-Antarctica is supported by NSF Office of Polar Programs grant numbers 0632230, 0632239, 0652322, 0632335, 0632136, 0632209 and 0632185. GIMBLE is supported by NSF grant 1043761. Seismic instrumentation provided and supported by the Incorporated Research Institutions for Seismology (IRIS) through the PASSCAL Instrument Center at New Mexico Tech. Seismic data are available through the IRIS Data Management Center. The facilities of the IRIS Consortium are supported by the NSF under Cooperative Agreement EAR-1063471, the NSF Office of Polar Programs and the DOE National Nuclear Security Administration. This is UTIG contribution 2589.</t>
  </si>
  <si>
    <t>10.1038/NGEO1992</t>
  </si>
  <si>
    <t>WOS:000327799500016</t>
  </si>
  <si>
    <t>Abernathey, R; Ferreira, D; Klocker, A</t>
  </si>
  <si>
    <t>Abernathey, Ryan; Ferreira, David; Klocker, Andreas</t>
  </si>
  <si>
    <t>Diagnostics of isopycnal mixing in a circumpolar channel</t>
  </si>
  <si>
    <t>OCEAN MODELLING</t>
  </si>
  <si>
    <t>Mesoscale eddies; Eddy diffusivity; Isopycnal mixing; Antarctic Circumpolar Current</t>
  </si>
  <si>
    <t>MERIDIONAL OVERTURNING CIRCULATION; EDDY DIFFUSIVITY; SOUTHERN-OCEAN; GENERAL-CIRCULATION; TRANSPORT CHARACTERISTICS; POTENTIAL VORTICITY; MIXED-LAYER; TRACER; FLUXES; PARAMETERIZATION</t>
  </si>
  <si>
    <t>Mesoscale eddies mix tracers along isopycnals and horizontally at the sea surface. This paper compares different methods of diagnosing eddy mixing rates in an idealized, eddy-resolving model of a channel flow meant to resemble the Antarctic Circumpolar Current. The first set of methods, the perfect'' diagnostics, are techniques suitable only to numerical models, in which detailed synoptic data is available. The perfect diagnostic include flux-gradient diffusivities of buoyancy, QGPV, and Ertel PV; Nakamura effective diffusivity; and the four-element diffusivity tensor calculated from an ensemble of passive tracers. These diagnostics reveal a consistent picture of isopycnal mixing by eddies, with a pronounced maximum near 1000 m depth. The isopycnal diffusivity differs from the buoyancy diffusivity, a.k.a. the Gent-McWilliams transfer coefficient, which is weaker and peaks near the surface and bottom. The second set of methods are observationally practical'' diagnostics. They involve monitoring the spreading of tracers or Lagrangian particles in ways that are plausible in the field. We show how, with sufficient ensemble size, the practical diagnostics agree with the perfect diagnostics in an average sense. Some implications for eddy parameterization are discussed. (C) 2013 Elsevier Ltd. All rights reserved.</t>
  </si>
  <si>
    <t>[Abernathey, Ryan] Univ Calif San Diego, Scripps Inst Oceanog, La Jolla, CA 92093 USA; [Ferreira, David] MIT, Cambridge, MA 02139 USA; [Klocker, Andreas] Australian Natl Univ, Acton, ACT 0200, Australia; [Klocker, Andreas] Australian Res Council, Ctr Excellence Climate Syst Sci, Canberra, ACT, Australia</t>
  </si>
  <si>
    <t>University of California System; University of California San Diego; Scripps Institution of Oceanography; Massachusetts Institute of Technology (MIT); Australian National University</t>
  </si>
  <si>
    <t>Abernathey, R (corresponding author), Lamont Doherty Earth Observ, 61 Route 9W,POB 1000, Palisades, NY 10964 USA.</t>
  </si>
  <si>
    <t>rpa@ldeo.columbia.edu</t>
  </si>
  <si>
    <t>Ferreira, David/JJD-6133-2023; Ferreira, David/JNR-2354-2023; Klocker, Andreas/E-4632-2011</t>
  </si>
  <si>
    <t>Abernathey, Ryan/0000-0001-5999-4917; Klocker, Andreas/0000-0002-2038-7922; Ferreira, David/0000-0003-3243-9774</t>
  </si>
  <si>
    <t>Direct For Computer &amp; Info Scie &amp; Enginr; Office of Advanced Cyberinfrastructure (OAC) [0904338] Funding Source: National Science Foundation</t>
  </si>
  <si>
    <t>Direct For Computer &amp; Info Scie &amp; Enginr; Office of Advanced Cyberinfrastructure (OAC)(National Science Foundation (NSF)NSF - Directorate for Computer &amp; Information Science &amp; Engineering (CISE))</t>
  </si>
  <si>
    <t>1463-5003</t>
  </si>
  <si>
    <t>1463-5011</t>
  </si>
  <si>
    <t>OCEAN MODEL</t>
  </si>
  <si>
    <t>Ocean Model.</t>
  </si>
  <si>
    <t>10.1016/j.ocemod.2013.07.004</t>
  </si>
  <si>
    <t>258UN</t>
  </si>
  <si>
    <t>WOS:000327484300001</t>
  </si>
  <si>
    <t>van Putten, IE; Jennings, S; Frusher, S; Gardner, C; Haward, M; Hobday, AJ; Nursey-Bray, M; Pecl, G; Punt, A; Revill, H</t>
  </si>
  <si>
    <t>van Putten, Ingrid E.; Jennings, Sarah; Frusher, Stewart; Gardner, Caleb; Haward, Marcus; Hobday, Alistair J.; Nursey-Bray, Melissa; Pecl, Gretta; Punt, Andr; Revill, Hilary</t>
  </si>
  <si>
    <t>Building blocks of economic resilience to climate change: a south east Australian fisheries example</t>
  </si>
  <si>
    <t>REGIONAL ENVIRONMENTAL CHANGE</t>
  </si>
  <si>
    <t>Climate change; Economic resilience; Rock lobster fishery; Social-ecological system; Adaptation</t>
  </si>
  <si>
    <t>LOBSTER JASUS-EDWARDSII; ROCK LOBSTER; VULNERABILITY; MANAGEMENT; ADAPTATION; MARINE; SECTOR; GROWTH; SIZE</t>
  </si>
  <si>
    <t>Climate change will impact on ecological, social, and economic elements of fisheries; however, the three are seldom considered in an integrated fashion. We develop a fishery-level assessment of economic resilience to climate change for the Tasmanian rock lobster fishery, a linked social-ecological system. We outline the main climate change forcing influences that link climate change to the fishery via changes in lobster abundance, distribution, and phenology. Using a bottom-up approach, we identify twelve economic attributes strongly related to the fisheries' economic resilience to climate change. Resilience attributes are grouped according to the level of the economic domain (business, sectoral, and governance). Attributes are then evaluated to determine the overall economic resilience of the rock lobster fishery in the context of the specific nature of predicted climate change effects. We identify areas of low resilience in the economic sub-system for this fishery. Evaluating the economic resilience of regional fisheries using this integrated, interdisciplinary framework provides a practical, parsimonious, and conceptually sound basis for undertaking comprehensive and contextually tailored assessments of climate change impacts and economic vulnerability. The framework can be extended to include a broader range of climate change impacts and the social domain of the human sub-system.</t>
  </si>
  <si>
    <t>[van Putten, Ingrid E.] CSIRO Marine &amp; Atmospher Res, Wealth Oceans Flagship, Hobart, Tas, Australia; [van Putten, Ingrid E.; Frusher, Stewart; Gardner, Caleb; Haward, Marcus; Pecl, Gretta] Univ Tasmania, Inst Marine &amp; Antarctic Studies, Hobart, Tas, Australia; [van Putten, Ingrid E.; Jennings, Sarah; Frusher, Stewart; Haward, Marcus; Hobday, Alistair J.; Nursey-Bray, Melissa; Pecl, Gretta] Adaptat Res Network Marine Biodivers &amp; Resources, Hobart, Tas, Australia; [Jennings, Sarah] Univ Tasmania, Sch Econ &amp; Finance, Hobart, Tas, Australia; [Hobday, Alistair J.] CSIRO Marine &amp; Atmospher Res, Climate Adaptat Flagship, Hobart, Tas, Australia; [Nursey-Bray, Melissa] Univ Adelaide, Dept Geog Environm &amp; Populat, Adelaide, SA, Australia; [Punt, Andr] Univ Washington, Sch Aquat &amp; Fishery Sci, Seattle, WA 98195 USA; [Revill, Hilary] Tasmanian Dept Primary Ind &amp; Water, Wild Fisheries Management Branch, Hobart, Tas, Australia</t>
  </si>
  <si>
    <t>Commonwealth Scientific &amp; Industrial Research Organisation (CSIRO); University of Tasmania; University of Tasmania; Commonwealth Scientific &amp; Industrial Research Organisation (CSIRO); University of Adelaide; University of Washington; University of Washington Seattle</t>
  </si>
  <si>
    <t>van Putten, IE (corresponding author), CSIRO Marine &amp; Atmospher Res, Wealth Oceans Flagship, Hobart, Tas, Australia.</t>
  </si>
  <si>
    <t>ingrid.vanputten@csiro.au</t>
  </si>
  <si>
    <t>Nursey-Bray, Melissa/J-8183-2019; Hobday, Alistair/A-1460-2012; Mokhtara, Charafeddine/ACV-5174-2022; van putten, ingrid/AAV-1301-2021; Pecl, Gretta/D-7267-2011; Frusher, Stewart/G-5117-2014; Haward, Marcus/G-3369-2014; Jennings, Sarah/J-7888-2014; Gardner, Caleb/I-7086-2013</t>
  </si>
  <si>
    <t>Mokhtara, Charafeddine/0000-0002-4643-3798; van putten, ingrid/0000-0001-8397-9768; Pecl, Gretta/0000-0003-0192-4339; Nursey-Bray, Melissa/0000-0002-4121-5177; Frusher, Stewart/0000-0003-2493-3676; Punt, Andre/0000-0001-8489-2488; Haward, Marcus/0000-0003-4775-0864; Jennings, Sarah/0000-0002-5760-4193; Gardner, Caleb/0000-0003-0324-4337</t>
  </si>
  <si>
    <t>SPRINGER HEIDELBERG</t>
  </si>
  <si>
    <t>HEIDELBERG</t>
  </si>
  <si>
    <t>TIERGARTENSTRASSE 17, D-69121 HEIDELBERG, GERMANY</t>
  </si>
  <si>
    <t>1436-3798</t>
  </si>
  <si>
    <t>1436-378X</t>
  </si>
  <si>
    <t>REG ENVIRON CHANGE</t>
  </si>
  <si>
    <t>Reg. Envir. Chang.</t>
  </si>
  <si>
    <t>10.1007/s10113-013-0456-0</t>
  </si>
  <si>
    <t>Environmental Sciences; Environmental Studies</t>
  </si>
  <si>
    <t>259BH</t>
  </si>
  <si>
    <t>WOS:000327501900015</t>
  </si>
  <si>
    <t>Hobday, AJ</t>
  </si>
  <si>
    <t>Hobday, Alistair J.</t>
  </si>
  <si>
    <t>Antarctic Ecosystems: An Extreme Environment in a Changing World</t>
  </si>
  <si>
    <t>AUSTRAL ECOLOGY</t>
  </si>
  <si>
    <t>Book Review</t>
  </si>
  <si>
    <t>[Hobday, Alistair J.] CSIRO Marine &amp; Atmospher Res, Climate Adaptat Flagship, Hobart, Tas, Australia</t>
  </si>
  <si>
    <t>Commonwealth Scientific &amp; Industrial Research Organisation (CSIRO)</t>
  </si>
  <si>
    <t>Hobday, AJ (corresponding author), CSIRO Marine &amp; Atmospher Res, Climate Adaptat Flagship, Hobart, Tas, Australia.</t>
  </si>
  <si>
    <t>alistair.hobday@csiro.au</t>
  </si>
  <si>
    <t>1442-9985</t>
  </si>
  <si>
    <t>1442-9993</t>
  </si>
  <si>
    <t>AUSTRAL ECOL</t>
  </si>
  <si>
    <t>Austral Ecol.</t>
  </si>
  <si>
    <t>e16</t>
  </si>
  <si>
    <t>e17</t>
  </si>
  <si>
    <t>10.1111/aec.12070</t>
  </si>
  <si>
    <t>257TR</t>
  </si>
  <si>
    <t>WOS:000327410200008</t>
  </si>
  <si>
    <t>Loubser, MJ</t>
  </si>
  <si>
    <t>Loubser, Michael J.</t>
  </si>
  <si>
    <t>WEATHERING OF BASALT AND SANDSTONE BY WETTING AND DRYING: A PROCESS ISOLATION STUDY</t>
  </si>
  <si>
    <t>GEOGRAFISKA ANNALER SERIES A-PHYSICAL GEOGRAPHY</t>
  </si>
  <si>
    <t>wetting and drying; process isolation; weathering; rock degradation</t>
  </si>
  <si>
    <t>LABORATORY SIMULATION; CYCLES; ENVIRONMENT; MUDROCKS</t>
  </si>
  <si>
    <t>Rock samples from Marion Island in the Sub-Antarctic and from the Drakensberg, South Africa were divided into sets and subjected to wetting and drying at two different moisture amplitudes to determine changes in physical rock properties. The rock samples were subjected to a total of 105 wetting and drying cycles. Rock porosity and water absorption capacity was determined both at the beginning and at the end of the experiment and compared. Results varied from set to set, but not as a result of variations in moisture amplitude. Three key findings are presented. First, it seems that the number of wetting and drying cycles is a more important factor than the degree to which the samples have been saturated. Second, changes in rock properties were detected for the control samples as well as the field samples, suggesting that the experimental techniques used for determining the rock properties have themselves affected the samples. Third, samples that outwardly appeared very similar have responded differently to wetting and drying. This implies that even small changes in internal rock structure can have a profound effect on the ultimate nature of the weathering taking place.</t>
  </si>
  <si>
    <t>Univ Pretoria, Dept Geog Geoinformat &amp; Meteorol, ZA-0028 Pretoria, South Africa</t>
  </si>
  <si>
    <t>Loubser, MJ (corresponding author), Univ Pretoria, Dept Geog Geoinformat &amp; Meteorol, Geog Rm 3-10-2,Private Bag X20, ZA-0028 Pretoria, South Africa.</t>
  </si>
  <si>
    <t>michael.loubser@up.ac.za</t>
  </si>
  <si>
    <t>South African National Antarctic Programme [SNA2005061300001]; National Research Foundation Focus Area grant [FA2005040500008]</t>
  </si>
  <si>
    <t>South African National Antarctic Programme; National Research Foundation Focus Area grant</t>
  </si>
  <si>
    <t>The author would like to offer thanks to the two reviewers who assisted in refining and polishing this article. Ian Meiklejohn is thanked for providing samples of basalt and sandstone through the South African National Antarctic Programme, project SNA2005061300001, and National Research Foundation Focus Area grant FA2005040500008, respectively. The sandstone samples were additionally collected under a Heritage KwaZulu-Natal Permit 0008/06 by Ian Meiklejohn. Finally, Professor Paul Sumner is thanked for his guidance in the preparing of this experiment and the write-up thereafter.</t>
  </si>
  <si>
    <t>0435-3676</t>
  </si>
  <si>
    <t>1468-0459</t>
  </si>
  <si>
    <t>GEOGR ANN A</t>
  </si>
  <si>
    <t>Geogr. Ann. Ser. A-Phys. Geogr.</t>
  </si>
  <si>
    <t>10.1111/geoa.12023</t>
  </si>
  <si>
    <t>259VA</t>
  </si>
  <si>
    <t>WOS:000327553200004</t>
  </si>
  <si>
    <t>Smith, KL; Previdi, M; Polvani, LM</t>
  </si>
  <si>
    <t>Smith, Karen L.; Previdi, Michael; Polvani, Lorenzo M.</t>
  </si>
  <si>
    <t>The Antarctic Atmospheric Energy Budget. Part II: The Effect of Ozone Depletion and its Projected Recovery</t>
  </si>
  <si>
    <t>Antarctica; Energy transport; Ozone; Radiative fluxes; Climate models; Multidecadal variability</t>
  </si>
  <si>
    <t>SOUTHERN ANNULAR MODE; ERA-INTERIM; HEAT; SURFACE; CONSERVATION; TRANSPORTS; REANALYSIS; DATABASE; TRENDS; OCEANS</t>
  </si>
  <si>
    <t>In this study the authors continue their investigation of the atmospheric energy budget of the Antarctic polar cap (the region poleward of 70 degrees S) using integrations of the Whole Atmosphere Community Climate Model from the years 1960 to 2065. In agreement with observational data, it is found that the climatological mean net top-of-atmosphere (TOA) radiative flux is primarily balanced by the horizontal energy flux convergence over the polar cap. On interannual time scales, changes in the net TOA radiative flux are also primarily balanced by changes in the energy flux convergence, with the variability in both terms significantly correlated (positively and negatively, respectively) with the southern annular mode (SAM). On multidecadal time scales, twentieth-century stratospheric ozone depletion produces a negative trend in the net TOA radiative flux due to a decrease in the absorbed solar radiation within the atmosphere-surface column. The negative trend in the net TOA radiative flux is balanced by a positive trend in energy flux convergence, primarily in austral summer. This negative (positive) trend in the net TOA radiation (energy flux convergence) occurs despite a positive trend in the SAM, suggesting that the effects of the SAM on the energy budget are overwhelmed by the direct radiative effects of ozone depletion. In the twenty-first century, ozone recovery is expected to reverse the negative trend in the net TOA radiative flux, which would then, again, be balanced by a decrease in the energy flux convergence. Therefore, over the next several decades, ozone recovery will, in all likelihood, mask the effect of greenhouse gas warming on the Antarctic energy budget.</t>
  </si>
  <si>
    <t>[Smith, Karen L.; Previdi, Michael] Lamont Doherty Earth Observ, Palisades, NY 10964 USA; [Polvani, Lorenzo M.] Columbia Univ, Dept Earth &amp; Environm Sci, Dept Appl Phys &amp; Math, New York, NY USA</t>
  </si>
  <si>
    <t>Columbia University; Columbia University</t>
  </si>
  <si>
    <t>Smith, KL (corresponding author), Lamont Doherty Earth Observ, 207B Oceanog,61 Route 9W,POB 1000, Palisades, NY 10964 USA.</t>
  </si>
  <si>
    <t>ksmith@ldeo.columbia.edu</t>
  </si>
  <si>
    <t>Polvani, Lorenzo M/E-5949-2011; Keyes, Dennis/AAZ-9285-2021</t>
  </si>
  <si>
    <t>Smith, Karen/0000-0002-4652-6310</t>
  </si>
  <si>
    <t>NSF Antarctic Sciences Program [ANT-09-44063]; National Science Foundation (NSF); Office of Science (BER) of the U.S. Department of Energy; U.S. NSF; Office of Polar Programs (OPP); Directorate For Geosciences [0944063] Funding Source: National Science Foundation</t>
  </si>
  <si>
    <t>NSF Antarctic Sciences Program; National Science Foundation (NSF)(National Science Foundation (NSF)); Office of Science (BER) of the U.S. Department of Energy(United States Department of Energy (DOE)); U.S. NSF(National Science Foundation (NSF)); Office of Polar Programs (OPP); Directorate For Geosciences(National Science Foundation (NSF)NSF - Directorate for Geosciences (GEO))</t>
  </si>
  <si>
    <t>The authors would like to gratefully acknowledge the NSF Antarctic Sciences Program, ANT-09-44063. The CESM Project is supported by the National Science Foundation (NSF) and the Office of Science (BER) of the U.S. Department of Energy. All model integrations were performed at the National Center for Atmospheric Research (NCAR), which is sponsored by the U.S. NSF. We thank Dan Marsh, Mike Mills, and Doug Kinnison at NCAR for their assistance with the model integrations.</t>
  </si>
  <si>
    <t>10.1175/JCLI-D-13-00173.1</t>
  </si>
  <si>
    <t>259YH</t>
  </si>
  <si>
    <t>WOS:000327561700001</t>
  </si>
  <si>
    <t>Noren, DP; Budge, SM; Iverson, SJ; Goebel, ME; Costa, DP; Williams, TM</t>
  </si>
  <si>
    <t>Noren, Dawn P.; Budge, Suzanne M.; Iverson, Sara J.; Goebel, Michael E.; Costa, Daniel P.; Williams, Terrie M.</t>
  </si>
  <si>
    <t>Characterization of blubber fatty acid signatures in northern elephant seals (Mirounga angustirostris) over the postweaning fast</t>
  </si>
  <si>
    <t>JOURNAL OF COMPARATIVE PHYSIOLOGY B-BIOCHEMICAL SYSTEMS AND ENVIRONMENTAL PHYSIOLOGY</t>
  </si>
  <si>
    <t>Blubber; Catabolism; Fasting; Fatty acid; Marine mammal; Mobilization</t>
  </si>
  <si>
    <t>SELECTIVE MOBILIZATION; ADIPOSE-TISSUE; DIFFERENTIAL MOBILIZATION; WEDDELL SEALS; RACCOON DOG; PUPS; STRATIFICATION; METABOLISM; LEONINA; DIET</t>
  </si>
  <si>
    <t>Phocids routinely fast for extended periods. During these fasts, energetic requirements are met primarily through the catabolism of blubber lipid. To assess whether fatty acid (FA) composition changes during the postweaning fast in northern elephant seals, blubber biopsies were acquired longitudinally from 43 pups at 2.3 +/- A 1.5 and 55.2 +/- A 3.7 days postweaning in 1999 and 2000. At weaning, short-chain monounsaturated FA (SC-MUFA, a parts per thousand currency sign18 carbons) dominated the blubber while saturated FA (SFA) were found in the next highest proportion. The major FA (all a parts per thousand yen1 % by mass) comprised approximately 91 % of total blubber FA. In both years, 18:1n-9 and 16:0 were the most prevalent FA. Major FA mobilized during the fast consisted of polyunsaturated FA (PUFA), SFA, and SC-MUFA. Long-chain MUFA (&gt; 18 carbons) tended to be conserved. The fractional mobilization value of 20:5n-3 was the highest, resulting in significant reductions of this PUFA. Although concentrations of some blubber FA changed significantly during the postweaning fast, the general FA signature of blubber was similar at weaning and near the end of the fast. Changes in some FA differed across years. For example, the concentration of 20:4n-6, a minor PUFA, was significantly reduced in 1999 but not in 2000. FA mobilization patterns in northern elephant seal pups are somewhat similar to those reported previously for other fasting phocids and terrestrial mammals, though there are some notable differences. Differences in FA mobilization patterns across mammalian species may be related to differences in diets, geographical distribution, environmental factors, physiological adaptations, and life history stage.</t>
  </si>
  <si>
    <t>[Noren, Dawn P.; Costa, Daniel P.; Williams, Terrie M.] Univ Calif Santa Cruz, Dept Ecol &amp; Evolutionary Biol, Santa Cruz, CA 95064 USA; [Noren, Dawn P.] Natl Ocean &amp; Atmospher Adm, Conservat Biol Div, NOAA NMFS Northwest Fisheries Sci Ctr, Natl Marine Fisheries Serv, Seattle, WA 98117 USA; [Budge, Suzanne M.] Dalhousie Univ, Canadian Inst Fisheries Technol, Halifax, NS B3J 2X4, Canada; [Iverson, Sara J.] Dalhousie Univ, Dept Biol, Halifax, NS B3H 4J1, Canada; [Goebel, Michael E.] Natl Ocean &amp; Atmospher Adm, Antarctic Ecosyst Res Div, Southwest Fisheries Sci Ctr, Natl Marine Fisheries Serv, La Jolla, CA 92038 USA</t>
  </si>
  <si>
    <t>University of California System; University of California Santa Cruz; National Oceanic Atmospheric Admin (NOAA) - USA; Dalhousie University; Dalhousie University; National Oceanic Atmospheric Admin (NOAA) - USA</t>
  </si>
  <si>
    <t>Noren, DP (corresponding author), Natl Ocean &amp; Atmospher Adm, Conservat Biol Div, NOAA NMFS Northwest Fisheries Sci Ctr, Natl Marine Fisheries Serv, 2725 Montlake Blvd East, Seattle, WA 98117 USA.</t>
  </si>
  <si>
    <t>dawn.noren@noaa.gov</t>
  </si>
  <si>
    <t>Carlos, Universidade Federal de São/W-8832-2019; Costa, Daniel Paul/E-2616-2013</t>
  </si>
  <si>
    <t>Carlos, Universidade Federal de São/0000-0002-0334-3899; Noren, Dawn/0000-0002-9544-4530; Costa, Daniel Paul/0000-0002-0233-5782; Budge, Suzanne/0000-0003-4984-7344; Iverson, Sara/0000-0003-2842-4094</t>
  </si>
  <si>
    <t>American Museum of Natural History; Friends of Long Marine Laboratory; University of California Natural Reserve System; National Science Foundation [OPP-9909862, OPP-9500072]; Natural Sciences and Engineering Research council (NSERC) of Canada; NSF [9730462]; Division Of Research On Learning; Direct For Education and Human Resources [9730462] Funding Source: National Science Foundation</t>
  </si>
  <si>
    <t>American Museum of Natural History; Friends of Long Marine Laboratory; University of California Natural Reserve System; National Science Foundation(National Science Foundation (NSF)); Natural Sciences and Engineering Research council (NSERC) of Canada(Natural Sciences and Engineering Research Council of Canada (NSERC)); NSF(National Science Foundation (NSF)); Division Of Research On Learning; Direct For Education and Human Resources(National Science Foundation (NSF)NSF - Directorate for STEM Education (EDU))</t>
  </si>
  <si>
    <t>D. Crocker, P. Webb, S. Hayes, J. Burns, and many graduate and undergraduate students provided assistance in the field. The rangers and staff at Ano Nuevo State Reserve, California State Park were invaluable to the completion of the project. J. Pettinger and A. Banks provided assistance in the laboratory at the University of California, Santa Cruz; and S. Lang, C. Beck and others provided assistance in the laboratory at Dalhousie University, Halifax, Nova Scotia. This project was supported by grants to D. P. Noren from the American Museum of Natural History (Lerner-Gray Fund for Marine Research), Friends of Long Marine Laboratory, and University of California Natural Reserve System (Mildred E. Mathias Graduate Student Research Grant). Further support was provided by National Science Foundation grants to T. M. Williams (OPP-9909862) and to D. P. Costa and M. E. Goebel (OPP-9500072). Grants to S. J. Iverson through the Natural Sciences and Engineering Research council (NSERC) of Canada provided additional support. D. P. Noren was supported in part by NSF grant 9730462 to H. Kibak and D. P. Costa and by a Graduate Assistance in Areas of National Need Fellowship, Dept. of Ecology and Evolutionary Biology, University of California, Santa Cruz (UCSC). A portion of this work was performed while D. P. Noren was a National Research Council Postdoctoral Research Associate at the National Marine Mammal Laboratory, Alaska Fisheries Science Center, National Marine Fisheries Service, National Oceanic and Atmospheric Administration, Seattle, Washington. All procedures comply with the current laws of the United States of America. Research was approved by the Chancellor's Animal Research Committee (UCSC) and conducted under U. S. National Marine Fisheries Service permit 836. Two anonymous reviewers provided constructive comments on the manuscript.</t>
  </si>
  <si>
    <t>0174-1578</t>
  </si>
  <si>
    <t>1432-136X</t>
  </si>
  <si>
    <t>J COMP PHYSIOL B</t>
  </si>
  <si>
    <t>J. Comp. Physiol. B-Biochem. Syst. Environ. Physiol.</t>
  </si>
  <si>
    <t>10.1007/s00360-013-0773-0</t>
  </si>
  <si>
    <t>Physiology; Zoology</t>
  </si>
  <si>
    <t>257SJ</t>
  </si>
  <si>
    <t>WOS:000327406200006</t>
  </si>
  <si>
    <t>Wang, QF; Hou, YH; Qu, JJ; Hong, YY; Lin, YF; Han, X</t>
  </si>
  <si>
    <t>Wang, Quanfu; Hou, Yanhua; Qu, Junjie; Hong, Yanyan; Lin, Yifei; Han, Xiao</t>
  </si>
  <si>
    <t>Molecular cloning, expression, purification and characterization of thioredoxin from Antarctic sea-ice bacteria Pseudoalteromonas sp AN178</t>
  </si>
  <si>
    <t>MOLECULAR BIOLOGY REPORTS</t>
  </si>
  <si>
    <t>Cloning; Thioredoxin; Pseudoalteromonas sp.; Sea-ice; Antarctic</t>
  </si>
  <si>
    <t>OXIDATIVE STRESS; TEMPERATURE; REDUCTASE; SYSTEM</t>
  </si>
  <si>
    <t>Thioredoxin (Trx) is a highly conserved and multi-functional protein that plays a pivotal role in maintaining the redox state of the cell and in protecting the cell against oxidative stress. Trx gene from Antarctic sea-ice bacteria Pseudoalteromonas sp. AN178 was cloned and expressed as soluble protein in Escherichia coli (designated as PsTrx). Trx gene consisted of an open reading frame of 324-bp nucleotides encoding a protein of 108 amino acids with a calculated molecular mass of 11.88 kDa. The deduced protein included the conserved Cys-Gly-Pro-Cys active-site sequence. After purification by a single step Ni-NTA affinity chromatography, recombinant PsTrx with a high specific activity of 96.67 U/mg was obtained. The purified PsTrx had an optimal temperature and pH of 25 A degrees C and 7.0, respectively, and showed about 55 % of the residual catalytic activity even at 0-10 A degrees C. It had high tolerance to a wide range of NaCl concentrations (0-2 M NaCl) and was stable in the presence of H2O2. This research suggested that PsTrx displayed unique catalytic properties.</t>
  </si>
  <si>
    <t>[Wang, Quanfu; Hou, Yanhua; Qu, Junjie; Hong, Yanyan; Lin, Yifei; Han, Xiao] Harbin Inst Technol, Sch Marine &amp; Technol, Weihai 264209, Peoples R China</t>
  </si>
  <si>
    <t>Harbin Institute of Technology</t>
  </si>
  <si>
    <t>Hou, YH (corresponding author), Harbin Inst Technol, Sch Marine &amp; Technol, Weihai 264209, Peoples R China.</t>
  </si>
  <si>
    <t>marry7718@163.com</t>
  </si>
  <si>
    <t>瞿俊杰, WWOX/ISU-6460-2023; wang, quan fu/K-9703-2018</t>
  </si>
  <si>
    <t>wang, quan fu/0000-0002-3885-5464</t>
  </si>
  <si>
    <t>National Natural Science Foundation of China [31100037]; Natural Science Foundation of Shandong Province [ZR2009DQ023, ZR2011CM003]; Natural Scientific Research Innovation Foundation in Harbin Institute of Technology [HIT-NSRIF201011]</t>
  </si>
  <si>
    <t>National Natural Science Foundation of China(National Natural Science Foundation of China (NSFC)); Natural Science Foundation of Shandong Province(Natural Science Foundation of Shandong Province); Natural Scientific Research Innovation Foundation in Harbin Institute of Technology(Harbin Institute of Technology)</t>
  </si>
  <si>
    <t>This study was supported by National Natural Science Foundation of China (31100037), the Natural Science Foundation of Shandong Province (ZR2009DQ023, ZR2011CM003), and Natural Scientific Research Innovation Foundation in Harbin Institute of Technology (HIT-NSRIF201011).</t>
  </si>
  <si>
    <t>0301-4851</t>
  </si>
  <si>
    <t>1573-4978</t>
  </si>
  <si>
    <t>MOL BIOL REP</t>
  </si>
  <si>
    <t>Mol. Biol. Rep.</t>
  </si>
  <si>
    <t>10.1007/s11033-013-2771-4</t>
  </si>
  <si>
    <t>257SS</t>
  </si>
  <si>
    <t>WOS:000327407300007</t>
  </si>
  <si>
    <t>González-Acuña, D; Hernández, J; Moreno, L; Herrmann, B; Palma, R; Latorre, A; Medina-Vogel, G; Kinsella, MJ; Martin, N; Araya, K; Torres, I; Fernandez, N; Olsen, B</t>
  </si>
  <si>
    <t>Gonzalez-Acuna, Daniel; Hernandez, Jorge; Moreno, Lucila; Herrmann, Bjorn; Palma, Ricardo; Latorre, Alejandra; Medina-Vogel, Gonzalo; Kinsella, Mike J.; Martin, Nicolas; Araya, Karolina; Torres, Ivan; Fernandez, Nicolas; Olsen, Bjorn</t>
  </si>
  <si>
    <t>Health evaluation of wild gentoo penguins (Pygoscelis papua) in the Antarctic Peninsula</t>
  </si>
  <si>
    <t>Health; Gentoo penguins; Antarctica; Pathogens; Endoparasites; Ectoparasites</t>
  </si>
  <si>
    <t>IXODES-URIAE; EUDYPTES-CHRYSOLOPHUS; CAMPYLOBACTER-JEJUNI; INFECTIOUS-DISEASES; BODY CONDITION; AVIAN MALARIA; SEABIRD TICK; BIRD-ISLAND; FILARIOIDEA; HEMATOZOA</t>
  </si>
  <si>
    <t>Historically wildlife conservation was based on habitat protection and exploitation control. Only recently have diseases been considered an important issue. However, pathogens are usually described during or after disease outbreaks, but to determine which pathogens may be emerging, surveys of wildlife health are critical in a given time. This study deals with the health status of gentoo penguins Pygoscelis papua in two localities at the Antarctica Peninsula and one at Ardley Island off the South Shetland Islands. Cloacal swaps, fresh fecal samples, ectoparasites, and blood smears were collected. We examined and dissected 14 penguin corpses found dead. Fecal samples were positive for Campylobacter, Escherichia coli and in the carcasses four endoparasitic species were found: Diphyllobothrium sp. and Parorchites zederi, Corynosoma shackletoni and Stegophorus adeliae. The tick Ixodes uriae occurred in five of the examined penguins, and the louse Austrogoniodes gressitti on six birds. From the colony grounds, we collected 1,184 I. uriae. We recorded antibiotic-resistant bacteria, such as E. coli, in ecosystems where gentoo penguins breed. Cloacal samples (300) were negative for Chlamydia, as well as for Salmonella, Campylobacter, E. coli, Newcastle and Influenza viruses.</t>
  </si>
  <si>
    <t>[Gonzalez-Acuna, Daniel; Latorre, Alejandra; Martin, Nicolas; Araya, Karolina; Torres, Ivan; Fernandez, Nicolas] Univ Concepcion, Fac Ciencias Vet, Chillan, Chile; [Hernandez, Jorge; Olsen, Bjorn] Linnaeus Univ, Sect Zoonot Ecol &amp; Epidemiol, S-39182 Kalmar, Sweden; [Moreno, Lucila] Univ Concepcion, Fac Ciencias Nat &amp; Oceanog, Concepcion, Chile; [Herrmann, Bjorn] Uppsala Univ, Sect Clin Bacteriol, Dept Med Sci, S-75185 Uppsala, Sweden; [Palma, Ricardo] Museum New Zealand Te Papa Tongarewa, Wellington, New Zealand; [Medina-Vogel, Gonzalo] Univ Andres Bello, Fac Ecol &amp; Recursos Nat, Santiago, Chile; [Kinsella, Mike J.] Helm West Lab, Missoula, MT 59801 USA; [Olsen, Bjorn] Uppsala Univ, Infect Dis Sect, Dept Med Sci, S-75185 Uppsala, Sweden</t>
  </si>
  <si>
    <t>Universidad de Concepcion; Linnaeus University; Universidad de Concepcion; Uppsala University; Universidad Andres Bello; Uppsala University</t>
  </si>
  <si>
    <t>González-Acuña, D (corresponding author), Univ Concepcion, Fac Ciencias Vet, Av Vicente Mendez 595,Casilla 537, Chillan, Chile.</t>
  </si>
  <si>
    <t>danigonz@udec.cl</t>
  </si>
  <si>
    <t>Moreno Salas, Lucila/HTR-5576-2023</t>
  </si>
  <si>
    <t>Moreno Salas, Lucila/0000-0003-3159-4916; Medina-Vogel, Gonzalo/0000-0002-1579-9463; Olsen, Bjorn/0000-0002-4646-691X</t>
  </si>
  <si>
    <t>Instituto Antartico Chileno [INACH T-27-10]</t>
  </si>
  <si>
    <t>The authors would like to thank the Instituto Antartico Chileno for financing the research project INACH T-27-10: The common seabird tick Ixodes uriae White, 1852 as vector of pathogenic virus, bacteria and protozoa to penguins of the Antarctic environment, which made this study possible. Also, we thank the staff of the Chilean Antarctic bases Bernardo O'Higgins and Gabriel Gonzalez Videla for their help and assistance during our field work. We are grateful to Diane Haughney for her improvement of the English text and to Juan Pablo Villarroel providing figure 1.</t>
  </si>
  <si>
    <t>10.1007/s00300-013-1394-5</t>
  </si>
  <si>
    <t>257OG</t>
  </si>
  <si>
    <t>WOS:000327393700004</t>
  </si>
  <si>
    <t>Rautenberger, R; Wiencke, C; Bischof, K</t>
  </si>
  <si>
    <t>Rautenberger, Ralf; Wiencke, Christian; Bischof, Kai</t>
  </si>
  <si>
    <t>Acclimation to UV radiation and antioxidative defence in the endemic Antarctic brown macroalga Desmarestia anceps along a depth gradient</t>
  </si>
  <si>
    <t>Desmarestia anceps; Superoxide dismutase; Antarctica; Photosynthesis; UV radiation; Oxidative stress</t>
  </si>
  <si>
    <t>KING-GEORGE ISLAND; HIGH LIGHT STRESS; ULTRAVIOLET-RADIATION; SUPEROXIDE-DISMUTASE; ARCTIC FJORD; POTTER COVE; ECOPHYSIOLOGICAL PATTERNS; PHOTOSYNTHETIC RESPONSES; SEASONAL-VARIATION; MARINE MACROALGAE</t>
  </si>
  <si>
    <t>The endemic Antarctic brown macroalga Desmarestia anceps colonizes the subtidal between 5 and 30 m in Potter Cove on King George Island (South Shetland Islands, Antarctica). Experiments were conducted to study photosynthetic activities, antioxidative enzymes and UV tolerance of field-grown individuals with respect to the light histories along different subtidal positions. Individuals collected from the upper (5.5 m) and mid-subtidal (9.0 m) are characterized by high maximum electron transport rates (ETRmax) measured by PAM-fluorometry and high activities of superoxide dismutase (SOD) supported by considerable activities of glutathione reductase. Individuals of this species from the upper subtidal are able to tolerate high irradiances of UV-B radiation because its photosynthetic apparatus is putatively well protected by phlorotannins. In contrast, individuals from lower subtidal positions (13.5 and 15.5 m) showed an opposite trend: lower ETRmax and SOD activities as well as a lower UV tolerance of photosynthesis. Moreover, a non-denaturing polyacrylamide gel electrophoresis (native PAGE) of a partially purified crude extract reveals that D. anceps has probably six isoforms of SOD. These intra-specific patterns imply a high phenotypical plasticity of D. anceps with respect to its photosynthesis and photoprotective mechanisms. Overall, photosynthesis, UV tolerance and antioxidative potential are highly regulated in D. anceps corresponding to the respective light regimes along its natural growth sites.</t>
  </si>
  <si>
    <t>[Rautenberger, Ralf] Univ Kiel, Inst Polar Ecol, D-24148 Kiel, Germany; [Rautenberger, Ralf] Univ Otago, Dept Bot, Dunedin 9016, New Zealand; [Wiencke, Christian] Alfred Wegener Inst Polar &amp; Marine Res, Dept Seaweed Biol, Sect Funct Ecol, D-27570 Bremerhaven, Germany; [Bischof, Kai] Univ Bremen, Dept Marine Bot, Fac Biol &amp; Chem, D-28359 Bremen, Germany</t>
  </si>
  <si>
    <t>University of Kiel; University of Otago; Helmholtz Association; Alfred Wegener Institute, Helmholtz Centre for Polar &amp; Marine Research; University of Bremen</t>
  </si>
  <si>
    <t>Rautenberger, R (corresponding author), Univ Otago, Dept Bot, 464 Great King St, Dunedin 9016, New Zealand.</t>
  </si>
  <si>
    <t>ralf.rautenberger@otago.ac.nz</t>
  </si>
  <si>
    <t>Rautenberger, Ralf/AAD-2659-2020</t>
  </si>
  <si>
    <t>Rautenberger, Ralf/0000-0002-1339-2838; Bischof, Kai/0000-0002-4497-1920</t>
  </si>
  <si>
    <t>Alfred Wegener Institute for Polar and Marine Research (AWI) in Bremerhaven; Direccion Nacional del Antartico (DNA) in Buenos Aires; Deutsche Forschungsgemeinschaft [BI 772/2-1, BI 772/2-2]; Helmholtz-Gemeinschaft deutscher Forschungszentren [VH-NG-059]</t>
  </si>
  <si>
    <t>Alfred Wegener Institute for Polar and Marine Research (AWI) in Bremerhaven; Direccion Nacional del Antartico (DNA) in Buenos Aires; Deutsche Forschungsgemeinschaft(German Research Foundation (DFG)); Helmholtz-Gemeinschaft deutscher Forschungszentren(Helmholtz Association)</t>
  </si>
  <si>
    <t>The authors thank the Alfred Wegener Institute for Polar and Marine Research (AWI) in Bremerhaven and the Direccion Nacional del Antartico (DNA) in Buenos Aires for financial and logistical support to work in the Dallmann Laboratory at Carlini Station. Funding was also provided by both the Deutsche Forschungsgemeinschaft (BI 772/2-1,2) and the Helmholtz-Gemeinschaft deutscher Forschungszentren (VH-NG-059). Our studies would not have been possible without the efficient support by the scientific diving team at Carlini Station in January 2005 (Ulrich and Jana Barenbrock, Katharina Zacher). Technical assistance in the laboratory by Alice Schneider and Meri Eichner is also gratefully acknowledged.</t>
  </si>
  <si>
    <t>10.1007/s00300-013-1397-2</t>
  </si>
  <si>
    <t>WOS:000327393700006</t>
  </si>
  <si>
    <t>Rexer-Huber, K; Parker, GC; Reeves, M; Stanworth, AJ; Cuthbert, RJ</t>
  </si>
  <si>
    <t>Rexer-Huber, Kalinka; Parker, Graham C.; Reeves, Micky; Stanworth, Andrew J.; Cuthbert, Richard J.</t>
  </si>
  <si>
    <t>Winter ecology of house mice and the prospects for their eradication from Steeple Jason (Falkland Islands)</t>
  </si>
  <si>
    <t>Mus musculus; Subantarctic island; Density; Spatially-explicit capture-recapture; Body-size; Distribution</t>
  </si>
  <si>
    <t>MOUSE MUS-MUSCULUS; GOUGH ISLAND; RESPONSES; DENSITY; BIOLOGY; RATS</t>
  </si>
  <si>
    <t>Invasive house mice Mus musculus are known to impact on seabird, invertebrate and plant communities on temperate and subantarctic islands, particularly where they are the sole rodent species. Steeple Jason, in the Falkland Islands, is an island which supports globally important seabird populations as well as introduced mice. To evaluate the prospects for mouse eradication, we investigated mouse ecology and undertook bait uptake trials on Steeple Jason in late winter. Mice were present in all habitats but were most abundant in tussac Poa flabellata where they occurred at 20-35 mice ha(-1). From 58 mature perforate females, 16 % were pregnant, with litters of 4-8 pups. The first lactating female was caught at the end of August, suggesting that breeding had recently begun. Bait trials replicating an aerial eradication were undertaken on two trapping grids of 7.7 and 6.8 ha, with non-toxic pellets containing the biomarker pyranine spread at 7.5-7.7 kg ha(-1). All 447 mice captured after baiting had consumed bait. The relatively low winter density, distribution and biology of house mice on Steeple Jason are similar to those observed before other successful mice eradications, and the study indicated 100 % bait acceptance. Before an eradication attempt, we suggest investigating whether breeding ceases completely earlier in the winter and urge careful consideration of non-target species.</t>
  </si>
  <si>
    <t>[Rexer-Huber, Kalinka; Parker, Graham C.; Reeves, Micky; Stanworth, Andrew J.] Falklands Conservat, Stanley FIQQ1ZZ, Hong Kong, Peoples R China; [Rexer-Huber, Kalinka; Parker, Graham C.; Cuthbert, Richard J.] Royal Soc Protect Birds, Sandy SG19 2DL, Beds, England</t>
  </si>
  <si>
    <t>Royal Society for Protection of Birds</t>
  </si>
  <si>
    <t>Rexer-Huber, K (corresponding author), Falklands Conservat, 41 Ross Rd, Stanley FIQQ1ZZ, Hong Kong, Peoples R China.</t>
  </si>
  <si>
    <t>kalinka.rexerhuber@gmail.com</t>
  </si>
  <si>
    <t>UK Darwin Initiative [18-017]; Royal Society for the Protection of Birds; Falklands Conservation</t>
  </si>
  <si>
    <t>UK Darwin Initiative; Royal Society for the Protection of Birds; Falklands Conservation</t>
  </si>
  <si>
    <t>The project was funded by the UK Darwin Initiative (Grant 18-017), the Royal Society for the Protection of Birds and Falklands Conservation. We thank the Wildlife Conservation Society for permission to work on Steeple Jason and for providing accommodation. Thanks to Rob McGill and Mike Clarke for critical logistical support, to Robin Woods, David Galloway and Jonathan Meiburg for field assistance and to Sarah Crofts for help with mapping. We are grateful to the Government of South Georgia and the South Sandwich Islands and the Antarctic Research Trust for equipment loan, and to Murray Efford for invaluable help with analyses. James Russell and two anonymous reviewers provided helpful insight.</t>
  </si>
  <si>
    <t>10.1007/s00300-013-1398-1</t>
  </si>
  <si>
    <t>WOS:000327393700007</t>
  </si>
  <si>
    <t>Fonteneau, F; Cook, TR</t>
  </si>
  <si>
    <t>Fonteneau, Frederic; Cook, Timothee R.</t>
  </si>
  <si>
    <t>New data on gastrointestinal helminths in shags (Phalacrocorax verrucosus) at Kerguelen Archipelago</t>
  </si>
  <si>
    <t>Nematoda; Cestoda; Acanthocephala; Southern Ocean; Cormorant; Seabird</t>
  </si>
  <si>
    <t>PELICAN PELECANUS-OCCIDENTALIS; FISH-EATING BIRDS; NEMATODA ANISAKIDAE; CARBO-SINENSIS; N. SP; PARASITES; POPULATIONS; CONGENERS; CORMORANT; AVIFAUNA</t>
  </si>
  <si>
    <t>To date, the knowledge of the helminth communities of Antarctic birds is scarce or fragmented. Knowledge about diseases and parasites is crucial for understanding and managing ecosystems, particularly in isolated areas where host species are more sensitive to new diseases or parasite infections. It has been showed that variations in rate of parasitism may occur between populations of host species. Two major non-exclusive hypotheses have been proposed to explain such variability: exposure to parasitism and, perhaps more important, life history strategies of hosts. We studied the helminth community of the Kerguelen Shag Phalacrocorax verrucosus, an endemic seabird species of the Kerguelen Archipelago. We provide new data on the helminths infecting this species from partial or complete digestive tracts of two birds. Two nematodes (Contracaecum rudolphii s.l. and Ingliseria cirrohamata) were found free or attached to the wall of the proventriculus of birds, while the acanthocephalan Corynosoma sp. and the cestode species Tetrabothrius sp. occurred in the intestine of the shags. The genus Tetrabothrius is reported for the first time in Kerguelen Shags and in this area. The analysis of stomach contents from 41 live Kerguelen Shag individuals revealed infection by Contracaecum nematodes. The proportion of infected birds differed between colonies, possibly in relation to differential exposure to infected fish hosts.</t>
  </si>
  <si>
    <t>[Fonteneau, Frederic] Univ Rennes 1, UMR CNRS Ecobio, F-35042 Rennes, France; [Cook, Timothee R.] Univ Cape Town, Percy FitzPatrick Inst, DST NRF Ctr Excellence, ZA-7701 Rondebosch, South Africa; [Cook, Timothee R.] CNRS, Ctr Etud Biol Chize, UPR 1934, F-79360 Villiers En Bois, France</t>
  </si>
  <si>
    <t>Universite de Rennes; University of Cape Town; National Research Foundation - South Africa; Centre National de la Recherche Scientifique (CNRS)</t>
  </si>
  <si>
    <t>Fonteneau, F (corresponding author), Univ Rennes 1, UMR CNRS Ecobio, Campus Beaulieu,Ave Gen Leclerc, F-35042 Rennes, France.</t>
  </si>
  <si>
    <t>frederic.fonteneau@gmail.com; timothee.cook@gmail.com</t>
  </si>
  <si>
    <t>Cook, Timothee/0000-0003-2354-824X</t>
  </si>
  <si>
    <t>French Polar Institute (IPEV); Terres Australes et Antarctiques Francaises</t>
  </si>
  <si>
    <t>The authors are grateful to the French Polar Institute (IPEV) and the Terres Australes et Antarctiques Francaises for financial and logistical means in the field. Field work was approved by the institute's ethics committee and was conducted under IPEV research program number 394 (Diving Seabirds, coordinator: Charles-Andre Bost). Thanks to John Mike Kinsella for his precious assistance in the identification of parasites and to two anonymous referees to their constructive comments and suggestions.</t>
  </si>
  <si>
    <t>10.1007/s00300-013-1391-8</t>
  </si>
  <si>
    <t>WOS:000327393700012</t>
  </si>
  <si>
    <t>Moreira, E; Barrera-Oro, E; La Mesa, M</t>
  </si>
  <si>
    <t>Moreira, Eugenia; Barrera-Oro, Esteban; La Mesa, Mario</t>
  </si>
  <si>
    <t>Age validation of juvenile Notothenia rossii at Potter Cove, South Shetland Islands, using mark-recapture data</t>
  </si>
  <si>
    <t>Antarctic coastal fish; Scales-otoliths; Notothenioidei</t>
  </si>
  <si>
    <t>TOOTHFISH DISSOSTICHUS-MAWSONI; GROWTH; FISH; BIOLOGY</t>
  </si>
  <si>
    <t>Among all validation methods of age determination in fish, release of known age and marked specimens gives the most reliable information. We carried out a tag-recapture experiment on Notothenia rossii at Potter Cove, to validate, for first time for this species using this method, the principle of annual deposition of an annulus in scales and otoliths. Of 132 juvenile specimens (TL = 22.1-38.1 cm) tagged and released in successive years from 2004 to 2010, 7 were recaptured at the same site after periods of 1-13 months. In scales of five specimens recovered after 10-13 months, one extra annulus was laid down, exhibiting an additional winter zone of closely spaced sclerites. Consistently, the same analysis in two individuals marked and recaptured during the same summer, after 1-3 months at liberty, did not show the deposition of an additional annulus. All the fish tagged or recaptured during the experiment period (December to March) showed in their scales an edge zone of widely spaced sclerites, in agreement with the known pattern of growth in summer. Likewise, an analysis in selected specimens showed good consistency between the numbers of sclerites deposited in scales and the time of fish release. The comparative analysis between scales taken at recapture and otoliths of the same individual allowed a simultaneous counting of the annuli with complete correspondence. The growth in length of fish ranged from 0.5 to 6.1 cm, depending on the time of release.</t>
  </si>
  <si>
    <t>[Moreira, Eugenia; Barrera-Oro, Esteban] Inst Antartico Argentino, Buenos Aires, DF, Argentina; [Moreira, Eugenia; Barrera-Oro, Esteban] Consejo Nacl Invest Cient &amp; Tecn, RA-1033 Buenos Aires, DF, Argentina; [Barrera-Oro, Esteban] Museo Argentino Ciencias Nat Bernardino Rivadavia, Buenos Aires, DF, Argentina; [La Mesa, Mario] ISMAR CNR, Ist Sci Marine, I-60125 Ancona, Italy</t>
  </si>
  <si>
    <t>Instituto Antartico Argentino; Consejo Nacional de Investigaciones Cientificas y Tecnicas (CONICET); Museo Argentino de Ciencias Naturales Bernardino Rivadavia (MACN); Consiglio Nazionale delle Ricerche (CNR); Istituto di Scienze Marine (ISMAR-CNR)</t>
  </si>
  <si>
    <t>Moreira, E (corresponding author), Inst Antartico Argentino, Cerrito 1248,A1010AAZ, Buenos Aires, DF, Argentina.</t>
  </si>
  <si>
    <t>eugeniamoreira@yahoo.com.ar</t>
  </si>
  <si>
    <t>; CNR, Ismar/P-1247-2014</t>
  </si>
  <si>
    <t>MOREIRA, EUGENIA/0000-0002-3704-1696; CNR, Ismar/0000-0001-5351-1486</t>
  </si>
  <si>
    <t>10.1007/s00300-013-1392-7</t>
  </si>
  <si>
    <t>WOS:000327393700013</t>
  </si>
  <si>
    <t>Seasonal Antarctic ozone depletion</t>
  </si>
  <si>
    <t>WEATHER</t>
  </si>
  <si>
    <t>0043-1656</t>
  </si>
  <si>
    <t>1477-8696</t>
  </si>
  <si>
    <t>Weather</t>
  </si>
  <si>
    <t>258BW</t>
  </si>
  <si>
    <t>WOS:000327434400006</t>
  </si>
  <si>
    <t>White, CJ; McInnes, KL; Cechet, RP; Corney, SP; Grose, MR; Holz, GK; Katzfey, JJ; Bindoff, NL</t>
  </si>
  <si>
    <t>White, Christopher J.; McInnes, Kathleen L.; Cechet, Robert P.; Corney, Stuart P.; Grose, Michael R.; Holz, Gregory K.; Katzfey, Jack J.; Bindoff, Nathaniel L.</t>
  </si>
  <si>
    <t>On regional dynamical downscaling for the assessment and projection of temperature and precipitation extremes across Tasmania, Australia</t>
  </si>
  <si>
    <t>CLIMATE DYNAMICS</t>
  </si>
  <si>
    <t>Extremes; Climate change; Regional climate models; Observations; Projections; Australian climate</t>
  </si>
  <si>
    <t>CLIMATE-CHANGE; SIMULATIONS; INDEXES; EVENTS; TRENDS; VARIABILITY</t>
  </si>
  <si>
    <t>The ability of an ensemble of six GCMs, downscaled to a 0.1A degrees lat/lon grid using the Conformal Cubic Atmospheric Model over Tasmania, Australia, to simulate observed extreme temperature and precipitation climatologies and statewide trends is assessed for 1961-2009 using a suite of extreme indices. The downscaled simulations have high skill in reproducing extreme temperatures, with the majority of models reproducing the statewide averaged sign and magnitude of recent observed trends of increasing warm days and warm nights and decreasing frost days. The warm spell duration index is however underestimated, while variance is generally overrepresented in the extreme temperature range across most regions. The simulations show a lower level of skill in modelling the amplitude of the extreme precipitation indices such as very wet days, but simulate the observed spatial patterns and variability. In general, simulations of dry extreme precipitation indices are underestimated in dryer areas and wet extremes indices are underestimated in wetter areas. Using two SRES emissions scenarios, the simulations indicate a significant increase in warm nights compared to a slightly more moderate increase in warm days, and an increase in maximum 1- and 5-day precipitation intensities interspersed with longer consecutive dry spells across Tasmania during the twenty-first century.</t>
  </si>
  <si>
    <t>[White, Christopher J.; Corney, Stuart P.; Grose, Michael R.; Holz, Gregory K.; Bindoff, Nathaniel L.] Univ Tasmania, Antarctic Climate &amp; Ecosyst Cooperat Res Ctr, Hobart, Tas 7001, Australia; [McInnes, Kathleen L.; Katzfey, Jack J.] CSIRO Marine &amp; Atmospher Res, Ctr Australian Weather &amp; Climate Res, Aspendale, Vic 3195, Australia; [Cechet, Robert P.] Geosci Australia, Canberra, ACT 2601, Australia; [Bindoff, Nathaniel L.] Univ Tasmania, Inst Marine &amp; Antarctic Studies, Hobart, Tas 7001, Australia; [Bindoff, Nathaniel L.] CSIRO Marine &amp; Atmospher Res, Ctr Australian Weather &amp; Climate Res, Hobart, Tas 7001, Australia</t>
  </si>
  <si>
    <t>University of Tasmania; Antarctic Climate &amp; Ecosystems Cooperative Research Centre (ACE CRC); Commonwealth Scientific &amp; Industrial Research Organisation (CSIRO); Geoscience Australia; University of Tasmania; Commonwealth Scientific &amp; Industrial Research Organisation (CSIRO)</t>
  </si>
  <si>
    <t>White, CJ (corresponding author), Univ Tasmania, Antarctic Climate &amp; Ecosyst Cooperat Res Ctr, Private Bag 80, Hobart, Tas 7001, Australia.</t>
  </si>
  <si>
    <t>Chris.White@acecrc.org.au</t>
  </si>
  <si>
    <t>Bindoff, Nathaniel Lee/IVV-0333-2023; Katzfey, Jack/AAQ-9845-2020; Grose, Michael/AAV-1119-2021; Bindoff, Nathaniel Lee/C-8050-2011; Katzfey, Jack J/K-1231-2012; McInnes, Kathleen/A-7787-2012</t>
  </si>
  <si>
    <t>Bindoff, Nathaniel Lee/0000-0001-5662-9519; Bindoff, Nathaniel Lee/0000-0001-5662-9519; Katzfey, Jack J/0000-0002-0604-8860; McInnes, Kathleen/0000-0002-1810-7215</t>
  </si>
  <si>
    <t>Australian Government's Cooperative Research Centres Program through the Antarctic Climate and Ecosystems Cooperative Research Centre (ACE CRC)</t>
  </si>
  <si>
    <t>Australian Government's Cooperative Research Centres Program through the Antarctic Climate and Ecosystems Cooperative Research Centre (ACE CRC)(Australian GovernmentDepartment of Industry, Innovation and ScienceCooperative Research Centres (CRC) Programme)</t>
  </si>
  <si>
    <t>The authors would like to acknowledge JL McGregor (CAWCR, CSIRO) for providing the CCAM model and assisting in the running of the regional simulations, and WF Budd (University of Tasmania) for advice in the development of the scientific approach. Many thanks to JC Bennett (CSIRO) and MJ Pook (CAWCR, CSIRO) for comments and suggestions during the drafting of this manuscript, SE Perkins (University of New South Wales) for advice with the PDF skill scores and S Foster (CSIRO) for help with the trend calculations. Thanks also to LV Alexander (University of New South Wales), JM Arblaster (CAWCR, Bureau of Meteorology), and P Fox-Hughes and I Barnes-Keoghan (both Bureau of Meteorology) for their advice during the Climate Futures for Tasmania project, and to two anonymous reviewers for their highly constructive and insightful comments. This work was supported by the Australian Government's Cooperative Research Centres Program through the Antarctic Climate and Ecosystems Cooperative Research Centre (ACE CRC). Climate Futures for Tasmania was possible with support through funding and research of a consortium of state and national partners. We acknowledge the following modelling groups, the Program for Climate Model Diagnosis and Intercomparison (PCMDI) and the WCRP's Working Group on Coupled Modelling (WGCM) for their roles in making available the CMIP3 multi-model dataset.</t>
  </si>
  <si>
    <t>0930-7575</t>
  </si>
  <si>
    <t>1432-0894</t>
  </si>
  <si>
    <t>CLIM DYNAM</t>
  </si>
  <si>
    <t>Clim. Dyn.</t>
  </si>
  <si>
    <t>11-12</t>
  </si>
  <si>
    <t>10.1007/s00382-013-1718-8</t>
  </si>
  <si>
    <t>253JF</t>
  </si>
  <si>
    <t>WOS:000327080400019</t>
  </si>
  <si>
    <t>Agosta, C; Favier, V; Krinner, G; Gallée, H; Fettweis, X; Genthon, C</t>
  </si>
  <si>
    <t>Agosta, Cecile; Favier, Vincent; Krinner, Gerhard; Gallee, Hubert; Fettweis, Xavier; Genthon, Christophe</t>
  </si>
  <si>
    <t>High-resolution modelling of the Antarctic surface mass balance, application for the twentieth, twenty first and twenty second centuries</t>
  </si>
  <si>
    <t>Downscaling; Surface mass balance; Surface energy balance; Orographic precipitation; Antarctica; Sea-level; Climate-change; Ice-sheet</t>
  </si>
  <si>
    <t>SNOW ACCUMULATION; ICE-SHEET; SEA-LEVEL; SPATIAL VARIABILITY; COUPLED MODEL; TERRE ADELIE; CLIMATE; CIRCULATION; GREENLAND; PRECIPITATION</t>
  </si>
  <si>
    <t>About 75 % of the Antarctic surface mass gain occurs over areas below 2,000 m asl, which cover 40 % of the grounded ice-sheet. As the topography is complex in many of these regions, surface mass balance modelling is highly dependent on horizontal resolution, and studying the impact of Antarctica on the future rise in sea level requires physical approaches. We have developed a computationally efficient, physical downscaling model for high-resolution (15 km) long-term surface mass balance (SMB) projections. Here, we present results of this model, called SMHiL (surface mass balance high-resolution downscaling), which was forced with the LMDZ4 atmospheric general circulation model to assess Antarctic SMB variability in the twenty first and the twenty second centuries under two different scenarios. The higher resolution of SMHiL better reproduces the geographical patterns of SMB and increase significantly the averaged SMB over the grounded ice-sheet for the end of the twentieth century. A comparison with more than 3200 quality-controlled field data shows that LMDZ4 and SMHiL reproduce the observed values equally well. Nevertheless, field data below 2,000 m asl are too scarce to efficiently show the added value of SMHiL and measuring the SMB in these undocumented areas should be a future scientific priority. Our results suggest that running LMDZ4 at a finer resolution (15 km) may give a future increase in SMB in Antarctica that is about 30 % higher than by using its standard resolution (60 km) due to the higher increase in precipitation in coastal areas at 15 km. However, a part (similar to 15 %) of these discrepancies could be an artefact from SMHiL since it neglects the foehn effect and likely overestimates the precipitation increase. Future changes in the Antarctic SMB at low elevations will result from the competition between higher snow accumulation and runoff. For this reason, developing downscaling models is crucial to represent processes in sufficient detail and correctly model the SMB in coastal areas.</t>
  </si>
  <si>
    <t>[Agosta, Cecile; Fettweis, Xavier] Univ Liege, Dept Geog, Liege, Belgium; [Agosta, Cecile; Favier, Vincent; Krinner, Gerhard; Gallee, Hubert; Genthon, Christophe] UJF Grenoble 1, CNRS, LGGE, UMR 5183, F-38041 Grenoble, France</t>
  </si>
  <si>
    <t>University of Liege; Communaute Universite Grenoble Alpes; Universite Grenoble Alpes (UGA); Centre National de la Recherche Scientifique (CNRS)</t>
  </si>
  <si>
    <t>Agosta, C (corresponding author), Univ Liege, Dept Geog, Liege, Belgium.</t>
  </si>
  <si>
    <t>cecile.agosta@gmail.com</t>
  </si>
  <si>
    <t>Krinner, Gerhard/A-6450-2011; Agosta, Cécile/HLQ-5577-2023; Krinner, Gerhard/AAB-8837-2022; Agosta, Cécile/B-9625-2013; Favier, Vincent/T-1936-2017</t>
  </si>
  <si>
    <t>Krinner, Gerhard/0000-0002-2959-5920; Agosta, Cécile/0000-0003-4091-1653; Fettweis, Xavier/0000-0002-4140-3813; Favier, Vincent/0000-0001-6024-9498</t>
  </si>
  <si>
    <t>European Commission [226375, 090]; French glaciological observatory GLA-CIOCLIM-SAMBA (IPEV) [411]</t>
  </si>
  <si>
    <t>European Commission(European Union (EU)European Commission Joint Research Centre); French glaciological observatory GLA-CIOCLIM-SAMBA (IPEV)</t>
  </si>
  <si>
    <t>We acknowledge the ice2sea project, funded by the European Commission's 7th Framework Programme through grant number 226375, ice2sea manuscript number 090. Field data were made available by the French glaciological observatory GLA-CIOCLIM-SAMBA (IPEV program number 411). SMHiL simulations were run on CIMENT computers (Universite de Grenoble, France).</t>
  </si>
  <si>
    <t>10.1007/s00382-013-1903-9</t>
  </si>
  <si>
    <t>WOS:000327080400023</t>
  </si>
  <si>
    <t>Giesen, RH; Oerlemans, J</t>
  </si>
  <si>
    <t>Giesen, Rianne H.; Oerlemans, Johannes</t>
  </si>
  <si>
    <t>Climate-model induced differences in the 21st century global and regional glacier contributions to sea-level rise</t>
  </si>
  <si>
    <t>SURFACE MASS-BALANCE; ICE CAPS; MOUNTAIN GLACIERS; ARCTIC GLACIERS; NORWAY; ERA</t>
  </si>
  <si>
    <t>The large uncertainty in future global glacier volume projections partly results from a substantial range in future climate conditions projected by global climate models. This study addresses the effect of global and regional differences in climate input data on the projected twenty-first century glacier contribution to sea-level rise. Glacier volume changes are calculated with a surface mass balance model combined with volume-area scaling, applied to 89 glaciers in different climatic regions. The mass balance model is based on a simplified energy balance approach, with separated contributions by net solar radiation and the combined other fluxes. Future mass balance is calculated from anomalies in air temperature, precipitation and atmospheric transmissivity, taken from eight global climate models forced with the A1B emission scenario. Regional and global sea-level contributions are obtained by scaling the volume changes at the modelled glaciers to all glaciers larger than 0.1 km(2) outside the Greenland and Antarctic ice sheets. This results in a global value of 0.102 +/- A 0.028 m (multi-model mean and standard deviation) relative sea-level equivalent for the period 2012-2099, corresponding to 18 +/- A 5 % of the estimated total volume of glaciers. Glaciers in the Antarctic, Alaska, Central Asia and Greenland together account for 65 +/- A 4 % of the total multi-model mean projected sea-level rise. The projected sea-level contribution is 35 +/- A 17 % larger when only anomalies in air temperature are taken into account, demonstrating an important compensating effect by increased precipitation and possibly reduced atmospheric transmissivity. The variability in projected precipitation and atmospheric transmissivity changes is especially large in the Arctic regions, making the sea-level contribution for these regions particularly sensitive to the climate model used. Including additional uncertainties in the modelling procedure and the input data, the total uncertainty estimate for the future projections becomes +/- 0.063 m.</t>
  </si>
  <si>
    <t>[Giesen, Rianne H.; Oerlemans, Johannes] Univ Utrecht, Inst Marine &amp; Atmospher Res Utrecht, NL-3508 TA Utrecht, Netherlands</t>
  </si>
  <si>
    <t>Giesen, RH (corresponding author), Univ Utrecht, Inst Marine &amp; Atmospher Res Utrecht, POB 80005, NL-3508 TA Utrecht, Netherlands.</t>
  </si>
  <si>
    <t>R.H.Giesen@uu.nl</t>
  </si>
  <si>
    <t>Oerlemans, Johannes/G-3802-2011; Giesen, Rianne H/E-7597-2011</t>
  </si>
  <si>
    <t>Giesen, Rianne H/0000-0001-8270-6338</t>
  </si>
  <si>
    <t>European Commission [226375, 133]</t>
  </si>
  <si>
    <t>We like to thank M. Zemp for providing the glacier mass balance data and the numerous contributors for submitting their measurements to WGMS. The CRU and ECMWF are acknowledged for making their datasets available. We acknowledge the modeling groups, the Program for Climate Model Diagnosis and Intercomparison (PCMDI) and the WCRP's Working Group on Coupled Modelling (WGCM) for their roles in making available the WCRP CMIP3 multi-model dataset. We are grateful to F. Paul, T. Bolch and P. Rastner for their help with the glacier inventory and thank A. Bliss for providing the complete inventory for Antarctica. H. Machguth and M. Schaefer are thanked for providing additional glacier data and A. Slangen is thanked for providing her model results. We like to thank three anonymous reviewers for their constructive comments which helped to improve the manuscript. We acknowledge the ice2sea project, funded by the European Commission's 7th Framework Programme through grant number 226375, ice2sea manuscript number 133.</t>
  </si>
  <si>
    <t>10.1007/s00382-013-1743-7</t>
  </si>
  <si>
    <t>WOS:000327080400025</t>
  </si>
  <si>
    <t>Piñones, A; Hofmann, EE; Daly, KL; Dinniman, MS; Klinck, JM</t>
  </si>
  <si>
    <t>Pinones, Andrea; Hofmann, Eileen E.; Daly, Kendra L.; Dinniman, Michael S.; Klinck, John M.</t>
  </si>
  <si>
    <t>Modeling environmental controls on the transport and fate of early life stages of Antarctic krill (Euphausia superba) on the western Antarctic Peninsula continental shelf</t>
  </si>
  <si>
    <t>DEEP-SEA RESEARCH PART I-OCEANOGRAPHIC RESEARCH PAPERS</t>
  </si>
  <si>
    <t>Antarctic krill; Western Antarctic Peninsula; Southern Ocean; Climate change</t>
  </si>
  <si>
    <t>EARLY LARVAL STAGES; RANDOM-WALK MODELS; SEA-ICE EXTENT; CLIMATE-CHANGE; AUSTRAL FALL; TEMPORAL VARIABILITY; MARGUERITE BAY; ANNULAR MODE; PALMER LTER; GROWTH</t>
  </si>
  <si>
    <t>A one-dimensional, temperature-dependent model was used to simulate the descent ascent cycle of the embryos and early larval stages of Antarctic krill to determine which regions of the western Antarctic Peninsula (wAP) continental shelf support successful completion of this cycle under present environmental conditions and those projected to occur as a result of climate change. The transport and fate of the embryo and larva under present and modified conditions was investigated with Lagrangian particle tracking simulations. The two modeling studies were implemented using temperature and density (embryo larva model) and circulation distributions (Lagrangian particle tracking) obtained from a high resolution version of the Regional Ocean Modeling System configured for the wAP shelf region. Additional simulations used temperature and circulation distributions obtained from simulations that were forced with increased wind speed and increased transport of the Antarctic Circumpolar Current (ACC), both projected to possibly occur with climate change in the wAP region. Simulations using present conditions showed that successful completion of the descent ascent cycle occurred along the outer shelf and on the shelf in regions with bottom depths of 600-700 m. Estimated residence times for the shelf regions that support success of the embryo and larva were 20-30 days. Thus, krill spawned in the mid and inner shelf regions can be retained in these regions through development to the first feeding stage (calyptopis 1). Increased winds and ACC transport resulted in more onshelf transport of Circumpolar Deep Water (CDW), which increased the volume of warm (1-1.5 degrees C) water at depth. These conditions supported a moderate increase in success of the krill embryo and larva, but only for limited areas of the shelf where hatching depths decreased by 10-30 m (&lt;5%) and development time to the calyptopis 1 stage decreased by 15-20%. The modified circulation conditions also supported increased advection of krill larvae into areas of the shelf that would experience the largest reduction of sea ice, especially in winter. Projected changes in wind strength and COW transport may potentially enhance larval survival and advection onto the wAP shelf, but recruitment may be decreased by modifications to local sea ice distributions that would impede survival of Antarctic krill that overwinter on the shelf. (C) 2013 Elsevier Ltd. All rights reserved.</t>
  </si>
  <si>
    <t>[Pinones, Andrea; Hofmann, Eileen E.; Dinniman, Michael S.; Klinck, John M.] Old Dominion Univ, Ctr Coastal Phys Oceanog, Norfolk, VA 23508 USA; [Daly, Kendra L.] Univ S Florida, Coll Marine Sci, St Petersburg, FL 33701 USA; [Pinones, Andrea] Yale Univ, Dept Geol &amp; Geophys, New Haven, CT 06520 USA</t>
  </si>
  <si>
    <t>Old Dominion University; State University System of Florida; University of South Florida; Yale University</t>
  </si>
  <si>
    <t>Piñones, A (corresponding author), Yale Univ, Dept Geol &amp; Geophys, POB 208109, New Haven, CT 06520 USA.</t>
  </si>
  <si>
    <t>andrea.pinones@yale.edu</t>
  </si>
  <si>
    <t>Klinck, John/0000-0003-4312-5201; Pinones, Andrea/0000-0002-1737-9016; Dinniman, Michael/0000-0001-7519-9278</t>
  </si>
  <si>
    <t>National Science Foundation [ANT-0523172]</t>
  </si>
  <si>
    <t>We thank three anonymous reviewers for helpful comments on the earlier version of this manuscript This research was funded by the National Science Foundation Grant ANT-0523172 and is part of the US Southern Ocean GLOBEC Program synthesis and integration phase.</t>
  </si>
  <si>
    <t>0967-0637</t>
  </si>
  <si>
    <t>1879-0119</t>
  </si>
  <si>
    <t>DEEP-SEA RES PT I</t>
  </si>
  <si>
    <t>Deep-Sea Res. Part I-Oceanogr. Res. Pap.</t>
  </si>
  <si>
    <t>10.1016/j.dsr.2013.08.001</t>
  </si>
  <si>
    <t>254MF</t>
  </si>
  <si>
    <t>WOS:000327169100003</t>
  </si>
  <si>
    <t>Moreau, S; di Fiori, E; Schloss, IR; Almandoz, GO; Esteves, JL; Paparazzo, FE; Ferreyra, GA</t>
  </si>
  <si>
    <t>Moreau, Sebastien; di Fiori, Eugenia; Schloss, Irene R.; Almandoz, Gaston O.; Esteves, Jose L.; Paparazzo, Flavio E.; Ferreyra, Gustavo A.</t>
  </si>
  <si>
    <t>The role of phytoplankton composition and microbial community metabolism in sea-air ΔpCO2 variation in the Weddell Sea</t>
  </si>
  <si>
    <t>Weddell Sea; CO2 dynamics; Phytoplankton composition; Community metabolism</t>
  </si>
  <si>
    <t>ANTARCTIC CIRCUMPOLAR CURRENT; SURFACE-LAYER BALANCE; SOUTHERN-OCEAN; CARBON-DIOXIDE; BRANSFIELD STRAIT; ATMOSPHERIC CO2; BOTTOM WATER; SCOTIA SEA; ICE-EDGE; ROSS-SEA</t>
  </si>
  <si>
    <t>The Weddell Sea is known to be a CO2 sink due to active biological and physical pumps. Here we study the relationships of phytoplankton biomass and composition and microbial community metabolism, estimated from simulated in situ incubations and from nutrient's difference between surface and subsurface waters, with Delta pCO(2) in the Weddell Sea, during four austral summers (2002-2005). The Delta pCO(2) was significantly negative throughout the Weddell Sea in 2002 (-17.2 +/- 28.1 mu atm), 2003 (-64.1 +/- 31.3 mu atm), 2004 (-54.9 +/- 61.8 mu atm) and 2005 (-63.8 +/- 60 mu atm), indicating that the Weddell Sea acted as an atmospheric CO2 sink during those summers. The Delta pCO(2) was significantly lower in the south than in the center or north of the Weddell Sea. This was consistent with the significantly higher Chlorophyll-a concentrations (Chl-a) observed in the south (2.3 +/- 1.9 mu g l(-1)) than in the center (1.3 +/- 1.2 mu g l(-1)) or north (1.4 +/- 1.7 mu g l(-1)). In contrast, waters were mainly undersaturated in O-2, due to the upwelling of oxygen poor Warm Deep Water (WDW). The negative relationship between the Delta pCO(2) and the %O-2 saturation suggested that planktonic metabolic activities played a role in these gases dynamics, along with the upwelling of WDW. However, these relationships could not be observed from the results of the incubation experiments, probably because of different temporal scales between gas exchanges in incubation experiments and in situ CO2 and O-2 dynamics. The dynamics of CO2 and O-2 were solely related to the net community production (NCP) and to the gross primary production (GPP) when only stations with Chl-a &gt; 1 mu g l(-1) were considered. A significant relationship was, however, found between Delta pCO(2) and the primary production until the time of sampling for all stations when estimated from nutrients depletion between surface and subsurface waters. Finally, the distribution of CO2 and O-2 were related to the biomass of diatoms and, contrarily to other seas, to the biomass of phytoflagellates. (C) 2013 Elsevier Ltd. All rights reserved.</t>
  </si>
  <si>
    <t>[Moreau, Sebastien] Catholic Univ Louvain, Earth &amp; Life Inst, Georges Lemaitre Ctr Earth &amp; Climate Res, B-1348 Louvain, Belgium; [Moreau, Sebastien; Schloss, Irene R.; Ferreyra, Gustavo A.] Univ Quebec Rimouski UQAR, Inst Sci Mer ISMER, Rimouski, PQ G5L 3A1, Canada; [di Fiori, Eugenia; Schloss, Irene R.; Almandoz, Gaston O.] Consejo Nacl Invest Cient &amp; Tecn, Buenos Aires, DF, Argentina; [di Fiori, Eugenia] Univ Buenos Aires, Fac Ciencias Exactas &amp; Nat, Buenos Aires, DF, Argentina; [Schloss, Irene R.] Inst Antartico Argentina, Buenos Aires, DF, Argentina; [Almandoz, Gaston O.] Univ Nacl La Plata, Fac Ciencias Nat &amp; Museo, Div Ficol, La Plata, Buenos Aires, Argentina; [Esteves, Jose L.; Paparazzo, Flavio E.] Ctr Nacl Patagen CENPAT CONICET, RA-9120 Puerto Machyn, Chubut, Argentina</t>
  </si>
  <si>
    <t>Universite Catholique Louvain; University of Quebec; Universite du Quebec a Rimouski; Consejo Nacional de Investigaciones Cientificas y Tecnicas (CONICET); University of Buenos Aires; Instituto Antartico Argentino; National University of La Plata; Museo La Plata; Centro Nacional Patagonico (CENPAT)</t>
  </si>
  <si>
    <t>Moreau, S (corresponding author), Catholic Univ Louvain, Earth &amp; Life Inst, Georges Lemaitre Ctr Earth &amp; Climate Res, SC10-14-03-08 Mercator,Pl Louis Pasteur 3, B-1348 Louvain, Belgium.</t>
  </si>
  <si>
    <t>s.moreau@uclouvain.be</t>
  </si>
  <si>
    <t>Schloss, Irene R./U-5411-2018</t>
  </si>
  <si>
    <t>Schloss, Irene R./0000-0002-5917-8925; Ferreyra, Gustavo Adolfo/0000-0003-1953-5067; Almandoz, Gaston O./0000-0001-7931-582X; Moreau, Sebastien/0000-0001-9446-812X</t>
  </si>
  <si>
    <t>CONICET; French INSU (Institut National des Sciences de l'Univers) Program PROOF/Flamenco (Flux Air-Mer en CO2); NSERC [334876-2005]; [PICTO 6524/1108/03-ANPCyT 01-11563]</t>
  </si>
  <si>
    <t>CONICET(Consejo Nacional de Investigaciones Cientificas y Tecnicas (CONICET)); French INSU (Institut National des Sciences de l'Univers) Program PROOF/Flamenco (Flux Air-Mer en CO2); NSERC(Natural Sciences and Engineering Research Council of Canada (NSERC));</t>
  </si>
  <si>
    <t>This study was completed as part of the framework of the cooperative research program ARGAU, between the Laboratoire de Biogeochimie et Chimie Marines at the Universite Pierre et Marie Curie in Paris (LBCM, France), the Instituto Antartico Argentino and the Servicio de Hidrografia Naval (SHN, Argentina) from 2002 to 2005. We would like to thank Carlos Balestrini (SHN), L. Cantoni (IAA), A. Ulrich (IAA), R. Codina (IAA), B. Schauer (LBCM), C. Brunet (LBCM) and J. Guigand (LBCM), and technical personnel from the Servicio de Hidrografia Naval during the missions, as well as the crew members of the Argentinean icebreaker Almirante Irizar. This project was funded by the PEI-2001 CONICET and PICTO 6524/1108/03-ANPCyT 01-11563 grants to I.R.S. and G.A.F. and by the French INSU (Institut National des Sciences de l'Univers) Program PROOF/Flamenco (Flux Air-Mer en CO2) for the ARGAU cruises. This research was also funded by the NSERC Special Research Opportunity Program grant nr. 334876-2005 conceded to S.D. This work is a contribution to the Institut des sciences de la mer de Rimouski (ISMER), the Georges Lemaitre Centre for Earth and Climate Research of the University Catholic of Louvain-la-Neuve and the Instituto Antartico Argentino.</t>
  </si>
  <si>
    <t>10.1016/j.dsr.2013.07.010</t>
  </si>
  <si>
    <t>WOS:000327169100005</t>
  </si>
  <si>
    <t>Singh, KK; Mishra, VD; Sood, S; Kumar, M</t>
  </si>
  <si>
    <t>Singh, K. K.; Mishra, V. D.; Sood, Sahil; Kumar, Manoj</t>
  </si>
  <si>
    <t>3-Decadal Changes in Sea Ice Melting and Freezing Pattern in Antarctica Using SSM/I Data</t>
  </si>
  <si>
    <t>JOURNAL OF THE INDIAN SOCIETY OF REMOTE SENSING</t>
  </si>
  <si>
    <t>SSM/I; MODIS; Brightness temperature; SIAE and SIC</t>
  </si>
  <si>
    <t>The present study aims to estimate the long term changes in sea ice areal extent (SIAE) around Antarctica using Special Sensor Microwave Imager (SSM/I) satellite data (1988-2011). Daily, weekly and monthly brightness temperature (T-B) maps of Antarctica have been generated. Temporal variation in monthly averaged T-B values of sea ice have been analyzed and an increasing trend is observed in T-B. Sea ice concentration (SIC) values are estimated and the concentration class 0.85-0.95 is observed as the main contributor in sea ice areal extent during the Antarctic peak winter month i.e. September and October. SIC changes rapidly from October onwards and shows fast melting of sea ice, however, from April start of freezing has been observed. Continuous increase in SIAE is observed from February to September in all the analyzed years (1988-2011) data. In this observation period maximum SIAE is observed in September 1989 and minimum in February 1993. The Moderate Resolution Imaging Spectroradiometer (MODIS) data is used for the validation of SIAE values. SSM/I and MODIS estimated SIAE values are compared (R-2 = 0.98) and a relation between them is established by performing regression analysis. This relation is further used for the estimation of corrected SIAE values. The monthly average sea ice extent maps of last three decades have been analyzed and a shift in onset of freezing of sea ice has been observed. The period of frozen sea has also been observed as decreased.</t>
  </si>
  <si>
    <t>[Singh, K. K.; Mishra, V. D.; Sood, Sahil; Kumar, Manoj] SASE, Chandigarh 160036, India</t>
  </si>
  <si>
    <t>Defence Research &amp; Development Organisation (DRDO); Snow &amp; Avalanche Study Establishment (SASE)</t>
  </si>
  <si>
    <t>Singh, KK (corresponding author), SASE, Plot 1,Sect 37A, Chandigarh 160036, India.</t>
  </si>
  <si>
    <t>kksmer@rediffmail.com</t>
  </si>
  <si>
    <t>0255-660X</t>
  </si>
  <si>
    <t>0974-3006</t>
  </si>
  <si>
    <t>J INDIAN SOC REMOTE</t>
  </si>
  <si>
    <t>J. Indian Soc. Remote Sens.</t>
  </si>
  <si>
    <t>10.1007/s12524-013-0287-y</t>
  </si>
  <si>
    <t>Environmental Sciences; Remote Sensing</t>
  </si>
  <si>
    <t>Environmental Sciences &amp; Ecology; Remote Sensing</t>
  </si>
  <si>
    <t>251NI</t>
  </si>
  <si>
    <t>WOS:000326935700020</t>
  </si>
  <si>
    <t>Rodrigues, E; Feijó-Oliveira, M; Vani, GS; Suda, CNK; Carvalho, CS; Donatti, L; Lavrado, HP; Rodrigues, E</t>
  </si>
  <si>
    <t>Rodrigues, E., Jr.; Feijo-Oliveira, M.; Vani, G. S.; Suda, C. N. K.; Carvalho, C. S.; Donatti, L.; Lavrado, H. P.; Rodrigues, E.</t>
  </si>
  <si>
    <t>Interaction of warm acclimation, low salinity, and trophic fluoride on plasmatic constituents of the Antarctic fish Notothenia rossii Richardson, 1844</t>
  </si>
  <si>
    <t>FISH PHYSIOLOGY AND BIOCHEMISTRY</t>
  </si>
  <si>
    <t>Antarctica; Thermal tolerance; Energy metabolism; Osmoregulation; Fluoride</t>
  </si>
  <si>
    <t>EUPHAUSIA-SUPERBA MEAL; KING-GEORGE-ISLAND; METABOLISM ENZYMES; SODIUM-FLUORIDE; CORTISOL-LEVELS; ADMIRALTY BAY; BLOOD-SERUM; GLUCOSE; STRESS; ABSORPTION</t>
  </si>
  <si>
    <t>The adaptive evolution of the Notothenia rossii occurred under the selective pressure of stable and low temperatures. It is an opportunistic feeder of Antarctic krill and the fluoride in the krill carapace is apparently not toxic. We investigated the interactive effect of fluoride, elevated temperatures, and low salinity on the plasmatic constituents of this Antarctic fish. The experiments were conducted at the Brazilian Antarctic Station Comandante Ferraz (EACF), located on King George Island. The Antarctic fish N. rossii was acclimatized to eight thermo-saline-trophic conditions, combining two temperatures (0 and 4 A degrees C), two salinities (35 and 20), and two trophic conditions (with/without fluoride) for an 11-day period. Trophic fluoride was not able to alter the plasmatic levels of glucose, cholesterol, plasmatic protein, Cl-, Mg2+, Ca2+, and inorganic phosphate, but induced an acute elevation of triglycerides at 0 A degrees C and salinity of 35. At low salinity, hyperglycemia, hypertriglyceridemia, and hypocalcemia were observed. The thermo-saline interaction at 4 A degrees C was able to minimize the effects of fluoride and low salinity on the plasmatic constituents levels.</t>
  </si>
  <si>
    <t>[Rodrigues, E., Jr.; Feijo-Oliveira, M.; Donatti, L.] Univ Fed Parana, Dept Cell Biol, BR-81530130 Curitiba, Parana, Brazil; [Vani, G. S.; Suda, C. N. K.; Rodrigues, E.] Univ Taubate, Inst Basic Biosci, BR-12030180 Taubate, SP, Brazil; [Carvalho, C. S.] Univ Fed Sao Carlos, Dept Biol, BR-18052780 Sorocaba, SP, Brazil; [Lavrado, H. P.] Univ Fed Rio de Janeiro, Dept Marine Biol, BR-21941902 Rio De Janeiro, RJ, Brazil</t>
  </si>
  <si>
    <t>Universidade Federal do Parana; Universidade de Taubate; Universidade Federal de Sao Carlos; Universidade Federal do Rio de Janeiro</t>
  </si>
  <si>
    <t>Rodrigues, E (corresponding author), Univ Taubate, Inst Basic Biosci, Av Tiradentes,500 Ctr, BR-12030180 Taubate, SP, Brazil.</t>
  </si>
  <si>
    <t>rodedson@gmail.com</t>
  </si>
  <si>
    <t>Suda, Cecilia N.K./J-7071-2014; Donatti, Lucelia/E-1930-2013; Lavrado, Helena/M-9737-2014; Rodrigues, Edson/C-6792-2015</t>
  </si>
  <si>
    <t>Donatti, Lucelia/0000-0002-9023-2483; Lavrado, Helena/0000-0002-7275-7075; Suda, Cecilia/0000-0002-6544-8661; Rodrigues, Edson/0000-0003-3968-6882</t>
  </si>
  <si>
    <t>Brazilian Ministry of Environment; Ministry of Science, Technology and Innovation (MCTI); Secretariat of the Inter-ministerial Commission for the Resources of the Sea (SeCIRM); CNPq; FAPERJ [52.0193/2006-7, 52.0125/2008-8]; INCT-APA [574018/2008-5, FAPERJ E-26/170.023/2008]</t>
  </si>
  <si>
    <t>Brazilian Ministry of Environment; Ministry of Science, Technology and Innovation (MCTI); Secretariat of the Inter-ministerial Commission for the Resources of the Sea (SeCIRM); CNPq(Conselho Nacional de Desenvolvimento Cientifico e Tecnologico (CNPQ)); FAPERJ(Fundacao Carlos Chagas Filho de Amparo a Pesquisa do Estado do Rio De Janeiro (FAPERJ)); INCT-APA</t>
  </si>
  <si>
    <t>We are grateful to the following for their support: Brazilian Ministry of Environment (MMA), Ministry of Science, Technology and Innovation (MCTI), and the Secretariat of the Inter-ministerial Commission for the Resources of the Sea (SeCIRM). The authors would like to thank Dr Edith Susana Elisabeth Fanta (in memoriam), coordinator of the projects Evolution and Biodiversity in the Antarctic: The response of life to change (EBA), and Dr Yocie Yoneshigue Valentin, coordinator of the National Institute of Antarctic Science and Technology of Environmental Research (INCT APA), for all the help and incentive given during execution of the present work. This research was supported by the grants from the CNPq and FAPERJ through the projects EBA (CNPq Process No. 52.0193/2006-7 and 52.0125/2008-8, International Polar Year) and INCT-APA (CNPq Process No. 574018/2008-5, FAPERJ E-26/170.023/2008)].</t>
  </si>
  <si>
    <t>0920-1742</t>
  </si>
  <si>
    <t>1573-5168</t>
  </si>
  <si>
    <t>FISH PHYSIOL BIOCHEM</t>
  </si>
  <si>
    <t>Fish Physiol. Biochem.</t>
  </si>
  <si>
    <t>10.1007/s10695-013-9811-9</t>
  </si>
  <si>
    <t>Biochemistry &amp; Molecular Biology; Fisheries; Physiology</t>
  </si>
  <si>
    <t>249TO</t>
  </si>
  <si>
    <t>WOS:000326800100020</t>
  </si>
  <si>
    <t>Fernández, M; Björck, S; Wohlfarth, B; Maidana, NI; Unkel, I; Van der Putten, N</t>
  </si>
  <si>
    <t>Fernandez, Marilen; Bjorck, Svante; Wohlfarth, Barbara; Maidana, Nora I.; Unkel, Ingmar; Van der Putten, Nathalie</t>
  </si>
  <si>
    <t>Diatom assemblage changes in lacustrine sediments from Isla de los Estados, southernmost South America, in response to shifts in the southwesterly wind belt during the last deglaciation</t>
  </si>
  <si>
    <t>JOURNAL OF PALEOLIMNOLOGY</t>
  </si>
  <si>
    <t>Diatoms; Biogenic silica; Isla de los Estados; Late glacial-early Holocene; Paleoenvironments</t>
  </si>
  <si>
    <t>TIERRA-DEL-FUEGO; HOLOCENE PALEOENVIRONMENTAL CHANGE; ENVIRONMENTAL-CHANGES; PLANKTONIC DIATOMS; GLACIAL MAXIMUM; LAKE-SEDIMENTS; CENTRAL STRAIT; CLIMATE-CHANGE; RECORD; PATAGONIA</t>
  </si>
  <si>
    <t>Isla de los Estados (54A degrees 45'S, 63A degrees 10'aEuro64A degrees 46'W) lies east of the main island of Tierra del Fuego and is the southeastern-most point in Argentina. Because of its geographic position near the latitudes of the Southern Hemisphere Westerlies and the strong influence of the Antarctic Circumpolar Current (ACC), the area is suitable for paleoecological and paleoclimate research. The island is not far north of the Subantarctic Front, which limits the northern boundary of the ACC. Paleoenvironmental study in this geographic location can shed light on past changes in atmospheric and marine circulation patterns. Diatom analysis of the lower part of a sediment sequence from Laguna Cascada (54A degrees 45' 51.3''S, 64A degrees 20' 20.07''W) enabled inference of changing lake conditions between 16 and 11.1 cal ka BP. Between 16 and 14.4 cal ka BP fragilarioid diatom species, often a pioneer group, dominated the record. Their presence shows seasonally open-water conditions from the onset of sedimentation. In zone II (14.4-12.8 cal ka BP), the dominance of planktonic/tychoplanktonic Aulacoseira spp. might represent longer ice-free periods and windier conditions, which would have kept this heavy species suspended in the water column. This period corresponds to the Antarctic Cold Reversal, when the Southern Hemisphere Westerlies were possibly centered on the latitudes of Tierra del Fuego, resulting in windy and wet conditions. Zone III (12.8-11.1 cal ka BP) is dominated by benthic diatom taxa that are mainly associated with peat and wetland vegetation. This suggests that climate conditions had become milder and less windy, favoring aquatic productivity and terrestrial vegetation development. This change in environmental conditions may have been a consequence of the southward movement of the Southern Hemisphere Westerlies at the start of the Antarctic Holocene thermal optimum.</t>
  </si>
  <si>
    <t>[Fernandez, Marilen] CADIC CONICET, Lab Geomorfol &amp; Cuaternario, RA-9410 Ushuaia, Tierra Del Fueg, Argentina; [Bjorck, Svante; Van der Putten, Nathalie] Lund Univ, Dept Geol, S-22362 Lund, Sweden; [Wohlfarth, Barbara] Stockholm Univ, Dept Geol Sci, S-10691 Stockholm, Sweden; [Maidana, Nora I.] Univ Buenos Aires, CONICET, Fac Ciencias Exactas &amp; Nat, Dept Biodiversidad &amp; Biol Expt,Lab Diatomeas Cont, Buenos Aires, DF, Argentina; [Unkel, Ingmar] Univ Kiel, Inst Ecosyst Res, D-24118 Kiel, Germany</t>
  </si>
  <si>
    <t>Consejo Nacional de Investigaciones Cientificas y Tecnicas (CONICET); Lund University; Stockholm University; University of Buenos Aires; Consejo Nacional de Investigaciones Cientificas y Tecnicas (CONICET); University of Kiel</t>
  </si>
  <si>
    <t>Fernández, M (corresponding author), CADIC CONICET, Lab Geomorfol &amp; Cuaternario, RA-9410 Ushuaia, Tierra Del Fueg, Argentina.</t>
  </si>
  <si>
    <t>marilenf@cadic-conicet.gob.ar; svante.bjorck@geol.lu.se; barbara.wohlfarth@geo.su.se; nim@bg.fcen.uba.ar; iunkel@ecology.uni-kiel.de; nathalie.van_der_putten@geol.lu.se</t>
  </si>
  <si>
    <t>Van der Putten, Nathalie/0000-0002-0271-9321; Maidana, Nora/0000-0002-1429-4834; Unkel, Ingmar/0000-0002-8940-1657</t>
  </si>
  <si>
    <t>Swedish Research Council [VR 621-2003-3611]</t>
  </si>
  <si>
    <t>Swedish Research Council(Swedish Research Council)</t>
  </si>
  <si>
    <t>MF especially thanks Hannelore Hakansson and Linda Ampel for help with diatom identification, encouragement and support. Special thanks to Dr. Juan Federico Ponce for discussions and particular thanks to Dr. Jorge Rabassa and Lic. Lorena Grana for reading previous versions of the manuscript. The study was partly financed by the Swedish Research Council (VR 621-2003-3611) and is a contribution to the LUCCI Research Centre.</t>
  </si>
  <si>
    <t>0921-2728</t>
  </si>
  <si>
    <t>1573-0417</t>
  </si>
  <si>
    <t>J PALEOLIMNOL</t>
  </si>
  <si>
    <t>J. Paleolimn.</t>
  </si>
  <si>
    <t>10.1007/s10933-013-9736-4</t>
  </si>
  <si>
    <t>Environmental Sciences; Geosciences, Multidisciplinary; Limnology</t>
  </si>
  <si>
    <t>Environmental Sciences &amp; Ecology; Geology; Marine &amp; Freshwater Biology</t>
  </si>
  <si>
    <t>247MP</t>
  </si>
  <si>
    <t>WOS:000326622200002</t>
  </si>
  <si>
    <t>Walton, DWH</t>
  </si>
  <si>
    <t>Walton, D. W. H.</t>
  </si>
  <si>
    <t>Scientific errors</t>
  </si>
  <si>
    <t>Walton, David/0000-0002-7103-4043</t>
  </si>
  <si>
    <t>10.1017/S0954102013000904</t>
  </si>
  <si>
    <t>WOS:000328547200001</t>
  </si>
  <si>
    <t>Wolf, C; Frickenhaus, S; Kilias, ES; Peeken, I; Metfies, K</t>
  </si>
  <si>
    <t>Wolf, Christian; Frickenhaus, Stephan; Kilias, Estelle S.; Peeken, Ilka; Metfies, Katja</t>
  </si>
  <si>
    <t>Regional variability in eukaryotic protist communities in the Amundsen Sea</t>
  </si>
  <si>
    <t>ARISA; HPLC; microbial diversity; next-generation-sequencing; phytoplankton</t>
  </si>
  <si>
    <t>SOUTHERN-OCEAN; MICROBIAL COMMUNITY; PHYTOPLANKTON; SUMMER; CHLOROPHYLLS; ASSEMBLAGES; DIVERSITY; WORLD</t>
  </si>
  <si>
    <t>We determined the composition and structure of late summer eukaryotic protist assemblages along a west-east transect in the Amundsen Sea. We used state-of-the-art molecular approaches, such as automated ribosomal intergenic spacer analysis (ARISA) and 454-pyrosequencing, combined with pigment measurements via high performance liquid chromatography (HPLC) to study the protist assemblage. We found characteristic offshore and inshore communities. In general, total chlorophyll a and microeukaryotic contribution were higher in inshore samples. Diatoms were the dominant group across the entire area, of which Eucampia sp. and Pseudo-nitzschia sp. were dominant inshore and Chaetoceros sp. was dominant offshore. At the most eastern station, the assemblage was dominated by Phaeocystis sp. Under the ice, ciliates showed their highest and haptophytes their lowest abundance. This study delivers a taxon detailed overview of the eukaryotic protist composition in the Amundsen Sea during the summer 2010.</t>
  </si>
  <si>
    <t>[Wolf, Christian; Frickenhaus, Stephan; Kilias, Estelle S.; Peeken, Ilka; Metfies, Katja] Alfred Wegener Inst Polar &amp; Marine Res, D-27570 Bremerhaven, Germany; [Peeken, Ilka] Univ Bremen, MARUM Ctr Marine Environm Sci, D-28359 Bremen, Germany</t>
  </si>
  <si>
    <t>Helmholtz Association; Alfred Wegener Institute, Helmholtz Centre for Polar &amp; Marine Research; University of Bremen</t>
  </si>
  <si>
    <t>Wolf, C (corresponding author), Alfred Wegener Inst Polar &amp; Marine Res, Handelshafen 12, D-27570 Bremerhaven, Germany.</t>
  </si>
  <si>
    <t>Christian.Wolf@awi.de</t>
  </si>
  <si>
    <t>Frickenhaus, Stephan/0000-0002-0356-9791; Peeken, Ilka/0000-0003-1531-1664</t>
  </si>
  <si>
    <t>Initiative and Networking Fund of the Helmholtz Association [VH-NG-500]</t>
  </si>
  <si>
    <t>Initiative and Networking Fund of the Helmholtz Association</t>
  </si>
  <si>
    <t>This study was accomplished within the Young Investigator Group PLANKTOSENS (VH-NG-500), funded by the Initiative and Networking Fund of the Helmholtz Association. We thank the captain and crew of the RV Polarstern for their support during the cruise. We are grateful to F. Kilpert and B. Beszteri for their bioinformatical support. We also want to thank A. Schroer, A. Nicolaus and K. Oetjen for technical support in the laboratory and Steven Holland for providing access to the program Analytic Rarefaction 1.3. We would like to acknowledge E. M. Nothig and K. Kohls for their insightful discussions and comments on this manuscript. We also gratefully acknowledge the constructive comments of the reviewers.</t>
  </si>
  <si>
    <t>10.1017/S0954102013000229</t>
  </si>
  <si>
    <t>WOS:000328547200003</t>
  </si>
  <si>
    <t>Hylander, S; Hansson, LA</t>
  </si>
  <si>
    <t>Hylander, Samuel; Hansson, Lars-Anders</t>
  </si>
  <si>
    <t>Vertical distribution and pigmentation of Antarctic zooplankton determined by a blend of UV radiation, predation and food availability</t>
  </si>
  <si>
    <t>AQUATIC ECOLOGY</t>
  </si>
  <si>
    <t>Zooplankton; Ecology; Vertical distribution; Carotenoids; MAAs; Ultraviolet radiation; Antarctica; Diel vertical migration</t>
  </si>
  <si>
    <t>ULTRAVIOLET-RADIATION; AMINO-ACIDS; PHOTOPROTECTIVE COMPOUNDS; ADAPTIVE SIGNIFICANCE; PROTECTIVE COMPOUNDS; FISH PREDATION; MIGRATION; COPEPODS; LIGHT; TRANSPARENCY</t>
  </si>
  <si>
    <t>Selection pressure induced by simultaneously occurring environmental threats is a major evolutionary driver for organisms in terrestrial, as well as in aquatic ecosystems. For example, protection against ultraviolet radiation (UVR) and predation include both morphological and behavioral components. Here we address those selective pressures on zooplankton by performing a latitudinal monitoring, combined with mechanistic experiments in the Antarctic Southern Ocean, where the UVR-threat is extremely high. We assessed vertical distributions of zooplankton along the Antarctic coast showing that animals were most abundant at 20-80 m and tended to avoid the surface at sites with clear water. UVR-threat disappeared at between 9 and 15 m at sites with low and high water transparency, respectively. Light levels were, however, sufficient for visual fish predation down to approximately 19 and 37 m, respectively. The few zooplankton that were present in surface waters had high levels of non-pigmented UVR-protective compounds (mycosporine-like amino acids) compared to deeper dwelling zooplankton. Overall they had low levels of red pigmented UVR-protective compounds (carotenoids), suggesting high predation on pigmented individuals. In a complementary laboratory study we showed that levels of UVR-protective compounds increased considerably when zooplankton were exposed to UVR in the absence of predator cues. The recently developed transparency-regulator hypothesis predicts that UVR avoidance is an important driver to diel vertical migration in transparent waters, such as in Antarctica. We, however, conclude that copepods resided well below the level where UVR had diminished to very low levels and that predator avoidance or food availability are more likely drivers of zooplankton vertical depth distribution in transparent marine systems.</t>
  </si>
  <si>
    <t>[Hylander, Samuel] Linnaeus Univ, Dept Biol &amp; Environm Sci, Kalmar, Sweden; [Hansson, Lars-Anders] Lund Univ, Dept Biol Aquat Ecol, Lund, Sweden</t>
  </si>
  <si>
    <t>Linnaeus University; Lund University</t>
  </si>
  <si>
    <t>Hylander, S (corresponding author), Linnaeus Univ, Dept Biol &amp; Environm Sci, Kalmar, Sweden.</t>
  </si>
  <si>
    <t>samuel.hylander@lnu.se</t>
  </si>
  <si>
    <t>Hansson, Lars-Anders/HCI-2735-2022</t>
  </si>
  <si>
    <t>Hansson, Lars-Anders/0000-0002-3035-1317; Hylander, Samuel/0000-0002-3740-5998</t>
  </si>
  <si>
    <t>Swedish Research Council (VR); Centre for Animal Movement Research (CAnMove); Swedish Research Council [349-2007-8690]; Lund University</t>
  </si>
  <si>
    <t>Swedish Research Council (VR)(Swedish Research Council); Centre for Animal Movement Research (CAnMove); Swedish Research Council(Swedish Research Council); Lund University</t>
  </si>
  <si>
    <t>Sampling was performed during the research cruise: 'Oden Southern Ocean, SWEDARP 2009/10', arranged by the Swedish Polar Research Secretariat. The Swedish Polar Research Secretariat and the crew onboard the ice-breaker Oden provided logistic support during the sampling. We also received support from the Swedish Research Council (VR) and the Centre for Animal Movement Research (CAnMove) financed by a Linnaeus grant (349-2007-8690) from the Swedish Research Council and Lund University. The paper benefited from constructive comments from two anonymous reviewers.</t>
  </si>
  <si>
    <t>1386-2588</t>
  </si>
  <si>
    <t>1573-5125</t>
  </si>
  <si>
    <t>AQUAT ECOL</t>
  </si>
  <si>
    <t>Aquat. Ecol.</t>
  </si>
  <si>
    <t>10.1007/s10452-013-9459-7</t>
  </si>
  <si>
    <t>Ecology; Limnology; Marine &amp; Freshwater Biology</t>
  </si>
  <si>
    <t>253FY</t>
  </si>
  <si>
    <t>WOS:000327070200009</t>
  </si>
  <si>
    <t>Premkumar, M; Sable, T; Dhanwal, D; Dewan, R</t>
  </si>
  <si>
    <t>Premkumar, M.; Sable, T.; Dhanwal, D.; Dewan, R.</t>
  </si>
  <si>
    <t>Vitamin D homeostasis, bone mineral metabolism, and seasonal affective disorder during 1 year of Antarctic residence</t>
  </si>
  <si>
    <t>ARCHIVES OF OSTEOPOROSIS</t>
  </si>
  <si>
    <t>Antarctica; Bone metabolism calcium; Depression; Intact PTH; Vitamin D</t>
  </si>
  <si>
    <t>25-HYDROXYVITAMIN-D; HEALTH; SUPPLEMENTATION; PERFORMANCE; DEPRESSION; INDIA</t>
  </si>
  <si>
    <t>Low serum vitamin D and increased parathormone levels were found to be associated with depression and stress in a wintering expedition of 20 healthy male subjects over a period of 1 year in Antarctica. The continuous daylight during summer and the dark polar winter affect endogenous vitamin D production. Long-term effects on bone health need to be studied further. Purpose Vitamin D plays a significant role in calcium and bone mineral metabolism and also affects cardiovascular, psychological, and cognitive functions. The ultraviolet B radiation component of sunlight, which shows marked seasonal variation in Antarctica, influences the synthesis of vitamin D. Depression and mood disorders are associated with this extreme photoperiod. In this study, we attempted to gauge the alteration of vitamin D homeostasis in Antarctica and its effect on bone mineral metabolism and mood over a period of 1 year. Materials and methods Twenty male subjects who wintered over at India's Antarctic base Maitri (70 degrees 45'57 '' S, 11 degrees 44' 09 '' E) from November 2010 to December 2011 were studied. Fasting serum samples were collected at baseline, 6 months, and 12 months for serum 25-hydroxyvitamin D, intact parathyroid hormone (PTH), total alkaline phosphatase (ALP), calcium, and phosphate. Beck Depression Inventory (BDI), Positive and Negative Affect Scale (PANAS X), and Perceived Stress Scale were used to measure depression, affect, and stress. Results Mild vitamin D deficiency was present in two (10 %) subjects on arrival, which increased to seven (35 %) subjects during the polar winter at 6 months. The mean score on the BDI-II screen for depression was significantly higher during midwinter (4.8 +/- 3.9) when compared with the baseline value (2.9 +/- 2.1). Only 2/20 (10 %) of subjects met the criteria for minor depression. Higher PTH levels at 6 months correlated with a higher PANAS X score (p=0.021). The mean values of calcium, inorganic phosphorus, and ALP were comparable during the course of the expedition. Conclusion Low light exposure during the dark polar winter, lower vitamin D, and increased intact PTH levels were found to be associated with depression during 1 year of Antarctic residence. The low dietary intake and decreased solar radiation exposure during the polar winter reduce serum vitamin D levels in otherwise healthy individuals, which suggests that supplementation may be necessary.</t>
  </si>
  <si>
    <t>[Premkumar, M.; Sable, T.] Govt India, Indian Sci Expedit Antarctica 30, Natl Ctr Antarctic &amp; Ocean Res, Minist Earth Sci, Headland Sada, Goa, India; [Dhanwal, D.; Dewan, R.] Maulana Azad Med Coll &amp; Associated Hosp, Dept Med, New Delhi 110002, India</t>
  </si>
  <si>
    <t>Ministry of Earth Sciences (MoES) - India; National Centre for Polar and Ocean Research (NCPOR); Maulana Azad Medical College</t>
  </si>
  <si>
    <t>Premkumar, M (corresponding author), Govt India, Indian Sci Expedit Antarctica 30, Natl Ctr Antarctic &amp; Ocean Res, Minist Earth Sci, Headland Sada, Goa, India.</t>
  </si>
  <si>
    <t>drmadhumitap@gmail.com</t>
  </si>
  <si>
    <t>Premkumar, Madhumita/AAS-5411-2021</t>
  </si>
  <si>
    <t>Premkumar, Madhumita/0000-0003-2961-4148</t>
  </si>
  <si>
    <t>SPRINGER LONDON LTD</t>
  </si>
  <si>
    <t>236 GRAYS INN RD, 6TH FLOOR, LONDON WC1X 8HL, ENGLAND</t>
  </si>
  <si>
    <t>1862-3522</t>
  </si>
  <si>
    <t>1862-3514</t>
  </si>
  <si>
    <t>ARCH OSTEOPOROS</t>
  </si>
  <si>
    <t>Arch. Osteoporos.</t>
  </si>
  <si>
    <t>10.1007/s11657-013-0129-0</t>
  </si>
  <si>
    <t>Endocrinology &amp; Metabolism; Orthopedics</t>
  </si>
  <si>
    <t>V42WW</t>
  </si>
  <si>
    <t>WOS:000209644900016</t>
  </si>
  <si>
    <t>Theobald, MR; Crittenden, PD; Tang, YS; Sutton, MA</t>
  </si>
  <si>
    <t>Theobald, Mark R.; Crittenden, Peter D.; Tang, Y. Sim; Sutton, Mark A.</t>
  </si>
  <si>
    <t>The application of inverse-dispersion and gradient methods to estimate ammonia emissions from a penguin colony</t>
  </si>
  <si>
    <t>Ammonia emissions; Penguins; Seabirds; Inverse-dispersion modelling; Nitrogen</t>
  </si>
  <si>
    <t>ATMOSPHERIC DISPERSION; SEAL COLONY; MODELS; DEPOSITION; FLUXES; SOILS; LAND</t>
  </si>
  <si>
    <t>Penguin colonies represent some of the most concentrated sources of ammonia emissions to the atmosphere in the world. The ammonia emitted into the atmosphere can have a large influence on the nitrogen cycling of ecosystems near the colonies. However, despite the ecological importance of the emissions, no measurements of ammonia emissions from penguin colonies have been made. The objective of this work was to determine the ammonia emission rate of a penguin colony using inverse-dispersion modelling and gradient methods. We measured meteorological variables and mean atmospheric concentrations of ammonia at seven locations near a colony of Adelie penguins in Antarctica to provide input data for inverse-dispersion modelling. Three different atmospheric dispersion models (ADMS, LADD and a Lagrangian stochastic model) were used to provide a robust emission estimate. The Lagrangian stochastic model was applied both in 'forwards' and 'backwards' mode to compare the difference between the two approaches. In addition, the aerodynamic gradient method was applied using vertical profiles of mean ammonia concentrations measured near the centre of the colony. The emission estimates derived from the simulations of the three dispersion models and the aerodynamic gradient method agreed quite well, giving a mean emission of 1.1 g ammonia per breeding pair per day (95% confidence interval: 0.4-2.5 g ammonia per breeding pair per day). This emission rate represents a volatilisation of 1.9% of the estimated nitrogen excretion of the penguins, which agrees well with that estimated from a temperature-dependent bioenergetics model. We found that, in this study, the Lagrangian stochastic model seemed to give more reliable emission estimates in 'forwards' mode than in 'backwards' mode due to the assumptions made. (C) 2013 Elsevier Ltd. All rights reserved.</t>
  </si>
  <si>
    <t>[Theobald, Mark R.] Tech Univ Madrid, Higher Tech Sch Agr Engn, Dept Agr Chem &amp; Anal, Madrid, Spain; [Theobald, Mark R.; Tang, Y. Sim; Sutton, Mark A.] Ctr Ecol &amp; Hydrol, Edinburgh Res Stn, Penicuik, Midlothian, Scotland; [Crittenden, Peter D.] Univ Nottingham, Sch Biol, Nottingham NG7 2RD, England</t>
  </si>
  <si>
    <t>Universidad Politecnica de Madrid; UK Centre for Ecology &amp; Hydrology (UKCEH); University of Nottingham</t>
  </si>
  <si>
    <t>Theobald, MR (corresponding author), Univ Politecn Madrid, ETSI Agronomos, Dpto Quim Anal Agr, Ciudad Univ S-N, E-28040 Madrid, Spain.</t>
  </si>
  <si>
    <t>mrtheo@ceh.ac.uk</t>
  </si>
  <si>
    <t>Theobald, Mark R/F-6971-2016; Theobald, M. R./AAB-9854-2022; Sutton, Mark/K-2700-2012</t>
  </si>
  <si>
    <t>Theobald, Mark R/0000-0002-8133-0532; Theobald, M. R./0000-0002-8133-0532; Sutton, Mark/0000-0002-1342-2072; Tang, Sim/0000-0002-7814-3998</t>
  </si>
  <si>
    <t>The Royal Society; Natural Environment Research Council; European Commission; Natural Environment Research Council [ceh010023, NE/C514874/1] Funding Source: researchfish</t>
  </si>
  <si>
    <t>The Royal Society(Royal Society); Natural Environment Research Council(UK Research &amp; Innovation (UKRI)Natural Environment Research Council (NERC)); European Commission(European Union (EU)European Commission Joint Research Centre); Natural Environment Research Council(UK Research &amp; Innovation (UKRI)Natural Environment Research Council (NERC))</t>
  </si>
  <si>
    <t>This research was supported by grants gratefully received from The Royal Society (to PDC) and the Natural Environment Research Council (to PDC and MAS). MRT and MAS are grateful for the financial support from the European Commission Projects: Nitro-Europe and ECLAIRE. PDC thanks Allan Green (School of Biology, University of Waikato) for the invitation to participate in ANZ's (Antarctic New Zealand's) Latitudinal Gradient Project and ANZ for provision of travel, accommodation and research facilities at Scott Base and Cape Hallett. We thank Rachel Brown and Gus McAllister for facilitating research activities at Cape Hallett. MRT also thanks Stuart Riddick for providing the parameterisation of the bioenergetics model.</t>
  </si>
  <si>
    <t>10.1016/j.atmosenv.2013.09.009</t>
  </si>
  <si>
    <t>285EY</t>
  </si>
  <si>
    <t>WOS:000329377600035</t>
  </si>
  <si>
    <t>McDonald, J; Veth, P</t>
  </si>
  <si>
    <t>McDonald, Jo; Veth, Peter</t>
  </si>
  <si>
    <t>ROCK ART IN ARID LANDSCAPES: Pilbara and Western Desert petroglyphs</t>
  </si>
  <si>
    <t>AUSTRALIAN ARCHAEOLOGY</t>
  </si>
  <si>
    <t>PLEISTOCENE; ARCHAEOLOGY; REGION; AUSTRALIA</t>
  </si>
  <si>
    <t>This paper develops a testable model for understanding rock art within archaeological phases of the arid northwest Pilbara and Western Desert bioregions. It also presents the first multivariate analysis of foundational recording work undertaken almost 50 years ago, and deploys more recently recorded assemblages from the Burrup Peninsula (Murujuga) and the Western Desert. It establishes a framework for testable hypotheses about how art production in these adjacent bioregions through deep-time reflects information systems, emergent territoriality, group identity and signalling behaviour against a backdrop of climatic oscillations, including the LGM (23-18 ka), Antarctic Cold Reversal (14.5-12.5 ka) and intensification of ENSO (3.8-2 ka). The Pilbara piedmont has clearly defined gorges with major water sources; the Western Desert has uncoordinated drainage punctuated by well-watered but subdued ranges. We argue that rock art has been used to negotiate social identity in both contexts since each was first colonised. The role that art may have played in the formation of social networks in these different landscapes through time is the key focus of this paper. We hypothesise that the episodic use of art as signalling behaviour in the Australian arid zone can be linked to behavioural correlates and major archaeological phases with discrete signatures that can be tested from myriad sites.</t>
  </si>
  <si>
    <t>[McDonald, Jo; Veth, Peter] Univ Western Australia, Ctr Rock Art Res &amp; Management Archaeol M257, Crawley, WA 6009, Australia</t>
  </si>
  <si>
    <t>University of Western Australia</t>
  </si>
  <si>
    <t>McDonald, J (corresponding author), Univ Western Australia, Ctr Rock Art Res &amp; Management Archaeol M257, Crawley, WA 6009, Australia.</t>
  </si>
  <si>
    <t>jo.mcdonald@uwa.edu.au; peter.veth@uwa.edu.au</t>
  </si>
  <si>
    <t>Veth, Peter/H-6013-2014; McDonald, Jo/H-5404-2014</t>
  </si>
  <si>
    <t>Veth, Peter/0000-0002-1717-6390; McDonald, Jo/0000-0002-2701-7406</t>
  </si>
  <si>
    <t>AUSTRALIAN ARCHAEOLOGICAL ASSOC INC</t>
  </si>
  <si>
    <t>BRISBANE</t>
  </si>
  <si>
    <t>C/O IAN LILLEY (SECRETARY), UNIT ABORIGINAL &amp; TORRES STRAIT ISLANDER STUDIES, UNIV OF QUEENSLAND, BRISBANE, QLD 4072, AUSTRALIA</t>
  </si>
  <si>
    <t>0312-2417</t>
  </si>
  <si>
    <t>2470-0363</t>
  </si>
  <si>
    <t>AUST ARCHAEOL</t>
  </si>
  <si>
    <t>Austral. Archaeol.</t>
  </si>
  <si>
    <t>Anthropology; Archaeology</t>
  </si>
  <si>
    <t>Social Science Citation Index (SSCI); Arts &amp; Humanities Citation Index (A&amp;HCI)</t>
  </si>
  <si>
    <t>261PL</t>
  </si>
  <si>
    <t>WOS:000327677000008</t>
  </si>
  <si>
    <t>Antonello, A</t>
  </si>
  <si>
    <t>Antonello, Alessandro</t>
  </si>
  <si>
    <t>Australia, the International Geophysical Year and the 1959 Antarctic Treaty</t>
  </si>
  <si>
    <t>AUSTRALIAN JOURNAL OF POLITICS AND HISTORY</t>
  </si>
  <si>
    <t>TERRITORY; MAWSON</t>
  </si>
  <si>
    <t>Australia's experience of the International Geophysical Year (IGY) in Antarctica (1957-8) tempers the dominant narrative of the IGY as a transformative event in Antarctic affairs. This article argues that the IGY was not a great rupture in Australia's relationship with Antarctica. Rather, because of a long cultural attachment to and continuing relationship with Antarctica based in concepts of national security and development, Australian government policy stubbornly adhered to the idea of territorial sovereignty. Recognising this continuity in Australia's relationship with Antarctica is important for reconfiguring our understanding of how the Antarctic Treaty took the form it did.</t>
  </si>
  <si>
    <t>Australian Natl Univ, Canberra, ACT 0200, Australia</t>
  </si>
  <si>
    <t>Australian National University</t>
  </si>
  <si>
    <t>Antonello, A (corresponding author), Australian Natl Univ, Canberra, ACT 0200, Australia.</t>
  </si>
  <si>
    <t>Antonello, Alessandro/0000-0002-7549-1436</t>
  </si>
  <si>
    <t>0004-9522</t>
  </si>
  <si>
    <t>1467-8497</t>
  </si>
  <si>
    <t>AUST J POLIT HIST</t>
  </si>
  <si>
    <t>Aust. J. Polit. Hist.</t>
  </si>
  <si>
    <t>10.1111/ajph.12031</t>
  </si>
  <si>
    <t>History; Political Science</t>
  </si>
  <si>
    <t>History; Government &amp; Law</t>
  </si>
  <si>
    <t>275BK</t>
  </si>
  <si>
    <t>WOS:000328650200003</t>
  </si>
  <si>
    <t>Demezhko, DY; Gornostaeva, AA; Tarkhanov, GV; Esipko, OA</t>
  </si>
  <si>
    <t>Demezhko, Dmitry Yu.; Gornostaeva, Anastasia A.; Tarkhanov, Georgy V.; Esipko, Oleg A.</t>
  </si>
  <si>
    <t>30,000 years of ground surface temperature and heat flux changes in Karelia Reconstructed from BOREHOLE TEMPERATURE DATA</t>
  </si>
  <si>
    <t>BULLETIN OF GEOGRAPHY-PHYSICAL GEOGRAPHY SERIES</t>
  </si>
  <si>
    <t>Borehole temperatures; paleoclimate reconstruction; Pleistocene/Holocene transition; surface temperature; heat flux; Karelia</t>
  </si>
  <si>
    <t>GEOTHERMAL EVIDENCE; CLIMATE-CHANGE; CARBON-CYCLE; ICE-SHEET; LAST; PERMAFROST; BASIN; FLOW; RECORD; URALS</t>
  </si>
  <si>
    <t>Analyses of temperature-depth profiles logged in deep boreholes (&gt; 1 km) permit the reconstruction of ground surface temperature (GST) and surface heat flux (SHF) histories in the period of global climate change at the border of the Pleistocene and the Holocene. We reconstructed past GST and SHF histories using data obtained from the 3.5-km-deep Onega borehole (Karelia, north-west Russia). The resulting reconstructions include information on the basal thermal regime of the Scandinavian Ice Sheet, which covered the region in the Last Glacial Maximum (LGM). The surface temperature history reveals a high amplitude of Pleistocene/Holocene warming equal to 18-20 K. The heat flux changes precede the surface temperature changes and are close to the variations of insolation at a latitude of 60 degrees N. A comparison of the reconstructed GST and SHF histories with the records of carbon dioxide contents in Antarctic ice cores shows that CO2 changes are much closer to temperature changes than they are to heat flux changes.</t>
  </si>
  <si>
    <t>[Demezhko, Dmitry Yu.; Gornostaeva, Anastasia A.] RAS, UB, Inst Geophys, 100 Amundsen Str, Ekaterinburg 620016, Russia; [Tarkhanov, Georgy V.; Esipko, Oleg A.] JSC SIC Nedra, Yaroslavl, Russia</t>
  </si>
  <si>
    <t>Russian Academy of Sciences</t>
  </si>
  <si>
    <t>Demezhko, DY (corresponding author), RAS, UB, Inst Geophys, 100 Amundsen Str, Ekaterinburg 620016, Russia.</t>
  </si>
  <si>
    <t>ddem54@inbox.ru</t>
  </si>
  <si>
    <t>Gornostaeva, Anastasiia/AAD-6326-2022</t>
  </si>
  <si>
    <t>Russian foundation of fundamental researches [13-05-00724a]</t>
  </si>
  <si>
    <t>Russian foundation of fundamental researches(Russian Foundation for Basic Research (RFBR))</t>
  </si>
  <si>
    <t>The authors would like to thank two anonymous reviewers for their useful comments, constructive suggestions and improvements of the text. This research was supported by the Russian foundation of fundamental researches (grant 13-05-00724a)</t>
  </si>
  <si>
    <t>DE GRUYTER POLAND SP ZOO</t>
  </si>
  <si>
    <t>BOGUMILA ZUGA 32A STR., 01-811 WARSAW, POLAND</t>
  </si>
  <si>
    <t>2080-7686</t>
  </si>
  <si>
    <t>2300-8490</t>
  </si>
  <si>
    <t>BULL GEOGR-PHYS GEOG</t>
  </si>
  <si>
    <t>Bull. Geogr.-Phys. Geogr. Ser.</t>
  </si>
  <si>
    <t>10.2478/bgeo-2013-0001</t>
  </si>
  <si>
    <t>V24ER</t>
  </si>
  <si>
    <t>WOS:000215140800001</t>
  </si>
  <si>
    <t>Arazny, A; Kejna, M; Sobota, I</t>
  </si>
  <si>
    <t>Arazny, Andrzej; Kejna, Marek; Sobota, Ireneusz</t>
  </si>
  <si>
    <t>GROUND TEMPERATURE AT THE HENRYK ARCTOWSKI STATION (KING GEORGE ISLAND, ANTAR CTIC) CASE STUDY FROM THE PERIOD JANUARY 2012 TO FEBRUARY 2013</t>
  </si>
  <si>
    <t>ground temperature; climate; H. Arctowski Station; King George Island; the Antarctic</t>
  </si>
  <si>
    <t>The article presents the results of measurements of ground temperature in the context of general meteorological conditions at the Henryk Arctowski Station (King George Island, South Shetland Islands, Antarctic) from the period of 20 January 2013 to 22 February 2013. The measurements were taken using a Vantage Pro+ automatic weather station and the thermal conditions of the ground were measured by means of a HOBO automatic data logger. The variability of ground temperature was analysed in an annual and diurnal cycle. A clear recurrent diurnal pattern was observed in the summer season, resulting from more favourable insolation conditions in that part of the year. In the winter, on the other hand, no major differences in the diurnal cycle of ground temperature were found, particularly with a dense snow cover.</t>
  </si>
  <si>
    <t>[Arazny, Andrzej; Kejna, Marek] Nicholas Copernicus Univ, Dept Meteorol &amp; Climatol, Lwowska 1, PL-87100 Torun, Poland; [Sobota, Ireneusz] Nicholas Copernicus Univ, Dept Hydrol &amp; Water Management, PL-87100 Torun, Poland</t>
  </si>
  <si>
    <t>Nicolaus Copernicus University; Nicolaus Copernicus University</t>
  </si>
  <si>
    <t>Arazny, A (corresponding author), Nicholas Copernicus Univ, Dept Meteorol &amp; Climatol, Lwowska 1, PL-87100 Torun, Poland.</t>
  </si>
  <si>
    <t>andy@umk.pl</t>
  </si>
  <si>
    <t>Sobota, Ireneusz/L-7768-2013; Sobota, Ireneusz/JCO-3029-2023; Araźny, Andrzej/J-8542-2014</t>
  </si>
  <si>
    <t>Sobota, Ireneusz/0000-0001-5983-7049;</t>
  </si>
  <si>
    <t>National Science Centre [NN 306 722540]</t>
  </si>
  <si>
    <t>National Science Centre(National Science Centre, Poland)</t>
  </si>
  <si>
    <t>The observations were carried out as part of the Climatic and Glaciological Interactions in the Context of Global Warming. Study based on the example of SSSI No. 8 ( King George Island, West Antarctica) funded by the National Science Centre (NN 306 722540). The authors wish to thank the Participants of the 36th and the 37th Antarctic Expedition of the Polish Academy of Sciences for their logistic support of the observations in the area of the H. Arctowski Station.</t>
  </si>
  <si>
    <t>DE GRUYTER OPEN LTD</t>
  </si>
  <si>
    <t>BOGUMILA ZUGA 32A ST, 01-811 WARSAW, POLAND</t>
  </si>
  <si>
    <t>10.2478/bgeo-2013-0004</t>
  </si>
  <si>
    <t>WOS:000215140800004</t>
  </si>
  <si>
    <t>Zhang, CD</t>
  </si>
  <si>
    <t>Zhang, Chidong</t>
  </si>
  <si>
    <t>MADDEN-JULIAN OSCILLATION Bridging Weather and Climate</t>
  </si>
  <si>
    <t>BULLETIN OF THE AMERICAN METEOROLOGICAL SOCIETY</t>
  </si>
  <si>
    <t>EQUATORIAL INDIAN-OCEAN; TROPICAL CYCLONE ACTIVITY; INDO-PACIFIC THROUGHFLOW; WESTERLY WIND BURSTS; ATMOSPHERIC INTRASEASONAL VARIABILITY; SURFACE AIR-TEMPERATURE; TOGA COARE CONVECTION; EAST-AFRICAN RAINFALL; PART I; VERTICAL STRUCTURE</t>
  </si>
  <si>
    <t>The Madden-Julian oscillation exerts broad influences on global weather and climate as its center of convection moves from the tropical Indian Ocean into the Pacific. Weather events under the influence of the MJO include precipitation, surface temperature, tropical cyclones, tornadoes, flood, wildfire, and lightning, among others. Several climate phenomena are also affected by the MJO. They are the monsoons, El Nino-Southern Oscillation, the North Atlantic Oscillation, the Pacific and North American pattern, the Arctic and Antarctic Oscillations or northern and southern annual modes, the Indian Ocean dipole, the Wyrtki jets, and the Indonesian Through-flow. This article provides a brief summary of the connections between the MJO and these weather and climate phenomena. These connections demonstrate the critical role of the MJO in the weather-climate continuum and its prediction.</t>
  </si>
  <si>
    <t>[Zhang, Chidong] Univ Miami, RSMAS, Miami, FL 33133 USA</t>
  </si>
  <si>
    <t>University of Miami</t>
  </si>
  <si>
    <t>Zhang, CD (corresponding author), Univ Miami, RSMAS MPO, 4600 Rickenbacker Causeway, Miami, FL 33133 USA.</t>
  </si>
  <si>
    <t>czhang@rsmas.miami.edu</t>
  </si>
  <si>
    <t>zhang, chao/HTO-2468-2023; zhang, jt/JVE-1333-2024; zhang, chao/IXD-9965-2023</t>
  </si>
  <si>
    <t>National Science Foundation [AGS-1062202]; Office of Science (BER) of the US Department of Energy [DE-SC0006808, DE-SC0008568]; National Oceanic and Atmospheric Administration [GC09-330a]; Office of Naval Research [N000141210984]; Div Atmospheric &amp; Geospace Sciences; Directorate For Geosciences [1062202] Funding Source: National Science Foundation; U.S. Department of Energy (DOE) [DE-SC0006808, DE-SC0008568] Funding Source: U.S. Department of Energy (DOE)</t>
  </si>
  <si>
    <t>National Science Foundation(National Science Foundation (NSF)); Office of Science (BER) of the US Department of Energy(United States Department of Energy (DOE)); National Oceanic and Atmospheric Administration(National Oceanic Atmospheric Admin (NOAA) - USA); Office of Naval Research(Office of Naval Research); Div Atmospheric &amp; Geospace Sciences; Directorate For Geosciences(National Science Foundation (NSF)NSF - Directorate for Geosciences (GEO)); U.S. Department of Energy (DOE)(United States Department of Energy (DOE))</t>
  </si>
  <si>
    <t>The author thanks Duane Waliser and two anonymous reviewers for their careful and constructive comments on the submitted manuscript of this article. He is also grateful to Weiqing Han, Charles Jones, Hai Lin, Eric Maloney, and Matthew Wheeler for their comments and suggestions on certain parts of the manuscript. Thanks also go to Jian Ling and David Zermeno for their help of making some of the figures. The effort of writing this article was supported by grants from the National Science Foundation (AGS-1062202), the Office of Science (BER) of the US Department of Energy (DE-SC0006808, DE-SC0008568), the National Oceanic and Atmospheric Administration (GC09-330a), and the Office of Naval Research (N000141210984).</t>
  </si>
  <si>
    <t>0003-0007</t>
  </si>
  <si>
    <t>1520-0477</t>
  </si>
  <si>
    <t>B AM METEOROL SOC</t>
  </si>
  <si>
    <t>Bull. Amer. Meteorol. Soc.</t>
  </si>
  <si>
    <t>10.1175/BAMS-D-12-00026.1</t>
  </si>
  <si>
    <t>287OH</t>
  </si>
  <si>
    <t>WOS:000329551600009</t>
  </si>
  <si>
    <t>Margesin, R; Snape, I</t>
  </si>
  <si>
    <t>Margesin, Rosa; Snape, Ian</t>
  </si>
  <si>
    <t>Special Issue: Contaminants in freezing ground and associated cold ecosystems</t>
  </si>
  <si>
    <t>COLD REGIONS SCIENCE AND TECHNOLOGY</t>
  </si>
  <si>
    <t>[Margesin, Rosa] Univ Innsbruck, A-6020 Innsbruck, Austria; [Snape, Ian] Australian Antarctic Div, Kingston, Tas, Australia</t>
  </si>
  <si>
    <t>University of Innsbruck; Australian Antarctic Division</t>
  </si>
  <si>
    <t>Margesin, R (corresponding author), Univ Innsbruck, A-6020 Innsbruck, Austria.</t>
  </si>
  <si>
    <t>rosa.margesin@uibk.ac.at; ian.snape@aad.gov.au</t>
  </si>
  <si>
    <t>0165-232X</t>
  </si>
  <si>
    <t>1872-7441</t>
  </si>
  <si>
    <t>COLD REG SCI TECHNOL</t>
  </si>
  <si>
    <t>Cold Reg. Sci. Tech.</t>
  </si>
  <si>
    <t>10.1016/j.coldregions.2013.08.010</t>
  </si>
  <si>
    <t>Engineering, Environmental; Engineering, Civil; Geosciences, Multidisciplinary</t>
  </si>
  <si>
    <t>Engineering; Geology</t>
  </si>
  <si>
    <t>260DU</t>
  </si>
  <si>
    <t>WOS:000327576000008</t>
  </si>
  <si>
    <t>Woolley, SNC; McCallum, AW; Wilson, R; O'Hara, TD; Dunstan, PK</t>
  </si>
  <si>
    <t>Woolley, Skipton N. C.; McCallum, Anna W.; Wilson, Robin; O'Hara, Timothy D.; Dunstan, Piers K.</t>
  </si>
  <si>
    <t>Fathom out: biogeographical subdivision across the Western Australian continental margin - a multispecies modelling approach</t>
  </si>
  <si>
    <t>DIVERSITY AND DISTRIBUTIONS</t>
  </si>
  <si>
    <t>Continental margin; marine biodiversity; finite mixture models; biogeography; bioregions; benthic invertebrates</t>
  </si>
  <si>
    <t>LEEUWIN CURRENT; SPECIES RICHNESS; BIODIVERSITY; SHELF; ASSEMBLAGES; REGIONS; ECOREGIONS; PREDICTORS; DIVERSITY; SEAMOUNTS</t>
  </si>
  <si>
    <t>AimBiogeographical regions are often used as a basis for management strategies, yet a challenge for biodiversity management across broad scales is establishing biogeographical regions that are robust across taxonomic groups. MethodsFinite mixture models were developed to predict multiple species assemblages termed archetypes. Modelled species archetypes were developed using Decapoda, Ophiuroidea and Polychaeta species, which were grouped based on their similar responses to oceanographic and geographical gradients. LocationOuter-shelf and slope (50-1200m) of the continental margin of Western Australia (similar to 11 degrees S-36 degrees S). ResultsFour faunal regions were defined based on cross-taxa surrogates grouped as archetypes. These faunal regions were defined by oxygen, salinity, carbon and temperature gradients across latitude and bathymetry. Two broad latitudinal bands and two bathyal regions were described. Adjacent faunal groups were not defined by abrupt geographical breaks but rather transitions. Main conclusionsThese results suggest that faunal distributions were less finely resolved than existing marine bioregions on the Western Australian continental margin and that environmental gradients are correlated with distributions of benthic marine invertebrates. Identifying biogeographical regions based on these methods has the potential to inform management across a broad range of environments.</t>
  </si>
  <si>
    <t>[Woolley, Skipton N. C.; McCallum, Anna W.; Wilson, Robin; O'Hara, Timothy D.] Museum Victoria, Melbourne, Vic 3001, Australia; [Dunstan, Piers K.] CSIRO Wealth Oceans Flagship, Hobart, Tas, Australia</t>
  </si>
  <si>
    <t>Museum Victoria; Commonwealth Scientific &amp; Industrial Research Organisation (CSIRO)</t>
  </si>
  <si>
    <t>Woolley, SNC (corresponding author), Museum Victoria, GPO Box 666, Melbourne, Vic 3001, Australia.</t>
  </si>
  <si>
    <t>swoolley@museum.vic.gov.au</t>
  </si>
  <si>
    <t>Dunstan, Piers/B-7309-2016</t>
  </si>
  <si>
    <t>Dunstan, Piers/0000-0002-2568-5945; Wilson, Robin/0000-0002-9441-2131</t>
  </si>
  <si>
    <t>Australian Government's National Environmental Research Program (NERP); Institute for Marine and Antarctic Studies, University of Tasmania; CSIRO; Geoscience Australia; Australian Institute of Marine Science; Museum Victoria; Charles Darwin University; University of Western Australia</t>
  </si>
  <si>
    <t>Australian Government's National Environmental Research Program (NERP)(Australian Government); Institute for Marine and Antarctic Studies, University of Tasmania; CSIRO(Commonwealth Scientific &amp; Industrial Research Organisation (CSIRO)); Geoscience Australia; Australian Institute of Marine Science; Museum Victoria; Charles Darwin University; University of Western Australia</t>
  </si>
  <si>
    <t>We thank D. Richardson, M. Rouget, N. Bax and three anonymous referees for their help and comments. This work was undertaken for the Marine Biodiversity Hub, a collaborative partnership supported through funding from the Australian Government's National Environmental Research Program (NERP). NERP Marine Biodiversity Hub partners include the Institute for Marine and Antarctic Studies, University of Tasmania; CSIRO, Geoscience Australia, Australian Institute of Marine Science, Museum Victoria, Charles Darwin University and the University of Western Australia. Collecting on the FRV Southern Surveyor was undertaken under General Collecting Permit issued by Environment Australia issued to Dr Alan Williams, CSIRO Marine Research, Hobart, and approved by the Department of Primary Industries, Water and Environment Animal Ethics Committee.</t>
  </si>
  <si>
    <t>1366-9516</t>
  </si>
  <si>
    <t>1472-4642</t>
  </si>
  <si>
    <t>DIVERS DISTRIB</t>
  </si>
  <si>
    <t>Divers. Distrib.</t>
  </si>
  <si>
    <t>10.1111/ddi.12119</t>
  </si>
  <si>
    <t>290SM</t>
  </si>
  <si>
    <t>WOS:000329778600005</t>
  </si>
  <si>
    <t>Polyakov, IV; Bhatt, US; Walsh, JE; Abrahamsen, EP; Pnyushkov, AV; Wassmann, PF</t>
  </si>
  <si>
    <t>Polyakov, Igor V.; Bhatt, Uma S.; Walsh, John E.; Abrahamsen, E. Povl; Pnyushkov, Andrey V.; Wassmann, Paul F.</t>
  </si>
  <si>
    <t>Recent oceanic changes in the Arctic in the context of long-term observations</t>
  </si>
  <si>
    <t>ECOLOGICAL APPLICATIONS</t>
  </si>
  <si>
    <t>Arctic; climate; climate change; trajectory of the Arctic</t>
  </si>
  <si>
    <t>INTERMEDIATE ATLANTIC WATER; SEA-ICE COVER; COLD HALOCLINE; NANSEN BASIN; LAPTEV SEA; VARIABILITY; OSCILLATION; AMPLIFICATION; 20TH-CENTURY; HYDROGRAPHY</t>
  </si>
  <si>
    <t>This synthesis study assesses recent changes of Arctic Ocean physical parameters using a unique collection of observations from the 2000s and places them in the context of long-term climate trends and variability. Our analysis demonstrates that the 2000s were an exceptional decade with extraordinary upper Arctic Ocean freshening and intermediate Atlantic water warming. We note that the Arctic Ocean is characterized by large amplitude multi-decadal variability in addition to a long-term trend, making the link of observed changes to climate drivers problematic. However, the exceptional magnitude of recent high-latitude changes (not only oceanic, but also ice and atmospheric) strongly suggests that these recent changes signify a potentially irreversible shift of the Arctic Ocean to a new climate state. These changes have important implications for the Arctic Ocean's marine ecosystem, especially those components that are dependent on sea ice or that have temperature-dependent sensitivities or thresholds. Addressing these and other questions requires a carefully orchestrated combination of sustained multidisciplinary observations and advanced modeling.</t>
  </si>
  <si>
    <t>[Polyakov, Igor V.; Bhatt, Uma S.] Univ Alaska, Int Arctic Res Ctr, Fairbanks, AK 99775 USA; [Polyakov, Igor V.] Univ Alaska, Coll Nat Sci &amp; Math, Dept Atmospher Sci, Fairbanks, AK 99775 USA; [Walsh, John E.; Pnyushkov, Andrey V.] Univ Alaska, Inst Geophys, Fairbanks, AK 99775 USA; [Abrahamsen, E. Povl] British Antarctic Survey, Cambridge CB3 0ET, England; [Wassmann, Paul F.] Univ Tromso, Tromso, Norway</t>
  </si>
  <si>
    <t>University of Alaska System; University of Alaska Fairbanks; University of Alaska System; University of Alaska Fairbanks; University of Alaska System; University of Alaska Fairbanks; UK Research &amp; Innovation (UKRI); Natural Environment Research Council (NERC); NERC British Antarctic Survey; UiT The Arctic University of Tromso</t>
  </si>
  <si>
    <t>Polyakov, IV (corresponding author), Univ Alaska, Int Arctic Res Ctr, Fairbanks, AK 99775 USA.</t>
  </si>
  <si>
    <t>igor@iarc.uaf.edu</t>
  </si>
  <si>
    <t>Pnyushkov, Andrey/M-3156-2019; Walsh, John/GQI-2785-2022; Pnyushkov, Andrey/J-4153-2014; Abrahamsen, Povl/B-2140-2008</t>
  </si>
  <si>
    <t>Pnyushkov, Andrey/0000-0001-9112-6458; Walsh, John/0000-0002-2510-8734; Pnyushkov, Andrey/0000-0001-9112-6458; Abrahamsen, Povl/0000-0001-5924-5350; Bhatt, Uma/0000-0003-1056-3686; Walsh, John/0000-0001-9541-5927</t>
  </si>
  <si>
    <t>CIFAR; JAMSTEC; NOAA; NSF; U.K. NERC; NERC [bas0100028] Funding Source: UKRI; Natural Environment Research Council [bas0100028] Funding Source: researchfish; Office of Polar Programs (OPP); Directorate For Geosciences [1249133] Funding Source: National Science Foundation</t>
  </si>
  <si>
    <t>CIFAR(Canadian Institute for Advanced Research (CIFAR)); JAMSTEC; NOAA(National Oceanic Atmospheric Admin (NOAA) - USA); NSF(National Science Foundation (NSF)); U.K. NERC(UK Research &amp; Innovation (UKRI)Natural Environment Research Council (NERC)); NERC(UK Research &amp; Innovation (UKRI)Natural Environment Research Council (NERC)); Natural Environment Research Council(UK Research &amp; Innovation (UKRI)Natural Environment Research Council (NERC)); Office of Polar Programs (OPP); Directorate For Geosciences(National Science Foundation (NSF)NSF - Directorate for Geosciences (GEO))</t>
  </si>
  <si>
    <t>This study is supported by CIFAR, JAMSTEC, NOAA, and NSF (I. Polyakov, U. Bhatt) and by U.K. NERC (P. Abrahamson) grants. A successful recovery of our moorings in 2011 was a great team effort by all onboard the R/V Polarstern. Many thanks to all who helped achieve such a great result. We particularly appreciate the key role of the ship Master, Stefan Schwarze, his chiefmate Uwe Grundmann, and the three officers and two sailors who personally took part in the recovery of our moorings, spending long, cold, and risky hours in the rubber boat catching our moorings between ice floes and seas with a rope. We also thank the AWI for willingness to help us in recovery of the moorings. Particularly, we thank U. Schauer and B. Rabe for their exceptional help. We thank two reviewers and A. Kytaisky and D. (Skip) Walker for their useful comments.</t>
  </si>
  <si>
    <t>1051-0761</t>
  </si>
  <si>
    <t>1939-5582</t>
  </si>
  <si>
    <t>ECOL APPL</t>
  </si>
  <si>
    <t>Ecol. Appl.</t>
  </si>
  <si>
    <t>10.1890/11-0902.1</t>
  </si>
  <si>
    <t>273XA</t>
  </si>
  <si>
    <t>Green Submitted, Green Accepted</t>
  </si>
  <si>
    <t>WOS:000328568400003</t>
  </si>
  <si>
    <t>Ivanov, V; Watanabe, E</t>
  </si>
  <si>
    <t>Ivanov, Vladimir; Watanabe, Eiji</t>
  </si>
  <si>
    <t>Does Arctic sea ice reduction foster shelf-basin exchange?</t>
  </si>
  <si>
    <t>Arctic Ocean; Arctic sea ice; cascading; climate change; convection; dense water formation; ocean-air energy exchange; ocean circulation model; polynya; shelf-slope water exchange</t>
  </si>
  <si>
    <t>DENSE WATER FORMATION; CONTINENTAL-SHELF; OCEAN; MODEL; CIRCULATION; TRANSPORT; POLYNYAS; FLUX</t>
  </si>
  <si>
    <t>The recent shift in Arctic ice conditions from prevailing multi-year ice to first-year ice will presumably intensify fall-winter sea ice freezing and the associated salt flux to the underlying water column. Here, we conduct a dual modeling study whose results suggest that the predicted catastrophic consequences for the global thermohaline circulation (THC), as a result of the disappearance of Arctic sea ice, may not necessarily occur. In a warmer climate, the substantial fraction of dense water feeding the Greenland-Scotland overflow may form on Arctic shelves and cascade to the deep basin, thus replenishing dense water, which currently forms through open ocean convection in the sub-Arctic seas. We have used a simplified model for estimating how increased ice production influences shelf-basin exchange associated with dense water cascading. We have carried out case studies in two regions of the Arctic Ocean where cascading was observed in the past. The baseline range of buoyancy-forcing derived from the columnar ice formation was calculated as part of a 30-year experiment of the pan-Arctic coupled ice-ocean general circulation model (GCM). The GCM results indicate that mechanical sea ice divergence associated with lateral advection accounts for a significant part of the interannual variations in sea ice thermal production in the coastal polynya regions. This forcing was then rectified by taking into account sub-grid processes and used in a regional model with analytically prescribed bottom topography and vertical stratification in order to examine specific cascading conditions in the Pacific and Atlantic sectors of the Arctic Ocean. Our results demonstrate that the consequences of enhanced ice formation depend on geographical location and shelf-basin bathymetry. In the Pacific sector, strong density stratification in slope waters impedes noticeable deepening of shelf-origin water, even for the strongest forcing applied. In the Atlantic sector, a 1.5x increase of salt flux leads to a threefold increase of shelf-slope volume flux below the warm core of Atlantic water. This threefold increase would be a sufficient substitute for a similar amount of dense water that currently forms in the Greenland, Iceland, and Norwegian (GIN) seas but is expected to decrease in a warming climate.</t>
  </si>
  <si>
    <t>[Ivanov, Vladimir; Watanabe, Eiji] Univ Alaska, Int Arctic Res Ctr, Fairbanks, AK 99775 USA; [Ivanov, Vladimir] Arctic &amp; Antarctic Res Inst, St Petersburg 199226, Russia</t>
  </si>
  <si>
    <t>University of Alaska System; University of Alaska Fairbanks; Arctic &amp; Antarctic Research Institute</t>
  </si>
  <si>
    <t>Ivanov, V (corresponding author), Univ Alaska, Int Arctic Res Ctr, Fairbanks, AK 99775 USA.</t>
  </si>
  <si>
    <t>vivanov@iarc.uaf.edu</t>
  </si>
  <si>
    <t>Ivanov, Vladimir/AAX-6830-2020; Ivanov, Vladimir/J-5979-2014; WATANABE, EIJI/C-2797-2009</t>
  </si>
  <si>
    <t>Ivanov, Vladimir/0000-0003-2569-6027;</t>
  </si>
  <si>
    <t>NSF [1249133]; JAMSTEC; JAXA; OSL; Japan Society for the Promotion of Science (JSPS) [22221003]; Directorate For Geosciences; Office of Polar Programs (OPP) [1249133] Funding Source: National Science Foundation; Grants-in-Aid for Scientific Research [22221003] Funding Source: KAKEN</t>
  </si>
  <si>
    <t>NSF(National Science Foundation (NSF)); JAMSTEC; JAXA; OSL; Japan Society for the Promotion of Science (JSPS)(Ministry of Education, Culture, Sports, Science and Technology, Japan (MEXT)Japan Society for the Promotion of Science); Directorate For Geosciences; Office of Polar Programs (OPP)(National Science Foundation (NSF)NSF - Directorate for Geosciences (GEO)); Grants-in-Aid for Scientific Research(Ministry of Education, Culture, Sports, Science and Technology, Japan (MEXT)Japan Society for the Promotion of ScienceGrants-in-Aid for Scientific Research (KAKENHI))</t>
  </si>
  <si>
    <t>This study was carried out at IARC with financial support from NSF Research Grant 1249133, JAMSTEC, JAXA, and OSL. E. Watanabe appreciates the Grants-in-Aid for Scientific Research (S) of the Japan Society for the Promotion of Science (JSPS) JFY2010-2014, No. 22221003, Catastrophic reduction of sea ice in the Arctic Ocean: its impact on the marine ecosystems in the polar region. Parts of pan-Arctic Ocean modeling were executed using JAMSTEC Earth Simulator version 2. The authors are grateful to anonymous reviewers for their useful comments and suggestions.</t>
  </si>
  <si>
    <t>10.1890/11-1069.1</t>
  </si>
  <si>
    <t>WOS:000328568400004</t>
  </si>
  <si>
    <t>Hill, SL</t>
  </si>
  <si>
    <t>Hill, Simeon L.</t>
  </si>
  <si>
    <t>From strategic ambiguity to technical reference points in the Antarctic krill fishery: the worst journey in the world?</t>
  </si>
  <si>
    <t>ENVIRONMENTAL CONSERVATION</t>
  </si>
  <si>
    <t>ecosystem based management; ecosystem dynamics model; ecosystem services; Euphausia superba; krill; reference point; risk; uncertainty</t>
  </si>
  <si>
    <t>SOUTH-GEORGIA; MARINE ECOSYSTEM; SCOTIA SEA; MANAGING FISHERIES; FOOD-WEB; MANAGEMENT; MODELS; IMPACTS; OCEAN; CONSERVATION</t>
  </si>
  <si>
    <t>The goals of ecosystem based management (EBM) are strategically ambiguous, meaning that they require interpretation to identify objectives for ecosystem state. Ecosystem states that are useful for achieving such objectives are known as reference points. Soft reference points specify both a state and a probability of the ecosystem being in that state. They are used with simulation models to identify management measures for which the risk of the ecosystem entering an undesirable state is below a specified level. The Commission for the Conservation of Antarctic Marine Living Resources (CCAMLR) is responsible for the EBM of Antarctic krill fisheries. CCAMLR used soft reference points for the krill stock in the Scotia Sea and southern Drake Passage to set a regional catch limit. However, this catch limit needs spatial subdivision to protect predators from localized depletion. Model-based evaluations of different options for subdividing the catch limit used illustrative reference points to assess the depletion risk to multiple predators. This study demonstrates that the apparent risk is sensitive to the choice of reference point and method for aggregating modelled predators. EBM practitioners and stakeholders need to be aware that these factors could therefore bias comparisons of management measures. Nonetheless, qualitative distinctions between different spatial subdivision options are relatively consistent except at high levels of aggregation and extreme reference points. This study also demonstrates a lack of generality in the relationship between current and future ecosystem state. Thus, the EBM goal of maintaining ecosystem resilience implies different reference points for the current state of different ecosystem components. Despite early progress in defining soft reference points for the krill stock, CCAMLR has not yet defined reference points for krill predators. Structured dialogue aimed at identifying collective objectives might be necessary to achieve further progress in CCAMLR and other EBM organizations.</t>
  </si>
  <si>
    <t>British Antarctic Survey, NERC, Cambridge CB3 0ET, England</t>
  </si>
  <si>
    <t>Hill, SL (corresponding author), British Antarctic Survey, NERC, Madingley Rd, Cambridge CB3 0ET, England.</t>
  </si>
  <si>
    <t>sih@bas.ac.uk</t>
  </si>
  <si>
    <t>Simeon, Hill L/B-2307-2008</t>
  </si>
  <si>
    <t>British Antarctic Survey's Natural Environment Research Council; NERC [bas0100025] Funding Source: UKRI; Natural Environment Research Council [bas0100025] Funding Source: researchfish</t>
  </si>
  <si>
    <t>British Antarctic Survey's Natural Environment Research Council; NERC(UK Research &amp; Innovation (UKRI)Natural Environment Research Council (NERC)); Natural Environment Research Council(UK Research &amp; Innovation (UKRI)Natural Environment Research Council (NERC))</t>
  </si>
  <si>
    <t>This paper is a contribution to the British Antarctic Survey's Natural Environment Research Council core-funded Ecosystems programme. I am indebted to George Watters, Jefferson Hinke and Justin Matthews for their work in developing and implementing the simulation model, particularly Justin for guidance in producing the figures. Other ideas presented in this paper have developed as a result of numerous discussions with many colleagues at BAS, in CCAMLR's scientific working groups and beyond, especially Frances Rock and Mark Cannon. Many thanks to Susie Grant who produced Fig 1. Thanks also to two referees and the editors for helpful suggestions.</t>
  </si>
  <si>
    <t>0376-8929</t>
  </si>
  <si>
    <t>1469-4387</t>
  </si>
  <si>
    <t>ENVIRON CONSERV</t>
  </si>
  <si>
    <t>Environ. Conserv.</t>
  </si>
  <si>
    <t>10.1017/S0376892913000088</t>
  </si>
  <si>
    <t>Biodiversity Conservation; Environmental Sciences</t>
  </si>
  <si>
    <t>299BJ</t>
  </si>
  <si>
    <t>WOS:000330369300010</t>
  </si>
  <si>
    <t>Murphy, DP; Thomas, DJ</t>
  </si>
  <si>
    <t>Murphy, Daniel P.; Thomas, Deborah J.</t>
  </si>
  <si>
    <t>The evolution of Late Cretaceous deep-ocean circulation in the Atlantic basins: Neodymium isotope evidence from South Atlantic drill sites for tectonic controls</t>
  </si>
  <si>
    <t>GEOCHEMISTRY GEOPHYSICS GEOSYSTEMS</t>
  </si>
  <si>
    <t>Nd isotopes; Cretaceous; ocean circulation; South Atlantic</t>
  </si>
  <si>
    <t>ANTARCTIC PENINSULA; WALVIS RIDGE; ND-ISOTOPES; CENOZOIC SEDIMENTS; TROPICAL ATLANTIC; FALKLAND PLATEAU; SEA SEDIMENTS; DEMERARA RISE; PACIFIC-OCEAN; ANOXIC EVENT</t>
  </si>
  <si>
    <t>The South Atlantic basins during the Late Cretaceous were characterized by overall expansion and the opening of deep-water connections, eventually permitting deep-ocean circulation with the Indian and North Atlantic basins. However, the evolving pattern of deep-ocean circulation through the Late Cretaceous, particularly the timing of the connection between various basins, is not well constrained. Here we present new neodymium isotope data from five sites in the South Atlantic to reconstruct water mass chemistry and circulation patterns. The new data combined with previously published data indicate deep-water formation occurred in the high-latitude South Atlantic throughout the Late Cretaceous. Tectonic boundaries restricted the circulation of Southern Component Water until the opening of the Equatorial Atlantic Gateway and the subsidence of Rio Grande Rise between approximate to 79 and 75 Ma. Subsidence of these features permitted the northward flow of Southern Component Water, which then ventilated the deep North Atlantic. Nd isotope data indicate that the South Atlantic water column during the Cenomanian to Santonian was vertically stratified between intermediate and deep waters, with increased mixing evident during the Campanian and Maastrichtian.</t>
  </si>
  <si>
    <t>[Murphy, Daniel P.] Univ Southampton, Natl Oceanog Ctr Southampton, Southampton, Hants SO14 3ZH, England; [Murphy, Daniel P.; Thomas, Deborah J.] Texas A&amp;M Univ, Dept Oceanog, College Stn, TX 77843 USA</t>
  </si>
  <si>
    <t>NERC National Oceanography Centre; University of Southampton; Texas A&amp;M University System; Texas A&amp;M University College Station</t>
  </si>
  <si>
    <t>Murphy, DP (corresponding author), Univ Southampton, Natl Oceanog Ctr Southampton, Southampton, Hants SO14 3ZH, England.</t>
  </si>
  <si>
    <t>d.murphy@noc.soton.ac.uk</t>
  </si>
  <si>
    <t>Murphy, Daniel P/B-3156-2012</t>
  </si>
  <si>
    <t>NSF EAR [0617330]; Division Of Earth Sciences; Directorate For Geosciences [0617330] Funding Source: National Science Foundation</t>
  </si>
  <si>
    <t>NSF EAR(National Science Foundation (NSF)); Division Of Earth Sciences; Directorate For Geosciences(National Science Foundation (NSF)NSF - Directorate for Geosciences (GEO))</t>
  </si>
  <si>
    <t>This work was funded by NSF EAR award 0617330 to D.J.T. We gratefully acknowledge Ken and Jane Williams for support of the TAMU Radiogenic Isotope Geosciences Laboratory and Drew Coleman for use of the UNC-CH radiogenic isotope lab. This project used samples provided by the Integrated Ocean Drilling Program. We thank the editor (Louis Derry), Tracy Frank, and one anonymous reviewer for their thoughtful comments, which greatly improved this manuscript.</t>
  </si>
  <si>
    <t>1525-2027</t>
  </si>
  <si>
    <t>GEOCHEM GEOPHY GEOSY</t>
  </si>
  <si>
    <t>Geochem. Geophys. Geosyst.</t>
  </si>
  <si>
    <t>10.1002/2013GC004889</t>
  </si>
  <si>
    <t>AA1CI</t>
  </si>
  <si>
    <t>WOS:000330833500020</t>
  </si>
  <si>
    <t>Martin, AP; Cooper, AF; Price, RC</t>
  </si>
  <si>
    <t>Martin, Adam P.; Cooper, Alan F.; Price, Richard C.</t>
  </si>
  <si>
    <t>Petrogenesis of Cenozoic, alkalic volcanic lineages at Mount Morning, West Antarctica and their entrained lithospheric mantle xenoliths: Lithospheric versus asthenospheric mantle sources</t>
  </si>
  <si>
    <t>MARIE-BYRD-LAND; SOUTHERN VICTORIA LAND; FIELD-STRENGTH ELEMENTS; OCEANIC ISLAND BASALTS; ROSS-SEA-RIFT; NEW-ZEALAND; TRACE-ELEMENT; INTRAPLATE VOLCANISM; CARBONATITE METASOMATISM; GEOCHEMICAL CONSTRAINTS</t>
  </si>
  <si>
    <t>Two volcanic lineages are identified at Mount Morning, a Cenozoic to recent, eruptive centre in the Ross Sea, West Antarctica, which is part of the McMurdo Volcanic Group. Both the older (at least 18.7-11.4 Ma), mildly alkalic, nepheline-or quartz-normative Mason Spur Lineage, and the younger (at least 6-0.02 Ma), nepheline normative, strongly alkalic Riviera Ridge Lineage evolved by fractional crystallization from nominally anhydrous (&lt; 0.5 wt% H2O) parental magmas. Both lineages are analogous to other, relatively anhydrous lineages in the McMurdo Volcanic Group and distinctly different from those in which kaersutite is present on the liquid line of descent. Sub-continental lithospheric mantle (SCLM) xenoliths entrained in Riviera Ridge Lineage rocks show trace element and isotopic Sr-Nd-Pb variation that is consistent with four-component mixing whereby depleted mantle has been refertilised by enriched, HIMU-like and Nb-enriched (carbonatite) components. Refertilization may have occurred c. 530-490 Ma ago when fluids derived from subduction associated with Gondwanaland amalgamation infiltrated the SCLM. Similar trace element and isotope variation (Sr-Nd-Pb) in Mount Morning basaltic rocks and entrained xenoliths suggests that the source for the basaltic magmas lies (at least in part) in the lithospheric mantle. It has long been recognized that Cenozoic volcanic rocks in Antarctica (Victoria Land -including Mount Morning -and Marie Byrd Land), Zealandia and eastern Australia share common chemical and isotopic source characteristics and they have been argued to collectively constitute a single diffuse alkaline magmatic province (DAMP). Source characteristic similarities suggest DAMP volcanic rocks inherit at least some of their trace element and isotopic characteristics from the lithospheric mantle. Super-chondritic Nb/Ta values measured in some SCLM xenoliths and volcanic rocks at Mount Morning, and in volcanic rocks across the DAMP, can be explained by addition of &lt;= 5 wt% carbonatite to the source. The DAMP SCLM is a significant Nb reservoir that offers an explanation for the Nb paradox. (C) 2013 Elsevier Ltd. All rights reserved.</t>
  </si>
  <si>
    <t>[Martin, Adam P.; Cooper, Alan F.] Univ Otago, Dept Geol, Dunedin, New Zealand; [Price, Richard C.] Univ Waikato, Hamilton, New Zealand</t>
  </si>
  <si>
    <t>University of Otago; University of Waikato</t>
  </si>
  <si>
    <t>Martin, AP (corresponding author), GNS Sci, Private Bag 1930, Dunedin, New Zealand.</t>
  </si>
  <si>
    <t>adammartin2000@yahoo.com</t>
  </si>
  <si>
    <t>Martin, A. P./0000-0002-4676-8344</t>
  </si>
  <si>
    <t>Antarctica New Zealand (New Zealand Post) Antarctic scholarship; Department of Geology</t>
  </si>
  <si>
    <t>Damian Walls and Brent Pooley at Otago University are thanked for help in XRF analysis and sample preparation. Adam Martin was supported by an Antarctica New Zealand (New Zealand Post) Antarctic scholarship and a University of Otago award from the Department of Geology. Antarctica New Zealand is thanked for logistic support. Roland Maas is thanked for SrNd- Pb analysis and selected whole rock trace element analyses. Andreas Audetat at Bayerisches Geoinstitut is thanked for assistance with mineral analysis. Candace Martin and Mike Palin are thanked for assistance with trace element analysis. The authors thank Kurt Panter, Andreas Stracke and Carsten Munker for constructive reviews and Steve Shirey for editorial handling and assistance.</t>
  </si>
  <si>
    <t>10.1016/j.gca.2013.08.025</t>
  </si>
  <si>
    <t>242UY</t>
  </si>
  <si>
    <t>WOS:000326269800008</t>
  </si>
  <si>
    <t>Brown, RW; Beucher, R; Roper, S; Persano, C; Stuart, F; Fitzgerald, P</t>
  </si>
  <si>
    <t>Brown, Roderick W.; Beucher, Romain; Roper, Steven; Persano, Cristina; Stuart, Fin; Fitzgerald, Paul</t>
  </si>
  <si>
    <t>Natural age dispersion arising from the analysis of broken crystals. Part I: Theoretical basis and implications for the apatite (U-Th)/He thermochronometer</t>
  </si>
  <si>
    <t>STOPPING DISTANCES; RADIATION-DAMAGE; HELIUM DIFFUSION; TH ZONATION; TEMPERATURE; HISTORY; EXAMPLE; MOUNTAINS; KINETICS; SAMPLES</t>
  </si>
  <si>
    <t>Over the last decade major progress has been made in developing both the theoretical and practical aspects of apatite (U-Th)/He thermochronometry and it is now standard practice, and generally seen as best practice, to analyse single grain aliquots. These individual prismatic crystals are often broken and are fragments of larger crystals that have broken during mineral separation along the weak basal cleavage in apatite. This is clearly indicated by the common occurrence of only 1 or no clear crystal terminations present on separated apatite grains, and evidence of freshly broken ends when grains are viewed using a scanning electron microscope. This matters because if the 4 He distribution within the whole grain is not homogeneous, because of partial loss due to thermal diffusion for example, then the fragments will all yield ages different from each other and from the whole grain age. Here we use a numerical model with a finite cylinder geometry to approximate 4 He ingrowth and thermal diffusion within hexagonal prismatic apatite crystals. This is used to quantify the amount and patterns of inherent, natural age dispersion that arises from analysing broken crystals. A series of systematic numerical experiments were conducted to explore and quantify the pattern and behaviour of this source of dispersion using a set of 5 simple thermal histories that represent a range of plausible geological scenarios. In addition some more complex numerical experiments were run to investigate the pattern and behaviour of grain dispersion seen in several real data sets. The results indicate that natural dispersion of a set of single fragment ages (defined as the range divided by the mean) arising from fragmentation alone varies from c. 7% even for rapid (c. 10 degrees C/Ma), monotonic cooling to over 50% for protracted, complex histories that cause significant diffusional loss of 4 He. The magnitude of dispersion arising from fragmentation scales with the grain cylindrical radius, and is of a similar magnitude to dispersion expected from differences in absolute grain size alone (spherical equivalent radii of 40-150 lm). This source of dispersion is significant compared with typical analytical uncertainties on individual grain analyses (c. 6%) and standard deviations on multiple grain analyses from a single sample (c. 10-20%). Where there is a significant difference in the U and Th concentration of individual grains (eU), the effect of radiation damage accumulation on 4 He diffusivity (assessed using the RDAAM model of Flowers et al. (2009)) is the primary cause of dispersion for samples that have experienced a protracted thermal history, and can cause dispersion in excess of 100% for realistic ranges of eU concentration (i. e. 5-100 ppm). Expected natural dispersion arising from the combined effects of reasonable variations in grain size (radii 40-125 lm), eU concentration (5-150 ppm) and fragmentation would typically exceed 100% for complex thermal histories. In addition to adding a significant component of natural dispersion to analyses, the effect of fragmentation also acts to decouple and corrupt expected correlations between grain ages and absolute grain size and to a lesser extent between grain age and effective uranium concentration (eU). Considering fragmentation explicitly as a source of dispersion and analysing how the different sources of natural dispersion all interact with each other provides a quantitative framework for understanding patterns of dispersion that otherwise appear chaotic. An important outcome of these numerical experiments is that they demonstrate that the pattern of age dispersion arising from fragmentation mimics the pattern of 4 He distribution within the whole grains, thus providing an important source of information about the thermal history of the sample. We suggest that if the primary focus of a study is to extract the thermal history information from (U-Th)/He analyses then sampling and analytical strategies should aimtomaximise the natural dispersion of grain ages, not minimise it, and should aim to analyse circa 20-30 grains from each sample. The key observations and conclusions drawn here are directly applicable to other thermochronometers, such as the apatite, rutile and titanite U-Pb systems, where the diffusion domain is approximated by the physical grain size. (C) 2013 Elsevier Ltd. All rights reserved.</t>
  </si>
  <si>
    <t>[Brown, Roderick W.; Beucher, Romain; Persano, Cristina] Univ Glasgow, Sch Geog &amp; Earth Sci, Glasgow G12 8QQ, Lanark, Scotland; [Roper, Steven] Univ Glasgow, Sch Math &amp; Stat, Glasgow G12 8QW, Lanark, Scotland; [Stuart, Fin] Scottish Univ Environm Res Ctr, E Kilbride G75 0QF, Lanark, Scotland; [Fitzgerald, Paul] Syracuse Univ, Dept Earth Sci, Syracuse, NY 13244 USA</t>
  </si>
  <si>
    <t>University of Glasgow; University of Glasgow; Scottish Universities Research &amp; Reactor Center; Syracuse University</t>
  </si>
  <si>
    <t>Brown, RW (corresponding author), Univ Glasgow, Sch Geog &amp; Earth Sci, Glasgow G12 8QQ, Lanark, Scotland.</t>
  </si>
  <si>
    <t>roderick.brown@glasgow.ac.uk</t>
  </si>
  <si>
    <t>Beucher, Romain/AAU-7868-2021; Persano, Cristina/KEH-1034-2024; Stuart, Finlay M/E-7417-2010</t>
  </si>
  <si>
    <t>Beucher, Romain/0000-0003-3891-5444; Persano, Cristina/0000-0001-6437-1511; Roper, Steven/0000-0002-4771-1577; Stuart, Finlay/0000-0002-6395-7868</t>
  </si>
  <si>
    <t>NERC [NE/J013242/1, NE/H008276/1]; National Science Foundation [OPP-0002824]; Antarctic Research Centre of Victoria University of Wellington; NERC [NE/H008276/1, NE/J013242/1] Funding Source: UKRI; Natural Environment Research Council [NE/J013242/1, NE/H008276/1] Funding Source: researchfish</t>
  </si>
  <si>
    <t>NERC(UK Research &amp; Innovation (UKRI)Natural Environment Research Council (NERC)); National Science Foundation(National Science Foundation (NSF)); Antarctic Research Centre of Victoria University of Wellington; NERC(UK Research &amp; Innovation (UKRI)Natural Environment Research Council (NERC)); Natural Environment Research Council(UK Research &amp; Innovation (UKRI)Natural Environment Research Council (NERC))</t>
  </si>
  <si>
    <t>This work has benefited from numerous conversations and discussions with colleagues and graduate students and we acknowledge this and particularly the generous insight into causes and patterns of dispersion shared with us by Kerry Gallagher, Rich Ketcham, Sean Willett, Ryan McKeon, Charles Kasanzu and Mark Wildman. Comprehensive and constructive reviews from Alexis Ault, Ryan McKeon and Pieter Vermeesch are gratefully acknowledged. This research was supported by NERC Grants NE/J013242/1 and NE/H008276/1 held at GU and NE/H008454/1 held at SUERC. Fitzgerald acknowledges support from National Science Foundation Grant OPP-0002824. Samples from the Ferrar Glacier region of the Tranantarctic Mountains were originally collected as part of fieldwork supported by the Antarctic Research Centre of Victoria University of Wellington.</t>
  </si>
  <si>
    <t>10.1016/j.gca.2013.05.041</t>
  </si>
  <si>
    <t>WOS:000326269800027</t>
  </si>
  <si>
    <t>Hansen, CD; Meiklejohn, KI; Nel, W; Loubser, MJ; Van der Merwe, BJ</t>
  </si>
  <si>
    <t>Hansen, Christel D.; Meiklejohn, K. Ian; Nel, Werner; Loubser, Michael J.; Van der Merwe, Barend J.</t>
  </si>
  <si>
    <t>ASPECT-CONTROLLED WEATHERING OBSERVED ON A BLOCKFIELD IN DRONNING MAUD LAND, ANTARCTICA</t>
  </si>
  <si>
    <t>blockfield; weathering; aspect control; Schmidt Hammer; Equotip; Antarctica; Western Dronning Maud Land</t>
  </si>
  <si>
    <t>SCHMIDT HAMMER; ROCK TEMPERATURES; SURFACE HARDNESS; MOISTURE; ISLAND; AGE; GLACIER; EQUOTIP</t>
  </si>
  <si>
    <t>Investigations of openwork block deposits have the potential to improve understanding of the production of substrates for biological colonisation, the control of geological structure and the impacts of climate change on landforms. As part of research into the morphology and characterisation of a blockfield located on the Northern Buttress of the Vesleskarvet Nunataks, Western Dronning Maud Land, Antarctica (2 degrees W, 71 degrees S), this paper investigates the influence that aspect has on weathering for a blockfield using data collected during the 2009-2012 Austral summer seasons. Proxy data recorded for weathering included rock hardness rebound values as well as visual evidence of flaking, pitting, surface roughness and lichen presence. Aspect was found to affect weathering of blockfield samples across the study site, with the south-facing sides being the least weathered of the directional aspects. This paper argues that a higher radiation budget associated with slope aspect and angle could drive thermal regimes and subsequent weathering of clast faces. Furthermore, in the absence of abundant precipitation, ice and snow cover become the primary source of moisture in this high-latitude Antarctic environment.</t>
  </si>
  <si>
    <t>[Hansen, Christel D.; Meiklejohn, K. Ian] Rhodes Univ, Dept Geog, ZA-6140 Grahamstown, South Africa; [Nel, Werner] Univ Ft Hare, Dept Geog &amp; Environm Sci, ZA-5700 Alice, South Africa; [Loubser, Michael J.; Van der Merwe, Barend J.] Univ Pretoria, Dept Geog Geoinformat &amp; Meteorol, ZA-0028 Pretoria, South Africa</t>
  </si>
  <si>
    <t>Rhodes University; University of Fort Hare; University of Pretoria</t>
  </si>
  <si>
    <t>Hansen, CD (corresponding author), Rhodes Univ, Dept Geog, POB 94, ZA-6140 Grahamstown, South Africa.</t>
  </si>
  <si>
    <t>christeldhansen@gmail.com; i.meiklejohn@ru.ac.za; wnel@ufh.ac.za; michael.loubser@up.ac.za; vdmerwe.barendj@gmail.com</t>
  </si>
  <si>
    <t>Hansen, Christel D/C-8783-2012; Meiklejohn, Ian/F-3183-2012</t>
  </si>
  <si>
    <t>Hansen, Christel D/0000-0001-7510-2720; Meiklejohn, Ian/0000-0001-8890-2938; Nel, Werner/0000-0002-3769-4937; van der Merwe, Barend/0000-0002-9908-0295</t>
  </si>
  <si>
    <t>SANAP/NRF [80264]; Rhodes University; University of Pretoria</t>
  </si>
  <si>
    <t>SANAP/NRF; Rhodes University; University of Pretoria</t>
  </si>
  <si>
    <t>Research was conducted as part of the SANAP/NRF grant no. 80264: Landscape processes in Antarctic Ecosystems. Any opinions expressed are those of the authors and the NRF do not accept any liability in regard thereto. Additional financial support was obtained from Rhodes University and the University of Pretoria. The authors acknowledge logistical support during fieldwork from the South African National Antarctic Programme of the Department of Environmental Affairs, South Africa. Dr Jennifer Lee is thanked for her assistance in the field during the 2009-2010 field season. They would also like to thank Dr Adam Bumby and Professor Kevin Hall for their comments on the original manuscript, which greatly improved its content and presentation.</t>
  </si>
  <si>
    <t>10.1111/geoa.12025</t>
  </si>
  <si>
    <t>WOS:000327553200005</t>
  </si>
  <si>
    <t>Bowman, VC; Francis, JE; Riding, JB</t>
  </si>
  <si>
    <t>Bowman, Vanessa C.; Francis, Jane E.; Riding, James B.</t>
  </si>
  <si>
    <t>Late Cretaceous winter sea ice in Antarctica?</t>
  </si>
  <si>
    <t>GEOLOGY</t>
  </si>
  <si>
    <t>ISOTOPE STRATIGRAPHY; EXTINCTION PATTERNS; CARBON; BOUNDARY; QUATERNARY; BELEMNITE; EVOLUTION; STRONTIUM; PROFILES; CLIMATES</t>
  </si>
  <si>
    <t>The Late Cretaceous is considered to have been a time of greenhouse climates, although evidence from Maastrichtian sediments for rapid and significant sea-level changes suggests that ice sheets were growing and decaying on Antarctica at that time. There is no direct geological evidence for glaciation, but we present palynomorph records from Seymour Island, Antarctica, that may suggest Maastrichtian sea ice. The dinoflagellate cyst Impletosphaeridium clavus is dominant. We propose that its profusion may signify the accumulation of resting cysts from dinoflagellate blooms related to winter sea ice decay. Prior to the Cretaceous-Paleogene transition, I. clavus decreased dramatically in abundance; we link this with climate warming. Terrestrial conditions inferred from pollen and spore data are consistent with our climate interpretations based on I. clavus together with delta O-18 values from macrofossils. These data and our interpretation support the presence of ephemeral ice sheets on Antarctica during the latest Cretaceous, highlighting the extreme sensitivity of this region to global climate change.</t>
  </si>
  <si>
    <t>[Bowman, Vanessa C.; Francis, Jane E.] Univ Leeds, Sch Earth &amp; Environm, Leeds LS2 9JT, W Yorkshire, England; [Riding, James B.] British Geol Survey, Keyworth NG12 5GG, Notts, England</t>
  </si>
  <si>
    <t>University of Leeds; UK Research &amp; Innovation (UKRI); Natural Environment Research Council (NERC); NERC British Geological Survey</t>
  </si>
  <si>
    <t>Bowman, VC (corresponding author), British Antarctic Survey, Madingley Rd, Cambridge CB3 0ET, England.</t>
  </si>
  <si>
    <t>Vanessa.Bowman@bas.ac.uk</t>
  </si>
  <si>
    <t>Bowman, Vanessa/0000-0002-4887-3949</t>
  </si>
  <si>
    <t>Natural Environment Research Council (NERC) [NE/C506399/1, NE/100582X/1]; TransAntarctic Association; Natural Environment Research Council [bgs05002, NE/I00582X/2, bas0100026, NE/I005803/1, NE/C506399/1, NE/I00582X/1] Funding Source: researchfish; NERC [NE/I00582X/1, bgs05002, NE/I005803/1, NE/I00582X/2, bas0100026] Funding Source: UKRI</t>
  </si>
  <si>
    <t>Natural Environment Research Council (NERC)(UK Research &amp; Innovation (UKRI)Natural Environment Research Council (NERC)); TransAntarctic Association; Natural Environment Research Council(UK Research &amp; Innovation (UKRI)Natural Environment Research Council (NERC)); NERC(UK Research &amp; Innovation (UKRI)Natural Environment Research Council (NERC))</t>
  </si>
  <si>
    <t>We thank J.A. Crame, A.M. Haywood, S.J. Hunter, and J. Witts for discussions, and the British Antarctic Survey and crew of HMS Endurance for logistics during Antarctic field work. C. Day, B. Maltman, and M. Priestman provided field support. We thank the Natural Environment Research Council (NERC) for grants NE/C506399/1 (Antarctic Funding Initiative) and NE/100582X/1. Bowman also received TransAntarctic Association funding and an Antarctic Science Bursary. Riding publishes with the approval of the Executive Director, British Geological Survey (NERC).</t>
  </si>
  <si>
    <t>0091-7613</t>
  </si>
  <si>
    <t>1943-2682</t>
  </si>
  <si>
    <t>10.1130/G34891.1</t>
  </si>
  <si>
    <t>290VJ</t>
  </si>
  <si>
    <t>WOS:000329786200019</t>
  </si>
  <si>
    <t>Browning, JV; Miller, KG; Sugarman, PJ; Barron, J; McCarthy, FMG; Kulhanek, DK; Katz, ME; Feigenson, MD</t>
  </si>
  <si>
    <t>Browning, James V.; Miller, Kenneth G.; Sugarman, Peter J.; Barron, John; McCarthy, Francine M. G.; Kulhanek, Denise K.; Katz, Miriam E.; Feigenson, Mark D.</t>
  </si>
  <si>
    <t>Chronology of Eocene-Miocene sequences on the New Jersey shallow shelf: Implications for regional, interregional, and global correlations</t>
  </si>
  <si>
    <t>GEOSPHERE</t>
  </si>
  <si>
    <t>SEA-LEVEL CHANGE; COASTAL-PLAIN; ISOTOPE STRATIGRAPHY; CONTINENTAL-SHELF; STRONTIUM-ISOTOPE; STABLE-ISOTOPE; PASSIVE MARGIN; MIDDLE MIOCENE; NORTH-ATLANTIC; RECORDS</t>
  </si>
  <si>
    <t>Integrated Ocean Drilling Program Expedition 313 continuously cored and logged latest Eocene to early-middle Miocene sequences at three sites (M27, M28, and M29) on the inner-middle continental shelf offshore New Jersey, providing an opportunity to evaluate the ages, global correlations, and significance of sequence boundaries. We provide a chronology for these sequences using integrated strontium isotopic stratigraphy and biostratigraphy (primarily calcareous nannoplankton, diatoms, and dinocysts [dinoflagellate cysts]). Despite challenges posed by shallow-water sediments, age resolution is typically +/- 0.5 m.y. and in many sequences is as good as +/- 0.25 m.y. Three Oligocene sequences were sampled at Site M27 on sequence bottom-sets. Fifteen early to early-middle Miocene sequences were dated at Sites M27, M28, and M29 across clinothems in topsets, foresets (where the sequences are thickest), and bottomsets. A few sequences have coarse (similar to 1 m.y.) or little age constraint due to barren zones; we constrain the age estimates of these less well dated sequences by applying the principle of superposition, i.e., sediments above sequence boundaries in any site are younger than the sediments below the sequence boundaries at other sites. Our age control provides constraints on the timing of deposition in the clinothem; sequences on the topsets are generally the youngest in the clinothem, whereas the bottomsets generally are the oldest. The greatest amount of time is represented on foresets, although we have no evidence for a correlative conformity. Our chronology provides a baseline for regional and interregional correlations and sea-level reconstructions: (1) we correlate a major increase in sedimentation rate precisely with the timing of the middle Miocene climate changes associated with the development of a permanent East Antarctic Ice Sheet; and (2) the timing of sequence boundaries matches the deep-sea oxygen isotopic record, implicating glacioeustasy as a major driver for forming sequence boundaries.</t>
  </si>
  <si>
    <t>[Browning, James V.; Miller, Kenneth G.; Sugarman, Peter J.; Feigenson, Mark D.] Rutgers State Univ, Dept Earth &amp; Planetary Sci, Piscataway, NJ 08854 USA; [Barron, John] US Geol Survey, Menlo Pk, CA 94025 USA; [McCarthy, Francine M. G.] Brock Univ, Dept Earth Sci, St Catharines, ON L2S 3A1, Canada; [Kulhanek, Denise K.] GNS Sci, Dept Paleontol, Lower Hutt 5040, New Zealand; [Katz, Miriam E.] Rensselaer Polytech Inst, Troy, NY 12180 USA</t>
  </si>
  <si>
    <t>Rutgers University System; Rutgers University New Brunswick; United States Department of the Interior; United States Geological Survey; Brock University; GNS Science - New Zealand; Rensselaer Polytechnic Institute</t>
  </si>
  <si>
    <t>Browning, JV (corresponding author), Rutgers State Univ, Dept Earth &amp; Planetary Sci, Piscataway, NJ 08854 USA.</t>
  </si>
  <si>
    <t>Barron, John/0000-0002-9309-1145; Kulhanek, Denise/0000-0002-2156-6383</t>
  </si>
  <si>
    <t>1553-040X</t>
  </si>
  <si>
    <t>Geosphere</t>
  </si>
  <si>
    <t>10.1130/GES00857.1</t>
  </si>
  <si>
    <t>273AZ</t>
  </si>
  <si>
    <t>WOS:000328506400002</t>
  </si>
  <si>
    <t>Clark, GF; Stark, JS; Johnston, EL; Runcie, JW; Goldsworthy, PM; Raymond, B; Riddle, MJ</t>
  </si>
  <si>
    <t>Clark, Graeme F.; Stark, Jonathan S.; Johnston, Emma L.; Runcie, John W.; Goldsworthy, Paul M.; Raymond, Ben; Riddle, Martin J.</t>
  </si>
  <si>
    <t>Light-driven tipping points in polar ecosystems</t>
  </si>
  <si>
    <t>benthic; biodiversity; irradiance; macroalgae; marine ecology; polar; regime shift</t>
  </si>
  <si>
    <t>SEA-ICE; REGIME SHIFTS; COMMUNITIES; RESILIENCE; DIVERSITY; MODELS; GROWTH; PLANTS</t>
  </si>
  <si>
    <t>Some ecosystems can undergo abrupt transformation in response to relatively small environmental change. Identifying imminent tipping points' is crucial for biodiversity conservation, particularly in the face of climate change. Here, we describe a tipping point mechanism likely to induce widespread regime shifts in polar ecosystems. Seasonal snow and ice-cover periodically block sunlight reaching polar ecosystems, but the effect of this on annual light depends critically on the timing of cover within the annual solar cycle. At high latitudes, sunlight is strongly seasonal, and ice-free days around the summer solstice receive orders of magnitude more light than those in winter. Early melt that brings the date of ice-loss closer to midsummer will cause an exponential increase in the amount of sunlight reaching some ecosystems per year. This is likely to drive ecological tipping points in which primary producers (plants and algae) flourish and out-compete dark-adapted communities. We demonstrate this principle on Antarctic shallow seabed ecosystems, which our data suggest are sensitive to small changes in the timing of sea-ice loss. Algae respond to light thresholds that are easily exceeded by a slight reduction in sea-ice duration. Earlier sea-ice loss is likely to cause extensive regime shifts in which endemic shallow-water invertebrate communities are replaced by algae, reducing coastal biodiversity and fundamentally changing ecosystem functioning. Modeling shows that recent changes in ice and snow cover have already transformed annual light budgets in large areas of the Arctic and Antarctic, and both aquatic and terrestrial ecosystems are likely to experience further significant change in light. The interaction between ice-loss and solar irradiance renders polar ecosystems acutely vulnerable to abrupt ecosystem change, as light-driven tipping points are readily breached by relatively slight shifts in the timing of snow and ice-loss.</t>
  </si>
  <si>
    <t>[Clark, Graeme F.; Johnston, Emma L.] Univ New S Wales, Sch Biol Earth &amp; Environm Sci, Sydney, NSW 2052, Australia; [Stark, Jonathan S.; Runcie, John W.; Goldsworthy, Paul M.; Raymond, Ben; Riddle, Martin J.] Australian Antarctic Div, Dept Sustainabil Environm Water Populat &amp; Communi, Kingston, Tas 7050, Australia; [Runcie, John W.] Univ Sydney, Sch Biol Sci, Sydney, NSW 2006, Australia; [Raymond, Ben] Univ Tasmania, Antarctic Climate &amp; Ecosyst Cooperat Res Ctr, Hobart, Tas 7001, Australia</t>
  </si>
  <si>
    <t>University of New South Wales Sydney; Australian Antarctic Division; University of Sydney; Antarctic Climate &amp; Ecosystems Cooperative Research Centre (ACE CRC); University of Tasmania</t>
  </si>
  <si>
    <t>Clark, GF (corresponding author), Univ New S Wales, Sch Biol Earth &amp; Environm Sci, Sydney, NSW 2052, Australia.</t>
  </si>
  <si>
    <t>g.clark@unsw.edu.au</t>
  </si>
  <si>
    <t>Stark, Jonathan/ABF-4025-2020; Johnston, Emma/AAC-2878-2022; Clark, Graeme/M-6448-2017</t>
  </si>
  <si>
    <t>Stark, Jonathan/0000-0002-4268-8072; Johnston, Emma/0000-0002-2117-366X; Clark, Graeme/0000-0002-0230-6631</t>
  </si>
  <si>
    <t>Australian Antarctic Science Grants [2201, 2691]</t>
  </si>
  <si>
    <t>Australian Antarctic Science Grants</t>
  </si>
  <si>
    <t>We thank the dive teams of Casey Station 1998-2008 for their hard work and dedication. Comments from J. Stachowicz, P. Steinberg and P. Mumby improved this manuscript. J. McKinley provided statistical advice. Satellite image was processed by the Australian Centre for Remote Sensing and contributed by the Australian Antarctic Data Centre ((c) CNES-SPOT). The authors declare no conflict of interest, financial or otherwise. Research was funded by Australian Antarctic Science Grants 2201 and 2691. The funders had no role in study design, data collection and analysis, decision to publish, or preparation of the manuscript.</t>
  </si>
  <si>
    <t>10.1111/gcb.12337</t>
  </si>
  <si>
    <t>250FN</t>
  </si>
  <si>
    <t>WOS:000326836000017</t>
  </si>
  <si>
    <t>Williams, AN; Ulm, S; Cook, AR; Langley, MC; Collard, M</t>
  </si>
  <si>
    <t>Williams, Alan N.; Ulm, Sean; Cook, Andrew R.; Langley, Michelle C.; Collard, Mark</t>
  </si>
  <si>
    <t>Human refugia in Australia during the Last Glacial Maximum and Terminal Pleistocene: a geospatial analysis of the 25-12 ka Australian archaeological record</t>
  </si>
  <si>
    <t>JOURNAL OF ARCHAEOLOGICAL SCIENCE</t>
  </si>
  <si>
    <t>Last Glacial Maximum; Antarctic Cold Reversal; Terminal Pleistocene; Radiocarbon data; Prehistoric movement; Geospatial analysis; Refugia; Minimum bounding rectangles</t>
  </si>
  <si>
    <t>SOUTHERN-HEMISPHERE; VARIABILITY; IMPACT; DISTRIBUTIONS; OSCILLATIONS; DEMOGRAPHY; HISTORY; CLIMATE; RIVER; SITE</t>
  </si>
  <si>
    <t>A number of models, developed primarily in the 1980s, propose that Aboriginal Australian populations contracted to refugia - well-watered ranges and major riverine systems in response to climatic instability, most notably around the Last Glacial Maximum (LGM) (similar to 23-18 ka). We evaluate these models using a comprehensive continent-wide dataset of archaeological radiocarbon ages and geospatial techniques. Calibrated median radiocarbon ages are allocated to over-lapping time slices, and then K-means cluster analysis and cluster centroid and point dispersal pattern analysis are used to define Minimum Bounding Rectangles (MBR) representing human demographic patterns. Exploring data between 25 and 12 ka, we find a refugia-type hunter-gatherer response during the LGM (similar to 23-18 ka) and again during the Antarctic Cold Reversal (ACR) (similar to 14.5-12.5 ka), with expansion in the intervening period. Several refugia persist between 25 and 12 ka, including (by Interim Biogeographic Regionalisation for Australia areas) Gulf Plains/Einasleigh Uplands, Brigalow Belt South, Murray Darling Depression, and Tasmanian Central Highlands. Others appear sporadically through the same period. These include South Eastern Highlands, NSW South Western Slopes, Sydney Basin, Warren, Murchison, Gascoyne, Central and Northern Kimberley, Ord Victoria Plain, Arnhem Plateau, MacDonnell Ranges and Central Ranges. The Pilbara may also have been a refugium during the LGM, but geospatial results are problematic for this region. Areas devoid of human activity ('barriers') include the main desert regions, especially in the south and west of the continent, although some of these may be the result of an absence of archaeological fieldwork. Point dispersal pattern analysis indicates a reduction in occupied territory of nearly 80% during the LGM. A reduction of close to 50% was also evident during the ACR. A large number of the refugia were in close proximity to glaciated areas during the LGM, and probably benefitted from increased summer snowmelt along the major river systems. The remaining refugia are likely the result of a range of local environmental and resource factors. We identify areas for future research, including a focus on regional studies to determine possible cryptic or idiosyncratic refugia emerging in phlyogeographic studies. (C) 2013 Elsevier Ltd. All rights reserved.</t>
  </si>
  <si>
    <t>[Williams, Alan N.] Australian Natl Univ, Fenner Sch Environm &amp; Soc, Canberra, ACT 0200, Australia; [Ulm, Sean] James Cook Univ, Sch Arts &amp; Social Sci, Dept Anthropol Archaeol &amp; Sociol, Cairns, Qld 4870, Australia; [Cook, Andrew R.] Univ New S Wales, Sch Biol Earth &amp; Environm Sci, Sydney, NSW 2052, Australia; [Langley, Michelle C.] Univ Oxford, Inst Archaeol, Oxford OX1 2PG, England; [Collard, Mark] Simon Fraser Univ, Human Evolutionary Studies Program, Burnaby, BC V5A 1S6, Canada; [Collard, Mark] Simon Fraser Univ, Dept Archaeol, Burnaby, BC V5A 1S6, Canada</t>
  </si>
  <si>
    <t>Australian National University; James Cook University; University of New South Wales Sydney; University of Oxford; Simon Fraser University; Simon Fraser University</t>
  </si>
  <si>
    <t>Williams, AN (corresponding author), Australian Natl Univ, Fenner Sch Environm &amp; Soc, Bldg 48,Linnaeus Way, Canberra, ACT 0200, Australia.</t>
  </si>
  <si>
    <t>alan.williams@anu.edu.au</t>
  </si>
  <si>
    <t>Ulm, Sean/A-3854-2010</t>
  </si>
  <si>
    <t>Ulm, Sean/0000-0001-6653-9963; Collard, Mark/0000-0002-2725-4989</t>
  </si>
  <si>
    <t>Archaeological and Heritage Management Solutions Pty Ltd.; Australian Research Council [FT120100656, DP130100334]; Canada Research Chairs Program; Social Sciences and Humanities Research Council; Canada Foundation for Innovation; British Columbia Knowledge Development Fund; Simon Fraser University; Australian Research Council [FT120100656] Funding Source: Australian Research Council</t>
  </si>
  <si>
    <t>Archaeological and Heritage Management Solutions Pty Ltd.; Australian Research Council(Australian Research Council); Canada Research Chairs Program(Canada Research Chairs); Social Sciences and Humanities Research Council(Social Sciences and Humanities Research Council of Canada (SSHRC)); Canada Foundation for Innovation(Canada Foundation for InnovationCGIARSpanish Government); British Columbia Knowledge Development Fund; Simon Fraser University; Australian Research Council(Australian Research Council)</t>
  </si>
  <si>
    <t>AW is also supported by Archaeological and Heritage Management Solutions Pty Ltd. SU is the recipient of an Australian Research Council Future Fellowship (project number - FT120100656). This research was supported under Australian Research Council's Discovery Projects funding scheme (project number DP130100334). MC is supported by the Canada Research Chairs Program, the Social Sciences and Humanities Research Council, the Canada Foundation for Innovation, the British Columbia Knowledge Development Fund, and Simon Fraser University. We thank M.A. Smith, P. Veth, L. Robin, P. Hiscock, W. Steffen, C.S.M Turney, P. Douglas and N. Williams for assistance. We also thank two anonymous reviewers for their comments.</t>
  </si>
  <si>
    <t>0305-4403</t>
  </si>
  <si>
    <t>1095-9238</t>
  </si>
  <si>
    <t>J ARCHAEOL SCI</t>
  </si>
  <si>
    <t>J. Archaeol. Sci.</t>
  </si>
  <si>
    <t>10.1016/j.jas.2013.06.015</t>
  </si>
  <si>
    <t>Anthropology; Archaeology; Geosciences, Multidisciplinary</t>
  </si>
  <si>
    <t>Science Citation Index Expanded (SCI-EXPANDED); Social Science Citation Index (SSCI); Arts &amp; Humanities Citation Index (A&amp;HCI)</t>
  </si>
  <si>
    <t>Anthropology; Archaeology; Geology</t>
  </si>
  <si>
    <t>266HP</t>
  </si>
  <si>
    <t>WOS:000328015000045</t>
  </si>
  <si>
    <t>Lee, C; Kim, YH; Kim, JH; Jee, G; Won, YI; Wu, DL</t>
  </si>
  <si>
    <t>Lee, Changsup; Kim, Yong Ha; Kim, Jeong-Han; Jee, Geonhwa; Won, Young-In; Wu, Dong L.</t>
  </si>
  <si>
    <t>Seasonal variation of wave activities near the mesopause region observed at King Sejong Station (62.22°S, 58.78°W), Antarctica</t>
  </si>
  <si>
    <t>Gravity wave; Tide; Antarctic vortex; Neutral winds; Meteor radar</t>
  </si>
  <si>
    <t>ARCTIC STRATOSPHERIC VORTEX; MIDDLE ATMOSPHERE; GRAVITY-WAVES; LOWER THERMOSPHERE; MOUNTAIN WAVES; MOMENTUM FLUX; MEAN WINDS; TIDES; CLIMATOLOGY; DYNAMICS</t>
  </si>
  <si>
    <t>We analyzed the neutral wind data at altitudes' of 80-100 km obtained from a VHF meteor radar at King Sejong Station (KSS, 62.22 degrees S, 58.78 degrees W), a key location to study wave activities above the stratospheric vortex near the Antarctic Peninsula. The seasonal behavior of the semidiurnal tides is generally consistent with the prediction of Global Scale Wave Model (GSWM02) except in the altitude region above 96 km. Gravity wave (GW) activities inferred from the neutral wind variances show a seasonal variation very similar to the semidiurnal tide amplitudes, suggesting a strong interaction between gravity waves and the tide. Despite the consistent seasonal variations of the GW wind variances observed at the adjacent Rothera station, the magnitudes of the wind variance obtained at KSS are much larger than those at Rothera, especially during May-September. The enhanced GW activity at KSS is also observed by Aura Microwave Limb Sounder (MLS) from space in its temperature variance. The observed large wind variances at KSS imply that the Antarctic vortex in the stratosphere may act as an effective filter and source for the GWs in the upper atmosphere. (C) 2013 Published by Elsevier Ltd.</t>
  </si>
  <si>
    <t>[Lee, Changsup; Kim, Yong Ha] Chungnam Natl Univ, Dept Astron &amp; Space Sci, 99 Daehak Ro St, Taejon 305764, South Korea; [Lee, Changsup; Kim, Jeong-Han; Jee, Geonhwa] Korea Polar Res Inst, Inchon 406840, South Korea; [Won, Young-In] NASA, Goddard Space Flight Ctr, Wyle IS Natl Space Sci Data Ctr, Greenbelt, MD 20771 USA; [Wu, Dong L.] NASA, Goddard Space Flight Ctr, Greenbelt, MD 20771 USA</t>
  </si>
  <si>
    <t>Chungnam National University; Korea Polar Research Institute (KOPRI); Korea Institute of Ocean Science &amp; Technology (KIOST); National Aeronautics &amp; Space Administration (NASA); NASA Goddard Space Flight Center; National Aeronautics &amp; Space Administration (NASA); NASA Goddard Space Flight Center</t>
  </si>
  <si>
    <t>Kim, YH (corresponding author), Chungnam Natl Univ, Dept Astron &amp; Space Sci, 99 Daehak Ro St, Taejon 305764, South Korea.</t>
  </si>
  <si>
    <t>yhkim@cnu.ac.kr</t>
  </si>
  <si>
    <t>Wu, Dong L/D-5375-2012; Kim, Yong Ha/AAS-9908-2021; Kim, Jeong Han/J-6244-2016</t>
  </si>
  <si>
    <t>Kim, Yongha/0000-0003-0200-9423</t>
  </si>
  <si>
    <t>Korea Polar Research Institute [PE13010]</t>
  </si>
  <si>
    <t>Korea Polar Research Institute(Korea Polar Research Institute of Marine Research Placement (KOPRI))</t>
  </si>
  <si>
    <t>This work was supported by research funds PE13010 from Korea Polar Research Institute.</t>
  </si>
  <si>
    <t>10.1016/j.jastp.2013.07.006</t>
  </si>
  <si>
    <t>WOS:000328913100004</t>
  </si>
  <si>
    <t>Blagoveshchenskaya, NF; Borisova, TD; Yeoman, TK; Rietveld, MT; Häggström, I; Ivanova, IM</t>
  </si>
  <si>
    <t>Blagoveshchenskaya, N. F.; Borisova, T. D.; Yeoman, T. K.; Rietveld, M. T.; Haggstrom, I.; Ivanova, I. M.</t>
  </si>
  <si>
    <t>Plasma modifications induced by an X-mode HF heater wave in the high latitude F region of the ionosphere</t>
  </si>
  <si>
    <t>Ionosphere (Active experiments) - Radio; Science (Nonlinear phenomena)</t>
  </si>
  <si>
    <t>LANGMUIR TURBULENCE; RADAR OBSERVATIONS; CUTLASS; IRREGULARITIES; BACKSCATTER; FREQUENCY; EISCAT; DIAGNOSTICS; STRIATIONS; EXCITATION</t>
  </si>
  <si>
    <t>We presented experimental results of strong plasma modifications induced by X-mode powerful HF radio waves injected towards the magnetic zenith into the high latitude F region of the ionosphere. The experiments were conducted in 2009-2011 using the EISCAT Heating facility, UHF incoherent scatter radar and the EISCAT ionosonde at Tromso, Norway; and the CUTLASS SuperDARN HF coherent radar at Hankasalmi, Finland. The results showed that the X-mode HF pump wave can generate strong small-scale artificial field aligned irregularities (AFAIs) in the F region of the high-latitude ionosphere. These irregularities, with spatial scales across the geomagnetic field of the order of 9-15 m, were excited when the heater frequency (f(H)) was above the ordinary-mode critical frequency (foF2) by 0.1-1.2 MHz. It was found that the X-mode AFAIs appeared between 10 s and 4 min after the heater is turned on. Their decay time varied over a wide range between 3 min and 30 min. The excitation of X-mode AFAIs was accompanied by electron temperature (Te) enhancements and an increase in the electron density (Ne) depending on the effective radiated power (ERP). Under ERPs of about 75-180 MW the Te enhances up to 50% above the background level and an increase in Ne of up to 30% were observed. Dramatic changes in the Te and Ne behavior occurred at effective radiated powers of about 370-840 MW, when the Ne and Te values increased up to 100% above the background ones. It was found that AFAIs, Ne and Te enhancements occurred, when the extraordinary-mode critical frequency (fxF2) lied in the frequency range f(H)-f(ce)/2 &lt;= fxF2 &lt;= f(H)+f(ce)/2 where f(ce) is the electron gyrofrequency. The strong Ne enhancements were observed only in the magnetic field-aligned direction in a wide altitude range up to the upper limit of the UHF radar measurements. In addition, the maximum value of Ne is about 50 km higher than the Te enhancement peak. Such electron density enhancements (artificial ducts) cannot be explained by temperature-dependent reaction rates. They can be attributed to HF-induced ionization production by accelerated electrons. The possible mechanisms for plasma modifications induced by powerful X-mode HF radio waves were discussed. (C) 2012 Elsevier Ltd. All rights reserved.</t>
  </si>
  <si>
    <t>[Blagoveshchenskaya, N. F.; Borisova, T. D.; Ivanova, I. M.] Arctic &amp; Antarctic Res Inst, St Petersburg, Russia; [Yeoman, T. K.] Univ Leicester, Dept Phys &amp; Astron, Leicester LE1 7RH, Leics, England; [Rietveld, M. T.] EISCAT Sci Assoc, Ramfjordbotn, Norway; [Haggstrom, I.] EISCAT Sci Assoc, Kiruna, Sweden</t>
  </si>
  <si>
    <t>Arctic &amp; Antarctic Research Institute; University of Leicester</t>
  </si>
  <si>
    <t>Blagoveshchenskaya, NF (corresponding author), Arctic &amp; Antarctic Res Inst, St Petersburg, Russia.</t>
  </si>
  <si>
    <t>nataly@aari.nw.ru</t>
  </si>
  <si>
    <t>Blagoveshchenskaya, Nataly/AAE-4093-2022; Borisova, Tatiana/AAK-7698-2020; Blagoveshchenskaya, Nataly F./S-4342-2017; Yeoman, Timothy k/L-9105-2014</t>
  </si>
  <si>
    <t>Blagoveshchenskaya, Nataly/0000-0003-1752-3273; Blagoveshchenskaya, Nataly F./0000-0003-1752-3273; Yeoman, Timothy k/0000-0002-8434-4825; Borisova, Tatiana/0000-0003-1727-5310; Haggstrom, Ingemar/0000-0003-1070-6915</t>
  </si>
  <si>
    <t>UK Science and Technology Facilities Council [PP/E007929/1]; Finnish Meteorological Institute; Swedish Institute of Space Physics; Science and Technology Facilities Council Grant [ST/H002480/1]; Natural Environment Research Council [eiscat01001] Funding Source: researchfish; Science and Technology Facilities Council [PP/E007929/1, ST/H002480/1] Funding Source: researchfish; NERC [eiscat01001] Funding Source: UKRI; STFC [ST/H002480/1, PP/E007929/1] Funding Source: UKRI</t>
  </si>
  <si>
    <t>UK Science and Technology Facilities Council(UK Research &amp; Innovation (UKRI)Science &amp; Technology Facilities Council (STFC)); Finnish Meteorological Institute; Swedish Institute of Space Physics; Science and Technology Facilities Council Grant; Natural Environment Research Council(UK Research &amp; Innovation (UKRI)Natural Environment Research Council (NERC)); Science and Technology Facilities Council(UK Research &amp; Innovation (UKRI)Science &amp; Technology Facilities Council (STFC)); NERC(UK Research &amp; Innovation (UKRI)Natural Environment Research Council (NERC)); STFC(UK Research &amp; Innovation (UKRI)Science &amp; Technology Facilities Council (STFC))</t>
  </si>
  <si>
    <t>We would like to thank the EISCAT Scientific Association for providing the Tromso heating experiments in conjunction with the EISCAT UHF radar measurements. CUTLASS is supported by the UK Science and Technology Facilities Council Grant PP/E007929/1, the Finnish Meteorological Institute, and the Swedish Institute of Space Physics. TKY is supported by the Science and Technology Facilities Council Grant ST/H002480/1. Authors are thankful to Reviewer 2 for useful comments and suggestions.</t>
  </si>
  <si>
    <t>10.1016/j.jastp.2012.10.001</t>
  </si>
  <si>
    <t>WOS:000328913100026</t>
  </si>
  <si>
    <t>McCracken, KG; Wilson, RE; Peters, JL; Winker, K; Martin, AR</t>
  </si>
  <si>
    <t>McCracken, Kevin G.; Wilson, Robert E.; Peters, Jeffrey L.; Winker, Kevin; Martin, Anthony R.</t>
  </si>
  <si>
    <t>Late Pleistocene colonization of South Georgia by yellow-billed pintails pre-dates the Last Glacial Maximum</t>
  </si>
  <si>
    <t>JOURNAL OF BIOGEOGRAPHY</t>
  </si>
  <si>
    <t>Anas georgica; Anatidae; Argentina; ducks; glacial refugia; island biogeography; multilocus genetic data; Patagonia; Subantarctic; waterfowl</t>
  </si>
  <si>
    <t>MITOCHONDRIAL-DNA; MULTILOCUS PHYLOGEOGRAPHY; GENETIC CONSEQUENCES; POPULATION-STRUCTURE; TIME DEPENDENCY; NORTH-AMERICA; DEGLACIATION; DIVERGENCE; HISTORY; CHRONOLOGY</t>
  </si>
  <si>
    <t>AimGlacial cycles had a major influence on the distribution of high-latitude species, and while genetic consequences of these cycles have been well studied in the Circumpolar North, notably fewer studies have been undertaken in the Antarctic. Here, we use multilocus genetic data from the South Georgia pintail (Anas georgica georgica) as a proxy to study the presence and timing of ice-free refugia on South Georgia, a glaciated subantarctic island in the South Atlantic Ocean that has been the subject of intense geomorphological and palaeoenvironmental study. LocationSouth Georgia. MethodsMultilocus DNA sequence data from five nuclear loci and the mitochondrial DNA control region were analysed for South Georgia pintails (n=60) and the neighbouring population of yellow-billed pintails (A. georgica spinicauda) in Argentina (n=64). Population genetic structure and gene flow were examined using (ST), assignment tests, and multilocus coalescent analyses. ResultsIsolation-with-migration (IM) analysis revealed that the South Georgia pintail population was founded by pintails dispersing from South America. Although the confidence intervals on divergence dates inferred from genetic data are generally wide and there may be time-dependency in rate calibrations, our analysis suggests that this founding event probably occurred c. 34,000years ago, prior to the Last Glacial Maximum (LGM). Our findings further suggest that South Georgia pintails might have experienced a bottleneck coinciding with complete replacement of mitochondrial DNA prior to 8700years ago following the final advance of glaciers. Main conclusionsThese findings suggest that ice-free refugia existed earlier in the chronology of deglaciation in contrast with earlier studies, but in agreement with observations that the plant community was also established on South Georgia prior to the end of the Pleistocene. Like other recent studies that have utilized genetic data to date dispersal and vicariance events in the Antarctic, our results provide a constraint on the extent of ice sheets, suggesting that past ice coverage on South Georgia through the LGM was overestimated.</t>
  </si>
  <si>
    <t>[McCracken, Kevin G.; Wilson, Robert E.; Winker, Kevin] Univ Alaska Fairbanks, Inst Arctic Biol, Dept Biol &amp; Wildlife, Univ Alaska Museum, Fairbanks, AK 99775 USA; [Peters, Jeffrey L.] Wright State Univ, Dept Biol Sci, Dayton, OH 45435 USA; [Martin, Anthony R.] Univ Dundee, Ctr Remote Environm, Dundee DD1 4DY, Scotland</t>
  </si>
  <si>
    <t>University of Alaska System; University of Alaska Fairbanks; University System of Ohio; Wright State University Dayton; University of Dundee</t>
  </si>
  <si>
    <t>McCracken, KG (corresponding author), Univ Alaska Fairbanks, Inst Arctic Biol, 902 N Koyukuk Dr, Fairbanks, AK 99775 USA.</t>
  </si>
  <si>
    <t>kmccrack@iab.alaska.edu</t>
  </si>
  <si>
    <t>Peters, Jeffrey L/I-5116-2012; Winker, Kevin/M-2042-2014</t>
  </si>
  <si>
    <t>Winker, Kevin/0000-0002-8985-8104; Peters, Jeffrey/0000-0002-5920-7976</t>
  </si>
  <si>
    <t>Institute of Arctic Biology at the University of Alaska; Fairbanks; National Science Foundation (NSF) [EPS-0092040, EPS-0346770]; Delta Waterfowl Foundation; Frank M. Chapman Fund at the American Museum of Natural History; NSF [DEB-0746365, DEB-0444748, IOS-0949439]; Direct For Biological Sciences; Division Of Integrative Organismal Systems [0949439] Funding Source: National Science Foundation</t>
  </si>
  <si>
    <t>Institute of Arctic Biology at the University of Alaska; Fairbanks; National Science Foundation (NSF)(National Science Foundation (NSF)); Delta Waterfowl Foundation; Frank M. Chapman Fund at the American Museum of Natural History; NSF(National Science Foundation (NSF)); Direct For Biological Sciences; Division Of Integrative Organismal Systems(National Science Foundation (NSF)NSF - Directorate for Biological Sciences (BIO)NSF - Division of Integrative Organismal Systems (IOS))</t>
  </si>
  <si>
    <t>We thank Mariana Bulgarella, Sergio Goldfeder, Kevin Johnson, Cecilia Kopuchian, Dario Lijtmaer, Pamela McCracken, Daniel Ramadori, Pablo Tubaro, Thomas Valqui and the staff of Patagonia Outfitters for their superb logistical support and/or assistance in the field. Field sampling was made possible by the British Antarctic Survey and provincial governments of Salta, San Juan, Mendoza, Cordoba, Buenos Aires, Neuquen, Chubut and Santa Cruz in Argentina. Shawn Houston provided support through the University of Alaska's Life Science Informatics Portal. Funding was provided by the Institute of Arctic Biology at the University of Alaska, Fairbanks, Experimental Program to Stimulate Competitive Research [National Science Foundation (NSF) EPS-0092040 and EPS-0346770], grants from the Delta Waterfowl Foundation and Frank M. Chapman Fund at the American Museum of Natural History to R.E.W., and NSF grants DEB-0746365 to J.L.P. and DEB-0444748 and IOS-0949439 to K.G.M.</t>
  </si>
  <si>
    <t>0305-0270</t>
  </si>
  <si>
    <t>1365-2699</t>
  </si>
  <si>
    <t>J BIOGEOGR</t>
  </si>
  <si>
    <t>J. Biogeogr.</t>
  </si>
  <si>
    <t>10.1111/jbi.12162</t>
  </si>
  <si>
    <t>Ecology; Geography, Physical</t>
  </si>
  <si>
    <t>Environmental Sciences &amp; Ecology; Physical Geography</t>
  </si>
  <si>
    <t>295FS</t>
  </si>
  <si>
    <t>WOS:000330102600013</t>
  </si>
  <si>
    <t>Zheng, F; Li, JP; Clark, RT; Nnamchi, HC</t>
  </si>
  <si>
    <t>Zheng, Fei; Li, Jianping; Clark, Robin T.; Nnamchi, Hyacinth C.</t>
  </si>
  <si>
    <t>Simulation and Projection of the Southern Hemisphere Annular Mode in CMIP5 Models</t>
  </si>
  <si>
    <t>ANTARCTIC OSCILLATION; EXTRATROPICAL CIRCULATION; AUSTRALIAN RAINFALL; CLIMATE VARIABILITY; OZONE DEPLETION; OCEAN CLIMATE; YANGTZE-RIVER; LOWER REACHES; PART II; TRENDS</t>
  </si>
  <si>
    <t>Climate variability in the Southern Hemisphere (SH) extratropical regions is dominated by the SH annular mode (SAM). Future changes in the SAM could have a large influence on the climate over broad regions. In this paper, the authors utilized model simulations from phase 5 of the Coupled Model Intercomparison Project (CMIP5) to examine projected future changes in the SAM during the austral summer [December-February (DJF)]. To start off, first, the ability of the models in reproducing the recently observed spatial and temporal variability was assessed. The 12CMIP5 models examined were found to reproduce the SAM's spatial pattern reasonably well in terms of both the symmetrical and the asymmetric component. The CMIP5 models show an improvement over phase 3 of CMIP (CMIP3) in simulating the seesaw structure of the SAM and also give improvements in the recently observed positive SAM trend. However, only half the models appeared to be able to capture two major recent decadal SAM phases. Then, the future SAM trends and its sensitivity to greenhouse gas (GHG) concentrations using simulations based on the representative concentration pathways 4.5 (RCP4.5) and 8.5 (RCP8.5) were explored. With RCP4.5, a very weak negative trend for this century is found. Conversely, with RCP8.5, a significant positive trend was projected, with a magnitude similar to the recently observed trend. Finally, model uncertainty in the future SAM projections was quantified by comparing projections from the individual CMIP5 models. The results imply the response of SH polar region stratospheric temperature to GHGs could be a significant controlling factor on the future evolution of the SAM.</t>
  </si>
  <si>
    <t>[Zheng, Fei; Li, Jianping; Nnamchi, Hyacinth C.] Chinese Acad Sci, State Key Lab Numer Modeling Atmospher Sci &amp; Geop, Inst Atmospher Phys, Beijing 100029, Peoples R China; [Zheng, Fei; Nnamchi, Hyacinth C.] Univ Chinese Acad Sci, Beijing, Peoples R China; [Clark, Robin T.] Met Off Hadley Ctr, Exeter, Devon, England</t>
  </si>
  <si>
    <t>Chinese Academy of Sciences; Institute of Atmospheric Physics, CAS; Chinese Academy of Sciences; University of Chinese Academy of Sciences, CAS; Met Office - UK; Hadley Centre</t>
  </si>
  <si>
    <t>Li, JP (corresponding author), Chinese Acad Sci, State Key Lab Numer Modeling Atmospher Sci &amp; Geop, Inst Atmospher Phys, POB 9804, Beijing 100029, Peoples R China.</t>
  </si>
  <si>
    <t>ljp@lasg.iap.ac.cn</t>
  </si>
  <si>
    <t>Clark, Robin/JDD-8399-2023; Li, Jianping/I-2661-2012; Zheng, Fei/K-7257-2012; Nnamchi, Hyacinth/A-7623-2012; Zheng, Fei/AAV-7512-2021; Zheng, Fei/AAQ-4559-2020</t>
  </si>
  <si>
    <t>Nnamchi, Hyacinth/0000-0003-4188-9865; Zheng, Fei/0000-0001-6135-6148; Zheng, Fei/0000-0001-6135-6148</t>
  </si>
  <si>
    <t>973 Program [2010CB950400]; NSFC [41030961]; China Special Fund for Meteorological Research in the Public Interest [GYHY201306031]; Joint DECC/Defra Met Office Hadley Centre Climate Programme [GA01101]</t>
  </si>
  <si>
    <t>973 Program(National Basic Research Program of China); NSFC(National Natural Science Foundation of China (NSFC)); China Special Fund for Meteorological Research in the Public Interest; Joint DECC/Defra Met Office Hadley Centre Climate Programme</t>
  </si>
  <si>
    <t>This work was jointly supported by the 973 Program (2010CB950400), the NSFC Key Project (41030961), and the China Special Fund for Meteorological Research in the Public Interest (GYHY201306031). Dr. Robin Clark was supported by the Joint DECC/Defra Met Office Hadley Centre Climate Programme(GA01101). We acknowledge the World Climate Research Programme's Working Group on Coupled Modelling, which is responsible for CMIP, and we thank the climate modeling groups (listed in Table 1 of this paper) for producing and making available their model output. Support of this dataset is provided by the Office of Science, U.S. Department of Energy in partnership with the Global Organization for Earth System Science Portals. Thanks to the editor Dr. John Chiang and the two anonymous reviewers; their comments and suggestions helped us to improve the manuscript.</t>
  </si>
  <si>
    <t>10.1175/JCLI-D-13-00204.1</t>
  </si>
  <si>
    <t>304EW</t>
  </si>
  <si>
    <t>WOS:000330730800005</t>
  </si>
  <si>
    <t>Feng, GP; Jin, SG; Reales, JMS</t>
  </si>
  <si>
    <t>Feng, Guiping; Jin, Shuanggen; Sanchez Reales, Jose M.</t>
  </si>
  <si>
    <t>Antarctic circumpolar current from satellite gravimetric models ITG-GRACE2010, GOCE-TIM3 and satellite altimetry</t>
  </si>
  <si>
    <t>JOURNAL OF GEODYNAMICS</t>
  </si>
  <si>
    <t>Antarctic circumpolar current; GOCE; GRACE; Ocean dynamic topography; Satellite altimetry</t>
  </si>
  <si>
    <t>MEAN DYNAMIC TOPOGRAPHY; SOUTHERN-OCEAN; SEA-SURFACE; GOCE; VARIABILITY; CIRCULATION; GRAVITY; GUIDE; FIELD</t>
  </si>
  <si>
    <t>The Antarctic circumpolar current (ACC) is a clockwise ocean flow from west to east around Antarctica, connecting the Pacific, Indian and Atlantic oceans, and plays a key role in the heat transport and climate change. The geostrophic surface currents can be derived from the ocean dynamic height as the deviation of the actual sea level from satellite altimetry and the Earth's geoid. Although the gravity recovery and climate experiment (GRACE) and gravity field and steady-state ocean circulation explorer (GOCE) mission provided an initial estimate of global geostrophic currents, a more detailed Antarctic circumpolar current is still not well estimated. In this paper, the detailed ACC is estimated from the newest ITG-Grace2010 gravity model based on 7-years of GRACE data, and GO_CONS_GCF_2_TIM_R3 gravity model (hereafter referred to GOCE-TIM3) based on 12 months of GOCE data, with the mean sea surface height model MSS_CNES_CLS_11 from satellite altimetry, respectively. The evaluation and comparisons are performed with oceanographic models, the GOCO03S gravity model as well as in situ drifter's measurements. Results show that the Antarctic circumpolar current based on GOCE gravity field model depicts more details and transport characteristics with high accuracy and spatial resolution, e.g., Agulhas currents and Brazil-Malvinas Confluence regions, which are more consistent with the in situ drifter's results. The ACC based on ITG-Grace2010 model is similar with the result of the GOCE-TIM3 model with RMS of 8.39 cm/s and 7.85 cm/s, respectively, while the accuracy of GOCE-TIM3 is still higher. The correlation coefficients of the estimated velocities, compared to drifter results, are 0.70 and 0.76 for ITG-Grace2010 and GOCE-TIM3. ITG-Grace2010 model has more noise in the higher spherical harmonic coefficients and some better performances in the geostrophic currents are able to be obtained if the degrees are truncated to 160 for ITG-Grace2010, while the GOCE-TIM3 and GOCO03S model do not have this phenomenon. The gravity model GOCO03S with combined CHAMP, GRACE and GOCE observations almost have no improvement in ACC estimate when compared with GOCE-TIM3 results, while the RMS of GOCO03S is a little larger than the GOCE-TIM3 results. (C) 2013 Elsevier Ltd. All rights reserved.</t>
  </si>
  <si>
    <t>[Feng, Guiping; Jin, Shuanggen] Chinese Acad Sci, Shanghai Astron Observ, Shanghai 200030, Peoples R China; [Feng, Guiping] Univ Chinese Acad Sci, Beijing 100049, Peoples R China; [Sanchez Reales, Jose M.] Univ Alicante, Dept Appl Math, E-03080 Alicante, Spain</t>
  </si>
  <si>
    <t>Chinese Academy of Sciences; Shanghai Astronomical Observatory, CAS; Chinese Academy of Sciences; University of Chinese Academy of Sciences, CAS; Universitat d'Alacant</t>
  </si>
  <si>
    <t>Jin, SG (corresponding author), Chinese Acad Sci, Shanghai Astron Observ, Shanghai 200030, Peoples R China.</t>
  </si>
  <si>
    <t>sgjin@shao.ac.cn</t>
  </si>
  <si>
    <t>he, shuyi/K-2082-2014; Jin, Shuanggen/B-8094-2008</t>
  </si>
  <si>
    <t>Jin, Shuanggen/0000-0002-5108-4828</t>
  </si>
  <si>
    <t>Chinese Academy of Sciences [KJCX2-EW-T03]; Shanghai Science and Technology Commission [12DZ2273300]; Shanghai Pujiang Talent Program Project [11PJ1411500]; National Natural Science Foundation of China (NSFC) [11173050, 11373059]; Spanish Department of Science and Innovation (MICINN) [CGL2010-12153-E]</t>
  </si>
  <si>
    <t>Chinese Academy of Sciences(Chinese Academy of Sciences); Shanghai Science and Technology Commission(Shanghai Science &amp; Technology CommitteeScience &amp; Technology Commission of Shanghai Municipality (STCSM)); Shanghai Pujiang Talent Program Project; National Natural Science Foundation of China (NSFC)(National Natural Science Foundation of China (NSFC)); Spanish Department of Science and Innovation (MICINN)(Spanish Government)</t>
  </si>
  <si>
    <t>This research is supported by the Main Direction Project of Chinese Academy of Sciences (Grant No. KJCX2-EW-T03), Shanghai Science and Technology Commission Project (Grant No. 12DZ2273300), Shanghai Pujiang Talent Program Project (Grant No. 11PJ1411500) National Natural Science Foundation of China (NSFC) Project (Grant No. 11173050 and 11373059) and the project CGL2010-12153-E from the Spanish Department of Science and Innovation (MICINN). We are grateful to thank ESA for providing the GOCE gravity data, AVISO for providing the ocean altimetry data, SOSE has been obtained from Matt Mazloff.</t>
  </si>
  <si>
    <t>0264-3707</t>
  </si>
  <si>
    <t>J GEODYN</t>
  </si>
  <si>
    <t>J. Geodyn.</t>
  </si>
  <si>
    <t>10.1016/j.jog.2013.08.005</t>
  </si>
  <si>
    <t>286PZ</t>
  </si>
  <si>
    <t>WOS:000329482500009</t>
  </si>
  <si>
    <t>Gaube, P; Chelton, DB; Strutton, PG; Behrenfeld, MJ</t>
  </si>
  <si>
    <t>Gaube, P.; Chelton, D. B.; Strutton, P. G.; Behrenfeld, M. J.</t>
  </si>
  <si>
    <t>Satellite observations of chlorophyll, phytoplankton biomass, and Ekman pumping in nonlinear mesoscale eddies</t>
  </si>
  <si>
    <t>mesoscale eddies; Ekman pumping; phytoplankton; satellites; Indian Ocean; chlorophyll</t>
  </si>
  <si>
    <t>SUBTROPICAL CONVERGENCE ZONE; COUNTER-ROTATING EDDIES; GULF-STREAM RINGS; LEEUWIN CURRENT; OCEAN-COLOR; ROSSBY WAVES; WARM-CORE; NORTH PACIFIC; SURFACE WINDS; WESTERN</t>
  </si>
  <si>
    <t>Nonlinear mesoscale eddies can influence biogeochemical cycles in the upper ocean through vertical and horizontal advection of nutrients and marine organisms. The relative importance of these two processes depends on the polarity of an eddy (cyclones versus anticyclones) and the initial biological conditions of the fluid trapped in the core of the eddy at the time of formation. Eddies originating in the eastern South Indian Ocean are unique in that anticyclones, typically associated with downwelling, contain elevated levels of chlorophyll-a, enhanced primary production and phytoplankton communities generally associated with nutrient-replete environments. From analysis of 9 years of concurrent satellite measurements of sea surface height, chlorophyll, phytoplankton carbon, and surface stress, we present observations that suggest eddy-induced Ekman upwelling as a mechanism that is at least partly responsible for sustaining positive phytoplankton anomalies in anticyclones of the South Indian Ocean. The biological response to this eddy-induced Ekman upwelling is evident only during the Austral winter. During the Austral summer, the biological response to eddy-induced Ekman pumping occurs deep in the euphotic zone, beyond the reach of satellite observations of ocean color.</t>
  </si>
  <si>
    <t>[Gaube, P.; Chelton, D. B.] Oregon State Univ, Coll Earth Ocean &amp; Atmospher Sci, Corvallis, OR 97331 USA; [Strutton, P. G.] Univ Tasmania, Inst Marine &amp; Antarctic Studies, Hobart, Tas, Australia; [Strutton, P. G.] Univ Tasmania, Australian Res Council, Ctr Excellence Climate Syst Sci, Hobart, Tas, Australia; [Behrenfeld, M. J.] Oregon State Univ, Dept Bot &amp; Plant Pathol, Corvallis, OR 97331 USA</t>
  </si>
  <si>
    <t>Oregon State University; University of Tasmania; University of Tasmania; Oregon State University</t>
  </si>
  <si>
    <t>Gaube, P (corresponding author), Woods Hole Oceanog Inst, Dept Appl Ocean Phys &amp; Engn, Mail Stop 9, Woods Hole, MA 02543 USA.</t>
  </si>
  <si>
    <t>pgaube@whoi.edu</t>
  </si>
  <si>
    <t>Strutton, Peter/C-4466-2011</t>
  </si>
  <si>
    <t>Strutton, Peter/0000-0002-2395-9471</t>
  </si>
  <si>
    <t>NASA [NNX08AI80G, NNX08AR37G, NNX10AO98G, NNX13AD78G]; NASA [NNX10AO98G, 126603, NNX08AR37G, 95201, NNX08AI80G, 100261, NNX13AD78G, 475178] Funding Source: Federal RePORTER</t>
  </si>
  <si>
    <t>We thank Remote Sensing Systems (http://www.ssmi.com) for providing the QuikSCAT vector wind observations, Collecte Localis Satellites, AVISO (http://www.aviso.oceanobs.com) for the SSH observations, NASA MEaSUREs Ocean Color Product Evaluation Project (ftp://ftp.oceancolor.ucsb.edu/) for the CHL and bbp observations, NASA GSFC (http://oceancolor.gsfc.nasa.gov) for the PAR and kd observations, Scripps Institution of Oceanography (UCSD), Argo Mixed Layers website (http://mixedlayer.ucsd.edu) for mixed layer depth data and NOAA NODC World Ocean Atlas 2005 for climatological temperature, salinity, and nitrate data (http://www.nodc.noaa.gov). We also thank Allen Milligan, Ricardo Letelier, Ata Suanda, Toby Westberry, Dennis McGillicuddy, and Jason Graff for fruitful discussions in the preparation of this manuscript. We also thank Martin Hoecker-Martinez and Aurelie Moulin for helpful comments on the manuscript. This work was funded by NASA grants NNX08AI80G, NNX08AR37G, NNX10AO98G, and NNX13AD78G.</t>
  </si>
  <si>
    <t>10.1002/2013JC009027</t>
  </si>
  <si>
    <t>WOS:000329926200003</t>
  </si>
  <si>
    <t>Assmann, KM; Jenkins, A; Shoosmith, DR; Walker, DP; Jacobs, SS; Nicholls, KW</t>
  </si>
  <si>
    <t>Assmann, K. M.; Jenkins, A.; Shoosmith, D. R.; Walker, D. P.; Jacobs, S. S.; Nicholls, K. W.</t>
  </si>
  <si>
    <t>Variability of Circumpolar Deep Water transport onto the Amundsen Sea continental shelf through a shelf break trough</t>
  </si>
  <si>
    <t>Amundsen Sea; CDW; heat transport; shelf break</t>
  </si>
  <si>
    <t>PINE ISLAND GLACIER; ROSS SEA; INFLOW; CIRCULATION; GREENLAND; CURRENTS; MODEL</t>
  </si>
  <si>
    <t>The presence of warm Circumpolar Deep Water (CDW) intrusions on the Amundsen continental shelf has been linked to recent thinning of the outlet glaciers draining the West Antarctic ice sheet into the Amundsen Sea. Inflow of the CDW onto the shelf is thought to occur within a series of troughs that intersect the continental shelf break. We use observations between 1994 and 2011 and a numerical model to investigate the variability of CDW transport in a trough intersecting the shelf break at 113 degrees W. The location of the main CDW inflow into the trough varies between its eastern flank and center, while the western part of the trough is filled by a recirculation that commonly entrains cooler water originating further south on the shelf. Thermocline depth decreases between the early and late 2000s with an indication that the depth of the 1994 thermocline was similar to the later years. Mooring results show that the CDW layer cools and thins in summer and thickens and warms in winter. In addition to a deeper thermocline in summer, we observe a stronger presence of Lower CDW in the bottom of the trough. Heat flux onto the shelf is controlled by current velocities rather than CDW temperature and the majority of the heat is carried onto the shelf by background flow rather than episodic events.</t>
  </si>
  <si>
    <t>[Assmann, K. M.; Jenkins, A.; Shoosmith, D. R.; Walker, D. P.; Nicholls, K. W.] British Antarctic Survey, Cambridge CB3 0ET, England; [Jacobs, S. S.] Columbia Univ, Lamont Doherty Earth Observ, Palisades, NY USA</t>
  </si>
  <si>
    <t>UK Research &amp; Innovation (UKRI); Natural Environment Research Council (NERC); NERC British Antarctic Survey; Columbia University</t>
  </si>
  <si>
    <t>Assmann, KM (corresponding author), British Antarctic Survey, Madingley Rd, Cambridge CB3 0ET, England.</t>
  </si>
  <si>
    <t>kmassmann22@gmail.com</t>
  </si>
  <si>
    <t>Jenkins, Adrian/IUN-2406-2023</t>
  </si>
  <si>
    <t>Jenkins, Adrian/0000-0002-9117-0616</t>
  </si>
  <si>
    <t>NSF [ANT 06-32282]; NERC [NE/G001367/1, NE/J005746/1, bas0100028] Funding Source: UKRI; Natural Environment Research Council [NE/J005746/1, NE/G001367/1, bas0100028] Funding Source: researchfish</t>
  </si>
  <si>
    <t>NSF(National Science Foundation (NSF)); NERC(UK Research &amp; Innovation (UKRI)Natural Environment Research Council (NERC)); Natural Environment Research Council(UK Research &amp; Innovation (UKRI)Natural Environment Research Council (NERC))</t>
  </si>
  <si>
    <t>The authors would like to thank Martin Losch for helping us to set up MITgcm, Nicolas Bruneau for performing several of the simulations, and Keith Makinson for shedding light on tides at the shelf break. Insightful comments from two anonymous reviewers and Andrey Proshutinsky were very helpful for improving the manuscript. We thank Anna Wahlin for the use of the Oden data which were received via the NOAA National Oceanographic Data Centre website at http://www.nodc.noaa.gov where the N.B. Palmer data are also available. The 2003 J. C. Ross data set can be obtained from the British Oceanographic Data Centre at http://www.bodc.ac.uk. The 2009 N. B. Palmer observations, including mooring BSR12, were funded by a grant from NSF (ANT 06-32282). Mooring BSR12 was designed by Bruce Huber (LDEO) and deployed and retrieved by Scott Worrilow, Raul Guerrero (LDEO), and Povl Abrahamsen (BAS).</t>
  </si>
  <si>
    <t>10.1002/2013JC008871</t>
  </si>
  <si>
    <t>WOS:000329926200019</t>
  </si>
  <si>
    <t>Millgate, T; Holland, PR; Jenkins, A; Johnson, HL</t>
  </si>
  <si>
    <t>Millgate, Thomas; Holland, Paul R.; Jenkins, Adrian; Johnson, Helen L.</t>
  </si>
  <si>
    <t>The effect of basal channels on oceanic ice-shelf melting</t>
  </si>
  <si>
    <t>ice-ocean interactions; basal channels; Petermann Glacier; Greenland</t>
  </si>
  <si>
    <t>MODEL; WATERS; CIRCULATION; SHEET</t>
  </si>
  <si>
    <t>The presence of ice-shelf basal channels has been noted in a number of Antarctic and Greenland ice shelves, but their impact on basal melting is not fully understood. Here we use the Massachusetts Institute of Technology general circulation model to investigate the effect of ice-shelf basal channels on oceanic melt rate for an idealized ice shelf resembling the floating tongue of Petermann Glacier in Greenland. The introduction of basal channels prevents the formation of a single geostrophically balanced boundary current; instead the flow is diverted up the right-hand (Coriolis-favored) side of each channel, with a return flow in the opposite direction on the left-hand side. As the prescribed number of basal channels is increased the mean basal melt rate decreases, in agreement with previous studies. For a small number of relatively wide channels the subice flow is found to be a largely geostrophic horizontal circulation. The reduction in melt rate is then caused by an increase in the relative contribution of weakly melting channel crests and keels. For a larger number of relatively narrow channels, the subice flow changes to a vertical overturning circulation. This change in circulation results in a weaker sensitivity of melt rates to channel size. The transition between the two regimes is governed by the Rossby radius of deformation. Our results explain why basal channels play an important role in regulating basal melting, increasing the stability of ice shelves.</t>
  </si>
  <si>
    <t>[Millgate, Thomas; Holland, Paul R.; Jenkins, Adrian] British Antarctic Survey, Cambridge CB3 0ET, England; [Millgate, Thomas; Johnson, Helen L.] Univ Oxford, Dept Earth Sci, Oxford OX1 3PR, England</t>
  </si>
  <si>
    <t>UK Research &amp; Innovation (UKRI); Natural Environment Research Council (NERC); NERC British Antarctic Survey; University of Oxford</t>
  </si>
  <si>
    <t>Millgate, T (corresponding author), British Antarctic Survey, Madingley Rd, Cambridge CB3 0ET, England.</t>
  </si>
  <si>
    <t>tmilg@bas.ac.uk</t>
  </si>
  <si>
    <t>Jenkins, Adrian/IUN-2406-2023; Holland, Paul R/G-2796-2012</t>
  </si>
  <si>
    <t>Jenkins, Adrian/0000-0002-9117-0616; Johnson, Helen/0000-0003-1873-2085</t>
  </si>
  <si>
    <t>UK Natural Environment Research Council [NE/I52797X/1]; Natural Environment Research Council [bas0100028, NE/H01988X/1] Funding Source: researchfish; NERC [NE/I52797X/1, NE/H01988X/1, bas0100028] Funding Source: UKRI</t>
  </si>
  <si>
    <t>UK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</si>
  <si>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The work was supported by the UK Natural Environment Research Council under grant NE/I52797X/1.</t>
  </si>
  <si>
    <t>10.1002/2013JC009402</t>
  </si>
  <si>
    <t>WOS:000329926200042</t>
  </si>
  <si>
    <t>Fransson, A; Chierici, M; Miller, LA; Carnat, G; Shadwick, E; Thomas, H; Pineault, S; Papakyriakou, TN</t>
  </si>
  <si>
    <t>Fransson, Agneta; Chierici, Melissa; Miller, Lisa A.; Carnat, Gauthier; Shadwick, Elizabeth; Thomas, Helmuth; Pineault, Simon; Papakyriakou, Tim N.</t>
  </si>
  <si>
    <t>Impact of sea-ice processes on the carbonate system and ocean acidification at the ice-water interface of the Amundsen Gulf, Arctic Ocean</t>
  </si>
  <si>
    <t>CO2 system; frost flower; calcium-carbonate saturation; air-sea CO2 flux; brine; biological processes; melt water; polynya; Circumpolar Flaw Lead System study; Canadian Arctic</t>
  </si>
  <si>
    <t>DISSOCIATION-CONSTANTS; SURFACE-WATER; CO2; PRECIPITATION; VARIABILITY; SEAWATER; ALGAE; ACID; UNDERSATURATION; PHYTOPLANKTON</t>
  </si>
  <si>
    <t>From sea-ice formation in November 2007 to onset of ice melt in May 2008, we studied the carbonate system in first-year Arctic sea ice, focusing on the impact of calcium-carbonate (CaCO3) saturation states of aragonite (Ar) and calcite (Ca) at the ice-water interface (UIW). Based on total inorganic carbon (C-T) and total alkalinity (A(T)), and derived pH, CO2, carbonate ion ([CO32-]) concentrations and , we investigated the major drivers such as brine rejection, CaCO3 precipitation, bacterial respiration, primary production and CO2-gas flux in sea ice, brine, frost flowers and UIW. We estimated large variability in sea-ice C-T at the top, mid, and bottom ice. Changes due to CaCO3 and CO2-gas flux had large impact on C-T in the whole ice core from March to May, bacterial respiration was important at the bottom ice during all months, and primary production in May. It was evident that the sea-ice processes had large impact on UIW, resulting in a five times larger seasonal amplitude of the carbonate system, relative to the upper 20 m. During ice formation, [CO2] increased by 30 mu mol kg(-1), [CO32-] decreased by 50 mu mol kg(-1), and the Ar decreased by 0.8 in the UIW due to CO2-enriched brine from solid CaCO3. Conversely, during ice melt, [CO32-] increased by 90 mu mol kg(-1) in the UIW, and increased by 1.4 between March and May, likely due to CaCO3 dissolution and primary production. We estimated that increased ice melt would lead to enhanced oceanic uptake of inorganic carbon to the surface layer.</t>
  </si>
  <si>
    <t>[Fransson, Agneta] Norwegian Polar Res Inst, Fram Ctr, NO-9296 Tromso, Norway; [Fransson, Agneta] Univ Gothenburg, Dept Earth Sci, Gothenburg, Sweden; [Chierici, Melissa] Inst Marine Res, Tromso, Norway; [Chierici, Melissa] Univ Gothenburg, Dept Chem &amp; Mol Biol, Gothenburg, Sweden; [Miller, Lisa A.] Fisheries &amp; Oceans Canada, Inst Ocean Sci, Sidney, BC, Canada; [Carnat, Gauthier; Papakyriakou, Tim N.] Univ Manitoba, Ctr Earth Observat Sci, Winnipeg, MB, Canada; [Shadwick, Elizabeth; Thomas, Helmuth] Dalhousie Univ, Dept Oceanog, Halifax, NS, Canada; [Shadwick, Elizabeth] Univ Tasmania, Antarctic Climate &amp; Ecosyst Cooperat Res Ctr, Hobart, Tas, Australia; [Pineault, Simon] Univ Laval, Dept Biol, Quebec City, PQ G1K 7P4, Canada</t>
  </si>
  <si>
    <t>Norwegian Polar Institute; University of Gothenburg; Institute of Marine Research - Norway; University of Gothenburg; Fisheries &amp; Oceans Canada; University of Manitoba; Dalhousie University; University of Tasmania; Antarctic Climate &amp; Ecosystems Cooperative Research Centre (ACE CRC); Laval University</t>
  </si>
  <si>
    <t>Fransson, A (corresponding author), Norwegian Polar Res Inst, Fram Ctr, NO-9296 Tromso, Norway.</t>
  </si>
  <si>
    <t>agneta.fransson@npolar.no</t>
  </si>
  <si>
    <t>Shadwick, Elizabeth/0000-0003-4008-3333; Papakyriakou, Tim/0000-0002-2019-9104</t>
  </si>
  <si>
    <t>Swedish Research Council [2009-2994, 2008-6228]; Royal Society of Arts and Sciences in Sweden; Canadian Natural Science and Engineering Research Council; ArcticNet; Fisheries and Oceans Canada; MetOcean DataSystems</t>
  </si>
  <si>
    <t>Swedish Research Council(Swedish Research Council); Royal Society of Arts and Sciences in Sweden; Canadian Natural Science and Engineering Research Council(Natural Sciences and Engineering Research Council of Canada (NSERC)); ArcticNet; Fisheries and Oceans Canada; MetOcean DataSystems</t>
  </si>
  <si>
    <t>We are grateful to the captains, officers, and crew of the Canadian Coast Guard Ship (CCGS) Amundsen for their cooperation in the collection of field data, as well as to the chief scientists throughout the project. We thank Yves Gratton and his team of rosette operators for the collection and distribution of hydrographic data. Many thanks to Nes Sutherland, Debbie Armstrong, Doris Leong, Friederike Prowe, Keith Johnson, Stelly Lefort, Constance Guignard, and Kyle Simpson for their assistance with sample collection and analysis. We also thank the two anonymous referees for constructive comments improving the manuscript. This work was supported by the Swedish Research Council projects (2009-2994; 2008-6228; 2009-2994), the Royal Society of Arts and Sciences in Sweden, the Canadian Natural Science and Engineering Research Council, ArcticNet, Fisheries and Oceans Canada, and MetOcean DataSystems. This research contributes to the Canadian International Polar Year initiatives, as part of the Circumpolar Flaw Lead System study project.</t>
  </si>
  <si>
    <t>10.1002/2013JC009164</t>
  </si>
  <si>
    <t>WOS:000329926200045</t>
  </si>
  <si>
    <t>Herraiz-Borreguero, L; Allison, I; Craven, M; Nicholls, KW; Rosenberg, MA</t>
  </si>
  <si>
    <t>Herraiz-Borreguero, Laura; Allison, Ian; Craven, Mike; Nicholls, Keith W.; Rosenberg, Mark A.</t>
  </si>
  <si>
    <t>Ice shelf/ocean interactions under the Amery Ice Shelf: Seasonal variability and its effect on marine ice formation</t>
  </si>
  <si>
    <t>Amery Ice Shelf; marine ice; high salinity shelf water; seasonality</t>
  </si>
  <si>
    <t>OCEAN CIRCULATION; WATER MASSES; SEA-WATER; PRYDZ BAY; BENEATH; RONNE; TEMPERATURE; ANTARCTICA; REGION; MODEL</t>
  </si>
  <si>
    <t>Marine ice is an important factor in ice shelf stability. An extensive marine ice layer is present under the Amery Ice Shelf (AIS), East Antarctica. This paper documents observations on the seasonal variability of the AIS-ocean interaction beneath the marine ice layer. We focus on data collected during 2002 through a borehole at AM01, 100 km from the ice shelf calving front, and use additional data from two other boreholes to complement the study. At AM01, the top approximate to 20 m of the water column is super-cooled almost year round, protecting the marine ice layer and promoting frazil ice formation. The mixed layer thickness varies from approximate to 50 m in February to at least 160 m by June, as the water column cools and freshens. High Salinity Shelf Water (HSSW) abruptly arrives at AM01 in June-August as an eddy-like flow. We suggest that the flow characteristics are a result of baroclinic instabilities. In addition, the inflow of HSSW results in a steepening of the isopycnals that enhances the upwelling of Ice Shelf Water. This study documents, for the first time, a seasonal signal in the formation of marine ice under the AIS. Our results highlight the vulnerability of the marine ice layer to ocean variability with potential consequences for the overall ice shelf mass balance.</t>
  </si>
  <si>
    <t>[Herraiz-Borreguero, Laura; Allison, Ian; Craven, Mike; Rosenberg, Mark A.] Univ Tasmania, Antarctic Climate &amp; Ecosyst Cooperat Res Ctr, Hobart, Tas 7001, Australia; [Craven, Mike] Australian Antarctic Div, Kingston, Tas, Australia; [Nicholls, Keith W.] British Antarctic Survey, Cambridge CB3 0ET, England</t>
  </si>
  <si>
    <t>Antarctic Climate &amp; Ecosystems Cooperative Research Centre (ACE CRC); University of Tasmania; Australian Antarctic Division; UK Research &amp; Innovation (UKRI); Natural Environment Research Council (NERC); NERC British Antarctic Survey</t>
  </si>
  <si>
    <t>Herraiz-Borreguero, L (corresponding author), Univ Tasmania, Antarctic Climate &amp; Ecosyst Cooperat Res Ctr, Private Bag 80, Hobart, Tas 7001, Australia.</t>
  </si>
  <si>
    <t>laurahebo@gmail.com</t>
  </si>
  <si>
    <t>Allison, Ian F/I-4477-2015; Herraiz-Borreguero, Laura/D-5795-2015</t>
  </si>
  <si>
    <t>Allison, Ian F/0000-0001-9599-0251; Herraiz-Borreguero, Laura/0000-0002-4455-801X</t>
  </si>
  <si>
    <t>Australian Government's Cooperative Research Centers Program through the Antarctic Climate and Ecosystems Cooperative Research Centre (ACE CRC); Natural Environment Research Council [bas0100028] Funding Source: researchfish; NERC [bas0100028] Funding Source: UKRI</t>
  </si>
  <si>
    <t>Australian Government's Cooperative Research Centers Program through the Antarctic Climate and Ecosystems Cooperative Research Centre (ACE CRC)(Australian GovernmentDepartment of Industry, Innovation and ScienceCooperative Research Centres (CRC) Programme); Natural Environment Research Council(UK Research &amp; Innovation (UKRI)Natural Environment Research Council (NERC)); NERC(UK Research &amp; Innovation (UKRI)Natural Environment Research Council (NERC))</t>
  </si>
  <si>
    <t>We thank two anonymous reviewers and the editor for their thorough and helpful comments on an earlier version of the manuscript. This work was supported by the Australian Government's Cooperative Research Centers Program through the Antarctic Climate and Ecosystems Cooperative Research Centre (ACE CRC). We acknowledge logistic support from the Australian Antarctic Division (AAD) and valuable input from the many people who have contributed to the Amery Ice Shelf Ocean Research (AMISOR) ASAC1164 field program.</t>
  </si>
  <si>
    <t>10.1002/2013JC009158</t>
  </si>
  <si>
    <t>Green Published, Green Accepted</t>
  </si>
  <si>
    <t>WOS:000329926200053</t>
  </si>
  <si>
    <t>Whittaker, IC; Gamble, RJ; Rodger, CJ; Clilverd, MA; Sauvaud, JA</t>
  </si>
  <si>
    <t>Whittaker, Ian C.; Gamble, Rory J.; Rodger, Craig J.; Clilverd, Mark A.; Sauvaud, Jean-Andre</t>
  </si>
  <si>
    <t>Determining the spectra of radiation belt electron losses: Fitting DEMETER electron flux observations for typical and storm times</t>
  </si>
  <si>
    <t>radiation belt; electron spectral fit; DEMETER</t>
  </si>
  <si>
    <t>RELATIVISTIC ELECTRONS; GEOMAGNETIC STORMS; ACCELERATION; PLASMAS; WAVES; FIELD; WIND</t>
  </si>
  <si>
    <t>The energy spectra of energetic electron precipitation from the radiation belts are studied in order to improve our understanding of the influence of radiation belt processes. The Detection of Electromagnetic Emissions Transmitted from Earthquake Regions (DEMETER) microsatellite electron flux instrument is comparatively unusual in that it has very high energy resolution (128 channels with 17.9 keV widths in normal survey mode), which lends itself to this type of spectral analysis. Here electron spectra from DEMETER have been analyzed from all six years of its operation, and three fit types (power law, exponential, and kappa-type) have been applied to the precipitating flux observations. We show that the power law fit consistently provides the best representation of the flux and that the kappa-type is rarely valid. We also provide estimated uncertainties in the flux for this instrument as a function of energy. Average power law gradients for nontrapped particles have been determined for geomagnetically nondisturbed periods to get a typical global behavior of the spectra in the inner radiation belt, slot region, and outer radiation belt. Power law spectral gradients in the outer belt are typically -2.5 during quiet periods, changing to a softer spectrum of approximate to-3.5 during geomagnetic storms. The inner belt does the opposite, hardening from -4 during quiet times to approximate to-3 during storms. Typical outer belt e-folding values are approximate to 200 keV, dropping to approximate to 150 keV during geomagnetic storms, while the inner belt e-folding values change from approximate to 120 keV to &gt;200 keV. Analysis of geomagnetic storm periods show that the precipitating flux enhancements evident from such storms take approximately 13 days to return to normal values for the outer belt and slot region and approximately 10 days for the inner belt.</t>
  </si>
  <si>
    <t>[Whittaker, Ian C.; Gamble, Rory J.; Rodger, Craig J.] Univ Otago, Dept Phys, Dunedin 9054, New Zealand; [Clilverd, Mark A.] British Antarctic Survey NERC, Cambridge, England; [Sauvaud, Jean-Andre] Univ Toulouse, CNRS, IRAP, Toulouse, France</t>
  </si>
  <si>
    <t>University of Otago; UK Research &amp; Innovation (UKRI); Natural Environment Research Council (NERC); NERC British Antarctic Survey; Universite de Toulouse; Universite Toulouse III - Paul Sabatier; Centre National de la Recherche Scientifique (CNRS)</t>
  </si>
  <si>
    <t>Whittaker, IC (corresponding author), Univ Otago, Dept Phys, POB 56, Dunedin 9054, New Zealand.</t>
  </si>
  <si>
    <t>ian.whittaker@otago.ac.nz</t>
  </si>
  <si>
    <t>Rodger, Craig/A-1501-2011</t>
  </si>
  <si>
    <t>Rodger, Craig J./0000-0002-6770-2707; Whittaker, Ian/0000-0002-6211-1852</t>
  </si>
  <si>
    <t>European Community [263218]; NERC [bas0100023] Funding Source: UKRI; Natural Environment Research Council [bas0100023] Funding Source: researchfish</t>
  </si>
  <si>
    <t>European Community; NERC(UK Research &amp; Innovation (UKRI)Natural Environment Research Council (NERC)); Natural Environment Research Council(UK Research &amp; Innovation (UKRI)Natural Environment Research Council (NERC))</t>
  </si>
  <si>
    <t>The research leading to these results has received funding from the European Community's Seventh Framework Programme (FP7/2007-2013) under grant agreement 263218.</t>
  </si>
  <si>
    <t>10.1002/2013JA019228</t>
  </si>
  <si>
    <t>286ZX</t>
  </si>
  <si>
    <t>WOS:000329508900016</t>
  </si>
  <si>
    <t>Rodger, CJ; Kavanagh, AJ; Clilverd, MA; Marple, SR</t>
  </si>
  <si>
    <t>Rodger, Craig J.; Kavanagh, Andrew J.; Clilverd, Mark A.; Marple, Steve R.</t>
  </si>
  <si>
    <t>Comparison between POES energetic electron precipitation observations and riometer absorptions: Implications for determining true precipitation fluxes</t>
  </si>
  <si>
    <t>electron precipitation; POES; radiation belts; riometery</t>
  </si>
  <si>
    <t>RADIATION BELT; TEMPERATURE; MODEL; WIND</t>
  </si>
  <si>
    <t>Energetic electron precipitation (EEP) impacts the chemistry of the middle atmosphere with growing evidence of coupling to surface temperatures at high latitudes. To better understand this link, it is essential to have realistic observations to properly characterize precipitation and which can be incorporated into chemistry-climate models. The Polar-orbiting Operational Environmental Satellite (POES) detectors measure precipitating particles but only integral fluxes and only in a fraction of the bounce loss cone. Ground-based riometers respond to precipitation from the whole bounce loss cone; they measure the cosmic radio noise absorption (CNA), a qualitative proxy with scant direct information on the energy flux of EEP. POES observations should have a direct relationship with CNA and comparing the two will clarify their utility in studies of atmospheric change. We determined ionospheric changes produced by the EEP measured by the POES spacecraft in similar to 250 overpasses of an imaging riometer in northern Finland. The CNA modeled from the POES data is 10-15 times less than the observed CNA when the &gt;30keV flux is reported as &lt;10(6)cm(-2)s(-1)sr(-1). Above this level, there is relatively good agreement between the space-based and ground-based measurements. The discrepancy occurs mostly during periods of low geomagnetic activity, and we contend that weak diffusion is dominating the pitch angle scattering into the bounce loss cone at these times. A correction to the calculation using measurements of the trapped flux considerably reduces the discrepancy and provides further support to our hypothesis that weak diffusion leads to underestimates of the EEP.</t>
  </si>
  <si>
    <t>[Rodger, Craig J.] Univ Otago, Dept Phys, Dunedin 9016, New Zealand; [Kavanagh, Andrew J.; Clilverd, Mark A.] British Antarctic Survey, NERC, Cambridge CB3 0ET, England; [Marple, Steve R.] Univ Lancaster, Dept Phys, Lancaster, England</t>
  </si>
  <si>
    <t>University of Otago; UK Research &amp; Innovation (UKRI); Natural Environment Research Council (NERC); NERC British Antarctic Survey; Lancaster University</t>
  </si>
  <si>
    <t>Rodger, CJ (corresponding author), Univ Otago, Dept Phys, POB 56, Dunedin 9016, New Zealand.</t>
  </si>
  <si>
    <t>crodger@physics.otago.ac.nz</t>
  </si>
  <si>
    <t>Rodger, Craig J./0000-0002-6770-2707; Marple, Steven/0000-0002-7544-5130</t>
  </si>
  <si>
    <t>New Zealand Marsden Fund; Natural Environmental Research Council [NE/J008125/1]; NERC [NE/J007773/1, NE/H014888/1, NE/J008125/1, bas0100023] Funding Source: UKRI; Natural Environment Research Council [NE/J007773/1, NE/H014888/1, NE/J008125/1, bas0100023] Funding Source: researchfish</t>
  </si>
  <si>
    <t>New Zealand Marsden Fund(Royal Society of New ZealandMarsden Fund (NZ)); Natural Environmental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</si>
  <si>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C.J.R. was supported by the New Zealand Marsden Fund. M. A. C. was supported by the Natural Environmental Research Council grant NE/J008125/1. The authors would like to thank the researchers and engineers of NOAA's Space Environment Center for the provision of the data and the operation of the SEM-2 instrument carried onboard these spacecraft. The riometer data originated from the Imaging Riometer for Ionospheric Studies (IRIS), operated by the Space Plasma Environment and Radio Science (SPEARS) group, Department of Physics, Lancaster University (UK) in collaboration with the Sodankyl Geophysical Observatory.</t>
  </si>
  <si>
    <t>10.1002/2013JA019439</t>
  </si>
  <si>
    <t>WOS:000329508900035</t>
  </si>
  <si>
    <t>Newnham, DA; Espy, PJ; Clilverd, MA; Rodger, CJ; Seppälä, A; Maxfield, DJ; Hartogh, P; Straub, C; Holmén, K; Horne, RB</t>
  </si>
  <si>
    <t>Newnham, David A.; Espy, Patrick J.; Clilverd, Mark A.; Rodger, Craig J.; Seppala, Annika; Maxfield, David J.; Hartogh, Paul; Straub, Corinne; Holmen, Kim; Horne, Richard B.</t>
  </si>
  <si>
    <t>Observations of nitric oxide in the Antarctic middle atmosphere during recurrent geomagnetic storms</t>
  </si>
  <si>
    <t>nitric oxide; energetic particle; polar; mesosphere; thermosphere</t>
  </si>
  <si>
    <t>CHIRP TRANSFORM SPECTROMETER; LOWER THERMOSPHERE; CORONAL HOLES; SOLAR; MODEL; PRECIPITATION; MESOSPHERE; TRANSPORT; MINIMUM; NOY</t>
  </si>
  <si>
    <t>We report ground-based measurements of the polar middle atmosphere made using a 230-250GHz passive microwave radiometer deployed at Troll station (72 degrees 01S 02 degrees 32E, L shell of L=4.8), Antarctica. Our observations show enhanced mesospheric nitric oxide (NO) volume mixing ratio (VMR) during a series of small recurrent geomagnetic storms in the 2008 austral winter, reaching 1.2 ppmv on day 200 (18 July). The Lomb normalized periodogram of the NO VMR time series averaged over 65-80km for days 130 to 220 of 2008 (9 May to 7 August) shows a peak exceeding the 95% confidence limit at 25.8days, close to the synodic rotation period for low-latitude solar coronal holes. The highest correlations between the radiometer NO VMR data and trapped and quasi-trapped electron count rates for L=3.5-5.5 from the Polar Orbiting Environment Satellites 90 degrees telescope are for the &gt;30keV (90e1) channel (r(max)=0.56, lag time of 5.1days) and &gt;100keV (90e2) channel (r(max)=0.57, lag time of 4.4days). Maximum correlation between NO VMR and the &gt;700keV (90P6) channel data is lower but lag times are close to zero. Superposed epoch analyses for the eight most significant geomagnetic storm periods and three Carrington rotations (2070-2072) within the 90 day observation period indicate that significant NO abundance observed at 65-80km in the Antarctic mesosphere may be produced directly by &gt;200keV electron precipitation or originate from a source at higher altitudes, e.g., production by &gt;30keV electrons followed by downward transport.</t>
  </si>
  <si>
    <t>[Newnham, David A.; Clilverd, Mark A.; Seppala, Annika; Maxfield, David J.; Horne, Richard B.] British Antarctic Survey, Cambridge CB3 0ET, England; [Espy, Patrick J.; Straub, Corinne] Norwegian Univ Sci &amp; Technol, Dept Phys, N-7034 Trondheim, Norway; [Espy, Patrick J.] Birkeland Ctr Space Sci, Bergen, Norway; [Rodger, Craig J.] Univ Otago, Dept Phys, Dunedin, New Zealand; [Seppala, Annika] Finnish Meteorol Inst, FIN-00101 Helsinki, Finland; [Hartogh, Paul] Max Planck Inst Solar Syst Res, Katlenburg Lindau, Germany; [Holmen, Kim] Norwegian Polar Res Inst, Tromso, Norway</t>
  </si>
  <si>
    <t>UK Research &amp; Innovation (UKRI); Natural Environment Research Council (NERC); NERC British Antarctic Survey; Norwegian University of Science &amp; Technology (NTNU); University of Otago; Finnish Meteorological Institute; Max Planck Society; Norwegian Polar Institute</t>
  </si>
  <si>
    <t>Newnham, DA (corresponding author), British Antarctic Survey, Madingley Rd, Cambridge CB3 0ET, England.</t>
  </si>
  <si>
    <t>david.newnham@bas.ac.uk</t>
  </si>
  <si>
    <t>Seppälä, Annika/C-8031-2014; Rodger, Craig/A-1501-2011; Horne, Richard B/U-3764-2019</t>
  </si>
  <si>
    <t>Seppälä, Annika/0000-0002-5028-8220; Horne, Richard B/0000-0002-0412-6407; Rodger, Craig J./0000-0002-6770-2707</t>
  </si>
  <si>
    <t>European Commission [FP7-PEOPLE-IEF-2008/237461]; Finnish Academy [258165, 265005]; Norwegian Polar Institute; UK Natural Environment Research Council; New Zealand Marsden Fund; Natural Environment Research Council [bas0100023, NE/J022187/1] Funding Source: researchfish; NERC [NE/J022187/1, bas0100023] Funding Source: UKRI</t>
  </si>
  <si>
    <t>European Commission(European Union (EU)European Commission Joint Research Centre); Finnish Academy(Research Council of Finland); Norwegian Polar Institute; UK Natural Environment Research Council(UK Research &amp; Innovation (UKRI)Natural Environment Research Council (NERC)); New Zealand Marsden Fund(Royal Society of New ZealandMarsden Fund (NZ)); Natural Environment Research Council(UK Research &amp; Innovation (UKRI)Natural Environment Research Council (NERC)); NERC(UK Research &amp; Innovation (UKRI)Natural Environment Research Council (NERC))</t>
  </si>
  <si>
    <t>AS was supported by the European Commission project FP7-PEOPLE-IEF-2008/237461 and Finnish Academy projects 258165 and 265005. The work of CS has been funded by the Norwegian Polar Institute Antarctic Program under the grant Observations of carbon monoxide and ozone in the Antarctic and Arctic: Implications for the inter-hemispheric coupling of vertical motions. We thank Atle Markussen, Paul Breen, and Joachim Urban for their help. We thank Anne K. Smith for providing the SD-WACCM data and routines to calculate the trajectories used in this paper. The Norwegian Institute for Air Research (NILU) and The Research Council of Norway are acknowledged for providing meteorological data. This work was supported in part by the UK Natural Environment Research Council and the New Zealand Marsden Fund.</t>
  </si>
  <si>
    <t>10.1002/2013JA019056</t>
  </si>
  <si>
    <t>WOS:000329508900041</t>
  </si>
  <si>
    <t>Owens, NJP; Hosie, GW; Batten, SD; Edwards, M; Johns, DG; Beaugrand, G</t>
  </si>
  <si>
    <t>Owens, N. J. P.; Hosie, G. W.; Batten, S. D.; Edwards, M.; Johns, D. G.; Beaugrand, G.</t>
  </si>
  <si>
    <t>All plankton sampling systems underestimate abundance: Response to Continuous plankton recorder underestimates zooplankton abundance by JW Dippner and M. Krause</t>
  </si>
  <si>
    <t>Letter</t>
  </si>
  <si>
    <t>[Owens, N. J. P.] Sir Alister Hardy Fdn Ocean Sci, Plymouth, Devon, England; [Hosie, G. W.] SCAR Southern Ocean CPR Survey, C Australian Antarctic Div, Hobart, Tas, Australia; [Edwards, M.; Johns, D. G.] Sir Alister Hardy Fdn Ocean Sci, Plymouth, Devon, England; [Beaugrand, G.] Lab Oceanol &amp; Geosci CNRS 8187, Wimereux, France</t>
  </si>
  <si>
    <t>Australian Antarctic Division; Centre National de la Recherche Scientifique (CNRS)</t>
  </si>
  <si>
    <t>Hosie, GW (corresponding author), SCAR Southern Ocean CPR Survey, C Australian Antarctic Div, Hobart, Tas, Australia.</t>
  </si>
  <si>
    <t>graham.hosie@aad.gov.au</t>
  </si>
  <si>
    <t>Owens, Nicholas John Paul/GRX-5013-2022; Owens, Nicholas/B-6639-2015</t>
  </si>
  <si>
    <t>Owens, Nicholas John Paul/0000-0001-7972-7285; Owens, Nicholas/0000-0003-4245-5858; BEAUGRAND, GREGORY/0000-0002-0712-5223</t>
  </si>
  <si>
    <t>NERC [SAH01001] Funding Source: UKRI; Natural Environment Research Council [SAH01001] Funding Source: researchfish</t>
  </si>
  <si>
    <t>10.1016/j.jmarsys.2013.05.003</t>
  </si>
  <si>
    <t>WOS:000329010900020</t>
  </si>
  <si>
    <t>Saunders, KM; Harrison, JJ; Butler, ECV; Hodgson, DA; McMinn, A</t>
  </si>
  <si>
    <t>Saunders, Krystyna M.; Harrison, Jennifer J.; Butler, Edward C. V.; Hodgson, Dominic A.; McMinn, Andrew</t>
  </si>
  <si>
    <t>Recent environmental change and trace metal pollution in World Heritage Bathurst Harbour, southwest Tasmania, Australia</t>
  </si>
  <si>
    <t>Diatoms; Trace metals; Pb-210; Palaeoecology; Estuaries; Australia; Tasmania</t>
  </si>
  <si>
    <t>HUMAN IMPACT; DIATOM ASSEMBLAGES; WESTERN TASMANIA; RAIN-FOREST; BALTIC SEA; LAKES; SALINITY; RECORD; SEDIMENTS; ESTUARY</t>
  </si>
  <si>
    <t>Bathurst Harbour in World Heritage southwest Tasmania, Australia, is one of the world's most pristine estuarine systems. At present there is a lack of data on pollution impacts or long-term natural variability in the harbor. A ca. 350-year-old Pb-210-dated sediment core was analysed for trace metals to track pollution impacts from local and long-range sources. Lead and antimony increased from AD 1870 onwards, which likely reflects remote (i.e. mainland Australian and global) atmospheric pollution sources. Variability in the concentrations of copper and zinc closely followed the history of mining activities in western Tasmania, which began in the AD 1880s. Tin was generally low throughout the core, except for a large peak in AD 1989 +/- A 0.5 years, which may be a consequence of input from a local small-scale alluvial tin mine. Changes in diatom assemblages were also investigated. The diatom flora was composed mostly of planktonic freshwater and benthic brackish-marine species, consistent with stratified estuarine conditions. Since mining began, however, an overall decrease in the proportion of planktonic to benthic taxa occurred, with the exception of two distinct peaks in the twentieth century that coincided with periods of high rainfall. Despite the region's remoteness, trace metal analyses revealed evidence of atmospheric pollution from Tasmanian and possibly longer-range mining activities. This, together with recent low rainfall, appears to have contributed to altering the diatom assemblages in one of the most pristine temperate estuaries in the world.</t>
  </si>
  <si>
    <t>[Saunders, Krystyna M.] Univ Bern, Inst Geog, CH-3012 Bern, Switzerland; [Saunders, Krystyna M.] Univ Bern, Oeschger Ctr Climate Change Res, CH-3012 Bern, Switzerland; [Saunders, Krystyna M.; McMinn, Andrew] Univ Tasmania, Inst Marine &amp; Antarctic Studies, Hobart, Tas 7000, Australia; [Harrison, Jennifer J.] Australian Nucl Sci &amp; Technol Org, Lucas Heights, NSW 2234, Australia; [Butler, Edward C. V.] Australian Inst Marine Sci, Casuarina, NT 0811, Australia; [Hodgson, Dominic A.] British Antarctic Survey, NERC, Cambridge CB3 0ET, England</t>
  </si>
  <si>
    <t>University of Bern; University of Bern; University of Tasmania; Australian Nuclear Science &amp; Technology Organisation; Australian Institute of Marine Science; UK Research &amp; Innovation (UKRI); Natural Environment Research Council (NERC); NERC British Antarctic Survey</t>
  </si>
  <si>
    <t>Saunders, KM (corresponding author), Univ Bern, Inst Geog, CH-3012 Bern, Switzerland.</t>
  </si>
  <si>
    <t>krystyna.saunders@giub.unibe.ch</t>
  </si>
  <si>
    <t>McMinn, Andrew/A-9910-2008; Saunders, Krystyna/G-1368-2019; Harrison, Jennifer/G-4238-2013</t>
  </si>
  <si>
    <t>Saunders, Krystyna/0000-0002-6800-2630; Harrison, Jennifer/0000-0003-0716-2398; Butler, Edward/0000-0002-6660-3985</t>
  </si>
  <si>
    <t>Australian Nuclear Science and Technology Organisation; University of Tasmania; Australian Institute of Nuclear Science and Engineering; Natural Environment Research Council [bas0100024] Funding Source: researchfish; NERC [bas0100024] Funding Source: UKRI</t>
  </si>
  <si>
    <t>Australian Nuclear Science and Technology Organisation; University of Tasmania; Australian Institute of Nuclear Science and Engineering; Natural Environment Research Council(UK Research &amp; Innovation (UKRI)Natural Environment Research Council (NERC)); NERC(UK Research &amp; Innovation (UKRI)Natural Environment Research Council (NERC))</t>
  </si>
  <si>
    <t>The Australian Nuclear Science and Technology Organisation and University of Tasmania are gratefully acknowledged for financial support. K. Saunders was funded by an Australian Postgraduate Award with additional funding from the Australian Institute of Nuclear Science and Engineering. We would like to thank the Department of Primary Industries, Water and the Environment for a permit to undertake the fieldwork; Albert Thompson for field assistance; Andrew Wakefield for geological advice; Ashley Townsend for trace metal advice; Henri Wong for ICP-MS measurements; Karthigah Shanmugarajah for grain size measurements and Stuart Hankin for Fig. 1. We would also like to thank John Gibson for discussions, Martin Grosjean and Katazyna Dziegielewska for valuable comments and proofreading the manuscript, and two reviewers and the editor for their considered comments and suggestions, which helped improve the manuscript.</t>
  </si>
  <si>
    <t>10.1007/s10933-013-9740-8</t>
  </si>
  <si>
    <t>WOS:000326622200005</t>
  </si>
  <si>
    <t>Genuário, DB; Corrêa, DM; Komárek, J; Fiore, MF</t>
  </si>
  <si>
    <t>Genuario, Diego Bonaldo; Correa, Debora Machado; Komarek, Jiri; Fiore, Marli Fatima</t>
  </si>
  <si>
    <t>CHARACTERIZATION OF FRESHWATER BENTHIC BIOFILM-FORMING HYDROCORYNE (CYANOBACTERIA) ISOLATES FROM ANTARCTICA</t>
  </si>
  <si>
    <t>JOURNAL OF PHYCOLOGY</t>
  </si>
  <si>
    <t>16S rRNA; Anabaena; nifH gene; Phylogeny; Polar freshwater</t>
  </si>
  <si>
    <t>MOLECULAR CHARACTERIZATION; MORPHOLOGICAL EVALUATION; GENERA ANABAENA; MICROBIAL MATS; GEN. NOV.; DIVERSITY; NOSTOCALES; STRAINS; LAKES; APHANIZOMENON</t>
  </si>
  <si>
    <t>The aims of this work were to study cyanobacterial isolates resembling the genus Hydrocoryne using a combination of morphology and phylogeny of 16S rRNA and nifH sequences and to investigate genes involved in cyanotoxin and protease inhibitor production. Four new cyanobacterial strains, isolated from biofilm samples collected from King George Island, Antarctica, were studied. In terms of morphology, these new strains share traits similar to true Anabaena morphotypes (benthic ones), whereas phylogenetic analysis of their 16S rRNA gene sequences grouped them with the sequence of the type species Hydrocoryne spongiosa (H. Schwabe ex Bornet and Flahault 1886-1888), but not with sequences of the type species from the genus Anabaena. This cluster is the sister group of Anabaena morphotypes isolated only from the Gulf of Finland. In addition, this cluster is related to two other clusters formed by sequences of Anabaena isolated from different sites. Partial nifH genes were sequenced from two strains and the phylogenetic tree revealed that the Antarctic nifH sequences clustered with sequences from Anabaena. Furthermore, two strains were tested, using PCR with specific primers, for the presence of genes involved in cyanotoxins (microcystin and saxitoxin) and protease inhibitor (aeruginosin, and cyanopeptolin). Only cyanopeptolin was amplified using PCR. These four Hydrocoryne strains are the first to be isolated and sequenced from Antarctica, which improves our knowledge on this poorly defined cyanobacterial genus.</t>
  </si>
  <si>
    <t>[Genuario, Diego Bonaldo; Fiore, Marli Fatima] Univ Sao Paulo, Ctr Nucl Energy Agr, BR-13400970 Sao Paulo, Brazil; [Correa, Debora Machado] Univ Fed Vicosa, Dept Bot, BR-36570000 Vicosa, MG, Brazil; [Komarek, Jiri] Czech Acad Sci, Inst Bot, CZ-37982 Trebon, Czech Republic; [Komarek, Jiri] Univ South Bohemia, Fac Sci, CZ-37005 Ceske Budejovice, Czech Republic</t>
  </si>
  <si>
    <t>Universidade de Sao Paulo; Universidade Federal de Vicosa; Czech Academy of Sciences; Institute of Botany of the Czech Academy of Sciences; University of South Bohemia Ceske Budejovice</t>
  </si>
  <si>
    <t>Fiore, MF (corresponding author), Univ Sao Paulo, Ctr Nucl Energy Agr, Ave Centenario 303, BR-13400970 Sao Paulo, Brazil.</t>
  </si>
  <si>
    <t>fiore@cena.usp.br</t>
  </si>
  <si>
    <t>Fiore, Marli F/C-1436-2012; Komarek, Jiri/H-1597-2014; Genuario, Diego/C-5891-2015</t>
  </si>
  <si>
    <t>Fiore, Marli F/0000-0003-2555-7967; Genuario, Diego/0000-0001-6884-331X</t>
  </si>
  <si>
    <t>National Council for Scientific and Technological Development [CNPq 559720/2009-2, 478097/2010-7]; State of Sao Paulo Research Foundation [FAPESP 2010/16328-7]; FAPESP [2010/00321-3]; INCT-Criosfera/Terrantar; CNPq [306607/2012-3]; [P506/12/1818]; [RVO67985939]; Fundacao de Amparo a Pesquisa do Estado de Sao Paulo (FAPESP) [10/16328-7] Funding Source: FAPESP</t>
  </si>
  <si>
    <t>National Council for Scientific and Technological Development(Conselho Nacional de Desenvolvimento Cientifico e Tecnologico (CNPQ)); State of Sao Paulo Research Foundation(Fundacao de Amparo a Pesquisa do Estado de Sao Paulo (FAPESP)); FAPESP(Fundacao de Amparo a Pesquisa do Estado de Sao Paulo (FAPESP)); INCT-Criosfera/Terrantar; CNPq(Conselho Nacional de Desenvolvimento Cientifico e Tecnologico (CNPQ)); ; ; Fundacao de Amparo a Pesquisa do Estado de Sao Paulo (FAPESP)(Fundacao de Amparo a Pesquisa do Estado de Sao Paulo (FAPESP))</t>
  </si>
  <si>
    <t>This study was funded by grants from The National Council for Scientific and Technological Development (CNPq 559720/2009-2 and 478097/2010-7) and the State of Sao Paulo Research Foundation (FAPESP 2010/16328-7). D. B. Genuario received a FAPESP graduate scholarship (2010/00321-3). D. M. Correa would like to thank the INCT-Criosfera/Terrantar for the financial support, J. Komarek for the grant support (P506/12/1818 and RVO67985939). M.F. Fiore would also like to thank CNPq for a research fellowship (306607/2012-3). We would like to thank Dr. Annick Wilmotte for her constructive and helpful comments on the manuscript, and MSc Danillo O. Alvarenga for Bayesian analysis.</t>
  </si>
  <si>
    <t>0022-3646</t>
  </si>
  <si>
    <t>1529-8817</t>
  </si>
  <si>
    <t>J PHYCOL</t>
  </si>
  <si>
    <t>J. Phycol.</t>
  </si>
  <si>
    <t>10.1111/jpy.12124</t>
  </si>
  <si>
    <t>270UD</t>
  </si>
  <si>
    <t>WOS:000328343400012</t>
  </si>
  <si>
    <t>Zika, JD; Le Sommer, J; Dufour, CO; Naveira-Garabato, A; Blaker, A</t>
  </si>
  <si>
    <t>Zika, Jan D.; Le Sommer, Julien; Dufour, Carolina O.; Naveira-Garabato, Alberto; Blaker, Adam</t>
  </si>
  <si>
    <t>Acceleration of the Antarctic Circumpolar Current by Wind Stress along the Coast of Antarctica</t>
  </si>
  <si>
    <t>SOUTHERN-OCEAN; DRAKE PASSAGE; TRANSPORT; VARIABILITY; EDDIES</t>
  </si>
  <si>
    <t>The influence of wind forcing on variability of the Antarctic Circumpolar Current (ACC) is investigated using a series of eddy-permitting ocean-sea ice models. At interannual and decadal time scales the ACC transport is sensitive to both the mean strength of westerly winds along the ACC circumpolar path, consistent with zonal momentum balance theories, and sensitive to the wind stresses along the coast of Antarctica, consistent with the free mode theory of Hughes et al. A linear combination of the two factors explains differences in ACC transport across 11 regional quasi-equilibrium experiments. Repeated single-year global experiments show that the ACC can be robustly accelerated by both processes. Across an ensemble of simulations with realistic forcing over the second half of the twentieth century, interannual ACC transport variability owing to the free-mode mechanism exceeds that due to the zonal momentum balance mechanism by a factor of between 3.5 and 5 to one. While the ACC transport may not accelerate significantly owing to projected increases in along-ACC winds in future decades, significant changes in transport could still occur because of changes in the stress along the coast of Antarctica.</t>
  </si>
  <si>
    <t>[Zika, Jan D.; Naveira-Garabato, Alberto] Univ Southampton, Natl Oceanog Ctr, Southampton SO14 3ZH, Hants, England; [Le Sommer, Julien] Univ Grenoble Alpes, CNRS, LGGE, Grenoble, France; [Dufour, Carolina O.] Univ Grenoble Alpes, CNRS, INPG, LEGI, Grenoble, France; [Blaker, Adam] Natl Oceanog Ctr, Southampton, Hants, England</t>
  </si>
  <si>
    <t>NERC National Oceanography Centre; University of Southampton; Centre National de la Recherche Scientifique (CNRS); Communaute Universite Grenoble Alpes; Universite Grenoble Alpes (UGA); Communaute Universite Grenoble Alpes; Institut National Polytechnique de Grenoble; Universite Grenoble Alpes (UGA); Centre National de la Recherche Scientifique (CNRS); NERC National Oceanography Centre</t>
  </si>
  <si>
    <t>Zika, JD (corresponding author), Univ Southampton, Natl Oceanog Ctr, Southampton SO14 3ZH, Hants, England.</t>
  </si>
  <si>
    <t>J.D.Zika@soton.ac.uk</t>
  </si>
  <si>
    <t>Blaker, Adam T/I-8861-2012; Dufour, Carolina/GZA-9986-2022; Garabato, Alberto Naveira/AAQ-1114-2020; Le Sommer, Julien/ABG-8801-2021</t>
  </si>
  <si>
    <t>Dufour, Carolina/0000-0002-1441-3880; Garabato, Alberto Naveira/0000-0001-6071-605X; Le Sommer, Julien/0000-0002-6882-2938; Zika, Jan/0000-0003-3462-3559; Blaker, Adam/0000-0001-5454-0131</t>
  </si>
  <si>
    <t>National Environment Research Council through a NERC Fellowship grant; Agence Nationale de la Recherche [ANR-08-JCJC-0777-01]; Centre National de la Recherche Scientifique; French CEA (Commissariat a l'Energie Atomique); Centre National d'Etudes Spatiales (CNES) through the Ocean Surface Topography Science Team (OST/ST); Centre National de la Recherche Scientifique (CNRS); Institut National des Sciences de l'Univers (INSU); Groupe Mission Mercator Coriolis (GMMC); Natural Environment Research Council [noc010010, NE/I020415/1] Funding Source: researchfish; NERC [NE/I020415/1, noc010010] Funding Source: UKRI</t>
  </si>
  <si>
    <t>National Environment Research Council through a NERC Fellowship grant; Agence Nationale de la Recherche(Agence Nationale de la Recherche (ANR)); Centre National de la Recherche Scientifique(Centre National de la Recherche Scientifique (CNRS)); French CEA (Commissariat a l'Energie Atomique)(French Atomic Energy Commission); Centre National d'Etudes Spatiales (CNES) through the Ocean Surface Topography Science Team (OST/ST)(Centre National D'etudes Spatiales); Centre National de la Recherche Scientifique (CNRS)(Centre National de la Recherche Scientifique (CNRS)); Institut National des Sciences de l'Univers (INSU); Groupe Mission Mercator Coriolis (GMMC); Natural Environment Research Council(UK Research &amp; Innovation (UKRI)Natural Environment Research Council (NERC)); NERC(UK Research &amp; Innovation (UKRI)Natural Environment Research Council (NERC))</t>
  </si>
  <si>
    <t>We thank Jean-Marc Molines for his modeling support and Andrew Meijers, Daffyd Gwyn Evans, Andrew McC Hogg, Andrew F. Thompson and Bernard Barnier for comments on versions of this manuscript. This work was supported by the National Environment Research Council through a NERC Fellowship grant and by the Agence Nationale de la Recherche through contract ANR-08-JCJC-0777-01. Julien Le Sommer is supported by the Centre National de la Recherche Scientifique and Carolina Dufour was supported by the French CEA (Commissariat a l'Energie Atomique). This work used a simulation performed within the frame of the Drakkar project. Drakkar is supported by the Centre National d'Etudes Spatiales (CNES) through the Ocean Surface Topography Science Team (OST/ST), by the Centre National de la Recherche Scientifique (CNRS), the Institut National des Sciences de l'Univers (INSU) and the Groupe Mission Mercator Coriolis (GMMC).</t>
  </si>
  <si>
    <t>10.1175/JPO-D-13-091.1</t>
  </si>
  <si>
    <t>WOS:000327812900017</t>
  </si>
  <si>
    <t>Lee, J</t>
  </si>
  <si>
    <t>Lee, Joohan</t>
  </si>
  <si>
    <t>Investigation of polythermal glacier on King George Island, Antarctica seen by ground penetrating radar</t>
  </si>
  <si>
    <t>JOURNAL OF THE GEOLOGICAL SOCIETY OF KOREA</t>
  </si>
  <si>
    <t>Korean</t>
  </si>
  <si>
    <t>King George Island; polythermal glacier; GPR; firn line; crevasse</t>
  </si>
  <si>
    <t>Firn-ice transition zone and subglacial properties of polythermal glaciers on King George Island were investigated by results of ground-penetrating radar (GPR). The northern 3.6-km NNW-SSE Profile is along the boundary with the Doctors Icefall Glacier while the southern 3.4-km NE-SW Profile is along the boundary of the Moczydlowski Glacier. Average profiling speeds were 3.17 m/s and 4.45 m/s, respectively. A center frequency of 50-MHz unshielded GPR antenna with 59 ms radar pulse intervals and 4181 ns records was used. The fun line has formed at 350 m altitude. Layers appeared on the radar sections are merged smoothly into the glacier surface and thicker at higher elevation. The upper 30 m layer of cold ice shows clear layering while the underlying warmer ice is characterized by strong scattering in the ablation zone. The accumulation of the ice mass in the Profile 1 gives insight to different inflow of ice mass from NNW and SSE to the gully direction. The ice mass was not enough and had a discontinuity from the SSE. The basement is clearly imaged beneath a transparent layer of cold ice while some basement is poorly imaged underlying warmer ice characterized by strong scattering. If GPR surveys are correlated with ice cores or snow pit data, GPR will be the most powerful tool for measuring snow and glacier distributions.</t>
  </si>
  <si>
    <t>[Lee, Joohan] Korea Polar Res Inst, Div Construct New Antarctic Stn, Songdomiraero 26, Incheon 406840, South Korea</t>
  </si>
  <si>
    <t>Lee, J (corresponding author), Korea Polar Res Inst, Div Construct New Antarctic Stn, Songdomiraero 26, Incheon 406840, South Korea.</t>
  </si>
  <si>
    <t>joohan@kopri.re.kr</t>
  </si>
  <si>
    <t>GEOLOGICAL SOC KOREA</t>
  </si>
  <si>
    <t>KOREA SCIENCE &amp; TECHNOLOGY CTR, RM 813, 7 GIL 22, TEHERAN- RO, GANGNAM-GUNA, SEOUL, 06130, SOUTH KOREA</t>
  </si>
  <si>
    <t>0435-4036</t>
  </si>
  <si>
    <t>2288-7377</t>
  </si>
  <si>
    <t>J GEOL SOC KOREA</t>
  </si>
  <si>
    <t>J. Geol. Soc. Korea</t>
  </si>
  <si>
    <t>10.14770/jgsk.2013.49.6.639</t>
  </si>
  <si>
    <t>VH7OR</t>
  </si>
  <si>
    <t>WOS:000454029100003</t>
  </si>
  <si>
    <t>Gutt, J; Griffiths, HJ; Jones, CD</t>
  </si>
  <si>
    <t>Gutt, Julian; Griffiths, Huw J.; Jones, Christopher D.</t>
  </si>
  <si>
    <t>Circumpolar overview and spatial heterogeneity of Antarctic macrobenthic communities</t>
  </si>
  <si>
    <t>MARINE BIODIVERSITY</t>
  </si>
  <si>
    <t>Biogeographic pattern; Macrobenthic classification; Suspension feeders; Infauna; Mobile deposit feeders</t>
  </si>
  <si>
    <t>SHELF; DISTURBANCE</t>
  </si>
  <si>
    <t>The geographical coverage of a comprehensive dataset on Antarctic macrobenthic communities is provided for the first time. Since the sampling methods applied since the 1950s vary considerably, a robust analysis was carried out. The results show firstly, that all main types of communities, especially suspension and mobile or infaunal deposit feeders, can occur everywhere. Thus, their biogeography is hardly predictable and assumed to be shaped by complex biological interactions. Secondly, the often-mentioned dominance of communities composed of suspension feeders and associated fauna can be confirmed.</t>
  </si>
  <si>
    <t>[Gutt, Julian] Helmholtz Ctr Polar &amp; Marine Res, Alfred Wegener Inst, D-27568 Bremerhaven, Germany; [Griffiths, Huw J.] British Antarctic Survey, Cambridge CB3 0ET, England; [Jones, Christopher D.] NOAA, Antarctic Ecosyst Res Div, Southwest Fisheries Sci Ctr, Natl Marine Fisheries Serv, La Jolla, CA 92037 USA</t>
  </si>
  <si>
    <t>Helmholtz Association; Alfred Wegener Institute, Helmholtz Centre for Polar &amp; Marine Research; UK Research &amp; Innovation (UKRI); Natural Environment Research Council (NERC); NERC British Antarctic Survey; National Oceanic Atmospheric Admin (NOAA) - USA</t>
  </si>
  <si>
    <t>Gutt, J (corresponding author), Helmholtz Ctr Polar &amp; Marine Res, Alfred Wegener Inst, Columbusstr, D-27568 Bremerhaven, Germany.</t>
  </si>
  <si>
    <t>Julian.gutt@awi.de; hjg@bas.ac.uk; Chris.D.Jones@noaa.gov</t>
  </si>
  <si>
    <t>Griffiths, Huw J/D-4234-2009</t>
  </si>
  <si>
    <t>Griffiths, Huw J/0000-0003-1764-223X; Gutt, Julian/0000-0003-3773-9370</t>
  </si>
  <si>
    <t>NERC [bas0100026] Funding Source: UKRI; Natural Environment Research Council [bas0100026] Funding Source: researchfish</t>
  </si>
  <si>
    <t>1867-1616</t>
  </si>
  <si>
    <t>1867-1624</t>
  </si>
  <si>
    <t>MAR BIODIVERS</t>
  </si>
  <si>
    <t>Mar. Biodivers.</t>
  </si>
  <si>
    <t>10.1007/s12526-013-0152-9</t>
  </si>
  <si>
    <t>Biodiversity Conservation; Marine &amp; Freshwater Biology</t>
  </si>
  <si>
    <t>Biodiversity &amp; Conservation; Marine &amp; Freshwater Biology</t>
  </si>
  <si>
    <t>236SV</t>
  </si>
  <si>
    <t>WOS:000325820500020</t>
  </si>
  <si>
    <t>Klöwer, M; Jung, T; König-Langlo, G; Semmler, T</t>
  </si>
  <si>
    <t>Kloewer, Milan; Jung, Thomas; Koenig-Langlo, Gert; Semmler, Tido</t>
  </si>
  <si>
    <t>Aspects of weather parameters at Neumayer station, Antarctica, and their representation in reanalysis and climate model data</t>
  </si>
  <si>
    <t>METEOROLOGISCHE ZEITSCHRIFT</t>
  </si>
  <si>
    <t>Antarctica; Neumayer; observations; katabatic winds; Southern Annular Mode; reanalysis; climate model</t>
  </si>
  <si>
    <t>SOUTHERN-HEMISPHERE; KATABATIC WINDS; SURFACE; CONTINENT; OCEAN; ICE</t>
  </si>
  <si>
    <t>ERA-Interim reanalysis data and data of the Hadley Centre Global Environmental Model version 2 (HadGEM2) are compared with continuous meteorological observations of near-surface wind and temperature carried out for more than 30 years at Neumayer station, situated on the Ekstrom Ice Shelf of Antarctica. Significant temperature correlations between Neumayer climate and the climate of both the interior of the Antarctic continent and oceanic regions north of Neumayer are investigated using observational data and model data. Mean sea level pressure fluctuations at Neumayer can be connected to changes in the Southern Annular Mode (SAM). Shortcomings in the ERA-Interim reanalysis data with spurious trends of up to 7 degrees C over 31 years are identified at several places in Antarctica. Furthermore, it is shown that katabatic winds in both the ERA-Interim reanalysis data and in the HadGEM2 climate model are underrepresented in frequency and speed, presumably due to the problems in representing topography in these relatively coarse resolution models. This may be one reason for the positive 2m air temperature bias of 3 inverted perpendicular C in the models at Neumayer station. The results of this study reemphasize that climatic trends in regions with a low station density can not be assessed solely from model data. Thus, it is absolutely necessary to maintain polar observatories such as Neumayer station to quantify climate change over the Southern Ocean and Antarctica.</t>
  </si>
  <si>
    <t>[Kloewer, Milan; Jung, Thomas; Koenig-Langlo, Gert; Semmler, Tido] Helmholtz Ctr Polar &amp; Marine Res, Alfred Wegener Inst, D-27570 Bremerhaven, Germany</t>
  </si>
  <si>
    <t>Semmler, T (corresponding author), Helmholtz Ctr Polar &amp; Marine Res, Alfred Wegener Inst, Handelshafen 12, D-27570 Bremerhaven, Germany.</t>
  </si>
  <si>
    <t>Tido.Semmler@awi.de</t>
  </si>
  <si>
    <t>Semmler, Tido/AAH-4808-2020; Jung, Thomas/J-5239-2012; Konig-Langlo, Gert/K-5048-2012</t>
  </si>
  <si>
    <t>Semmler, Tido/0000-0002-2254-4901; Jung, Thomas/0000-0002-2651-1293; Klower, Milan/0000-0002-3920-4356; Konig-Langlo, Gert/0000-0002-6100-4107</t>
  </si>
  <si>
    <t>E SCHWEIZERBARTSCHE VERLAGSBUCHHANDLUNG</t>
  </si>
  <si>
    <t>STUTTGART</t>
  </si>
  <si>
    <t>NAEGELE U OBERMILLER, SCIENCE PUBLISHERS, JOHANNESSTRASSE 3A, D 70176 STUTTGART, GERMANY</t>
  </si>
  <si>
    <t>0941-2948</t>
  </si>
  <si>
    <t>1610-1227</t>
  </si>
  <si>
    <t>METEOROL Z</t>
  </si>
  <si>
    <t>Meteorol. Z.</t>
  </si>
  <si>
    <t>10.1127/0941-2948/2013/0505</t>
  </si>
  <si>
    <t>AD3WT</t>
  </si>
  <si>
    <t>WOS:000333177800007</t>
  </si>
  <si>
    <t>Khazendar, A; Schodlok, MP; Fenty, I; Ligtenberg, SRM; Rignot, E; van den Broeke, MR</t>
  </si>
  <si>
    <t>Khazendar, A.; Schodlok, M. P.; Fenty, I.; Ligtenberg, S. R. M.; Rignot, E.; van den Broeke, M. R.</t>
  </si>
  <si>
    <t>Observed thinning of Totten Glacier is linked to coastal polynya variability</t>
  </si>
  <si>
    <t>ANTARCTIC ICE-SHEET; PINE ISLAND GLACIER; SEA-ICE; OCEAN; MODEL; CIRCULATION; ACCELERATION; THICKNESS; DRIVEN</t>
  </si>
  <si>
    <t>Analysis of ICESat-1 data (2003-2008) shows significant surface lowering of Totten Glacier, the glacier discharging the largest volume of ice in East Antarctica, and less change on nearby Moscow University Glacier. After accounting for firn compaction anomalies, the thinning appears to coincide with fast-flowing ice indicating a dynamical origin. Here, to elucidate these observations, we apply high-resolution ice-ocean modelling. Totten Ice Shelf is simulated to have higher, more variable basal melting rates. We link this variability to the volume of cold water, originating in polynyas upon sea ice formation, reaching the sub-ice-shelf cavity. Hence, we propose that the observed increased thinning of Totten Glacier is due to enhanced basal melting caused by a decrease in cold polynya water reaching its cavity. We support this hypothesis with passive microwave data of polynya extent variability. Considering the widespread changes in sea ice conditions, this mechanism could be contributing extensively to ice-shelf instability.</t>
  </si>
  <si>
    <t>[Khazendar, A.; Schodlok, M. P.; Fenty, I.; Rignot, E.] CALTECH, Jet Prop Lab, Pasadena, CA 91109 USA; [Schodlok, M. P.] Univ Calif Los Angeles, Joint Inst Reg Earth Syst Sci &amp; Engn, Los Angeles, CA 90095 USA; [Ligtenberg, S. R. M.; van den Broeke, M. R.] Univ Utrecht, Inst Marine &amp; Atmospher Res Utrecht, NL-3508 TA Utrecht, Netherlands; [Rignot, E.] Univ Calif Irvine, Dept Earth Syst Sci, Irvine, CA 92697 USA</t>
  </si>
  <si>
    <t>National Aeronautics &amp; Space Administration (NASA); NASA Jet Propulsion Laboratory (JPL); California Institute of Technology; University of California System; University of California Los Angeles; Utrecht University; University of California System; University of California Irvine</t>
  </si>
  <si>
    <t>Khazendar, A (corresponding author), CALTECH, Jet Prop Lab, 4800 Oak Grove Dr, Pasadena, CA 91109 USA.</t>
  </si>
  <si>
    <t>ala.khazendar@jpl.nasa.gov</t>
  </si>
  <si>
    <t>Ligtenberg, Stefan/AAF-8290-2020; Fenty, Ian/AAP-9569-2021; Rignot, Eric/A-4560-2014; Van den Broeke, Michiel R./F-7867-2011</t>
  </si>
  <si>
    <t>Fenty, Ian/0000-0001-6662-6346; Rignot, Eric/0000-0002-3366-0481; Van den Broeke, Michiel R./0000-0003-4662-7565</t>
  </si>
  <si>
    <t>NASA's Cryospheric Sciences Program; NASA; Utrecht University; Netherlands Polar Program; National Aeronautics and Space Administration</t>
  </si>
  <si>
    <t>NASA's Cryospheric Sciences Program(National Aeronautics &amp; Space Administration (NASA)); NASA(National Aeronautics &amp; Space Administration (NASA)); Utrecht University; Netherlands Polar Program; National Aeronautics and Space Administration(National Aeronautics &amp; Space Administration (NASA))</t>
  </si>
  <si>
    <t>This work was supported by a grant from NASA's Cryospheric Sciences Program (A. K. and M. P. S.). I. F. was supported by an appointment to the NASA Postdoctoral Program at the Jet Propulsion Laboratory, administered by Oak Ridge Associated Universities through a contract with NASA. M.R.v.d.B. and S. R. M. L. acknowledge funding from Utrecht University and the Netherlands Polar Program. We are grateful to L. Padman for providing the ocean tide model, and to J. Lenaerts for providing RACMO2 accumulation data. This work was performed at the Jet Propulsion Laboratory, California Institute of Technology, under contract with the National Aeronautics and Space Administration.</t>
  </si>
  <si>
    <t>10.1038/ncomms3857</t>
  </si>
  <si>
    <t>285KV</t>
  </si>
  <si>
    <t>WOS:000329393800004</t>
  </si>
  <si>
    <t>Landais, A; Dreyfus, G; Capron, E; Jouzel, J; Masson-Delmotte, V; Roche, DM; Prié, F; Caillon, N; Chappellaz, J; Leuenberger, M; Lourantou, A; Parrenin, F; Raynaud, D; Teste, G</t>
  </si>
  <si>
    <t>Landais, A.; Dreyfus, G.; Capron, E.; Jouzel, J.; Masson-Delmotte, V.; Roche, D. M.; Prie, F.; Caillon, N.; Chappellaz, J.; Leuenberger, M.; Lourantou, A.; Parrenin, F.; Raynaud, D.; Teste, G.</t>
  </si>
  <si>
    <t>Two-phase change in CO2, Antarctic temperature and global climate during Termination II</t>
  </si>
  <si>
    <t>EPICA DOME-C; ATMOSPHERIC CO2; MILLENNIAL-SCALE; ICE; CONSTRAINTS; RECORDS; CHRONOLOGY; MONSOON; IMPACT; END</t>
  </si>
  <si>
    <t>The end of the Last Glacial Maximum (Termination I), roughly 20 thousand years ago (ka), was marked by cooling in the Northern Hemisphere, a weakening of the Asian monsoon, a rise in atmospheric CO2 concentrations and warming over Antarctica. The sequence of events associated with the previous glacial-interglacial transition (Termination II), roughly 136 ka, is less well constrained. Here we present high-resolution records of atmospheric CO2 concentrations and isotopic composition of N2-an atmospheric temperature proxy-from air bubbles in the EPICA Dome C ice core that span Termination II. We find that atmospheric CO2 concentrations and Antarctic temperature started increasing in phase around 136 ka, but in a second phase of Termination II, from 130.5 to 129 ka, the rise in atmospheric CO2 concentrations lagged that of Antarctic temperature unequivocally. We suggest that during this second phase, the intensification of the low-latitude hydrological cycle resulted in the development of a CO2 sink, which counteracted the CO2 outgassing from the Southern Hemisphere oceans over this period.</t>
  </si>
  <si>
    <t>[Landais, A.; Dreyfus, G.; Capron, E.; Jouzel, J.; Masson-Delmotte, V.; Roche, D. M.; Prie, F.; Caillon, N.; Lourantou, A.] CEA CNRS UVSQ, UMR 8212, Lab Sci Climat &amp; Environm, Inst Pierre Simon Laplace, F-91191 Gif Sur Yvette, France; [Dreyfus, G.] Princeton Univ, Dept Geosci, Princeton, NJ 08540 USA; [Capron, E.] British Antarctic Survey, Cambridge CB3 0ET, England; [Roche, D. M.] Vrije Univ Amsterdam, Fac Earth &amp; Life Sci, NL-1081 HV Amsterdam, Netherlands; [Chappellaz, J.; Lourantou, A.; Parrenin, F.; Raynaud, D.; Teste, G.] UJF Grenoble 1, CNRS, UMR 5183, LGGE, F-38041 Grenoble, France; [Leuenberger, M.] Univ Bern, Inst Phys, CH-3012 Bern, Switzerland; [Leuenberger, M.] Univ Bern, Oeschger Ctr Climate Change Res, CH-3012 Bern, Switzerland</t>
  </si>
  <si>
    <t>CEA; Centre National de la Recherche Scientifique (CNRS); Universite Paris Saclay; CNRS - National Institute for Earth Sciences &amp; Astronomy (INSU); Universite Paris Cite; Princeton University; UK Research &amp; Innovation (UKRI); Natural Environment Research Council (NERC); NERC British Antarctic Survey; Vrije Universiteit Amsterdam; Centre National de la Recherche Scientifique (CNRS); Communaute Universite Grenoble Alpes; Universite Grenoble Alpes (UGA); University of Bern; University of Bern</t>
  </si>
  <si>
    <t>Landais, A (corresponding author), CEA CNRS UVSQ, UMR 8212, Lab Sci Climat &amp; Environm, Inst Pierre Simon Laplace, F-91191 Gif Sur Yvette, France.</t>
  </si>
  <si>
    <t>Amaelle.Landais@lsce.ipsl.fr</t>
  </si>
  <si>
    <t>Leuenberger, Markus C/K-9655-2016; Chappellaz, Jérôme A./A-4872-2011; raynaud, dominique/ABG-4718-2020; Raynaud, Dominique/H-9626-2016; Parrenin, Frédéric/H-3054-2014; Masson-Delmotte, Valerie L/G-1995-2011; Caillon, Nicolas/B-7127-2019; Roche, Didier M./C-9875-2010</t>
  </si>
  <si>
    <t>Leuenberger, Markus C/0000-0003-4299-6793; Parrenin, Frédéric/0000-0002-9489-3991; Masson-Delmotte, Valerie L/0000-0001-8296-381X; Caillon, Nicolas/0000-0002-6318-6194; LANDAIS, Amaelle/0000-0002-5620-5465; Roche, Didier M./0000-0001-6272-9428</t>
  </si>
  <si>
    <t>European Union's Seventh Framework programme [243908]; NERC [bas0100024] Funding Source: UKRI; Natural Environment Research Council [bas0100024] Funding Source: researchfish</t>
  </si>
  <si>
    <t>European Union's Seventh Framework programme(European Union (EU)); NERC(UK Research &amp; Innovation (UKRI)Natural Environment Research Council (NERC)); Natural Environment Research Council(UK Research &amp; Innovation (UKRI)Natural Environment Research Council (NERC))</t>
  </si>
  <si>
    <t>This work is a contribution to the European Project for Ice Coring in Antarctica (EPICA), a joint ESF (European Science Foundation)/EC scientific programme, funded by the European Commission and by national contributions from Belgium, Denmark, France, Germany, Italy, the Netherlands, Norway, Sweden, Switzerland and the United Kingdom. The main logistic support was provided by IPEV and PNRA (at Dome C). The research leading to these results has received funding from the European Union's Seventh Framework programme (FP7/2007-2013) under grant agreement no. 243908, 'Past4Future: Climate change Learning from the past climate' and from the French ANBR CITRONNIER. This manuscript benefited from fruitful discussions with C. Waelbroeck, E. Michel, D. Paillard, M. F. Sanchez-Goni, L. Bazin, M. Guillevic, H. Fischer and J. Schmitt. This is LSCE manuscript number 5036.</t>
  </si>
  <si>
    <t>10.1038/NGEO1985</t>
  </si>
  <si>
    <t>WOS:000327799500022</t>
  </si>
  <si>
    <t>McKay, CP</t>
  </si>
  <si>
    <t>McKay, Christopher P.</t>
  </si>
  <si>
    <t>The Case for a NASA Research Base on the Moon</t>
  </si>
  <si>
    <t>NEW SPACE</t>
  </si>
  <si>
    <t>There is significant international and private-sector interest in the Moon, and there is likely to be significant activity on the lunar surface in the coming decades. U.S. national interests in the Moon mandate that NASA establish a long-term and continuous U.S. governmental presence on the Moon before international and private missions. The activities conducted at a NASA moon base would be to learn and demonstrate long-term operation of an extraterrestrial base; develop long-term life support systems at an extraterrestrial base; determine the long-term effects of 1/6 gravity on humans; develop the management and technical approaches that keep cost down, allowing permanence; conduct lunar geology and geophysics, astronomy, Earth observation, and other science as proposed and reviewed by the science community; and inspire students and the public. The U.S. Antarctic Program provides a useful analog for how a science program can be an important part of national policy. The U.S. Antarctic Program ensures that the United States has an active and influential presence in Antarctica, designed to support the range of U.S. Antarctic interests. The Science Diplomacy'' motivation, the unified organization within a federal agency, and the field operations of the U.S. Antarctic Program can all be applied to a NASA research base on the Moon. The key challenge to maintaining a long-term NASA base on the Moon is keeping the run-out cost to a fraction of NASA's total budget-I suggest 10% or less. The U.S. Antarctic Program operation within the National Science Foundation is about 5% of that agency's total budget.</t>
  </si>
  <si>
    <t>[McKay, Christopher P.] NASA, Ames Res Ctr, Div Space Sci, Moffett Field, CA 94035 USA</t>
  </si>
  <si>
    <t>National Aeronautics &amp; Space Administration (NASA); NASA Ames Research Center</t>
  </si>
  <si>
    <t>McKay, CP (corresponding author), NASA, Ames Res Ctr, Div Space Sci, Moffett Field, CA 94035 USA.</t>
  </si>
  <si>
    <t>chris.mckay@nasa.gov</t>
  </si>
  <si>
    <t>McKay, Christopher/0000-0002-6243-1362</t>
  </si>
  <si>
    <t>2168-0256</t>
  </si>
  <si>
    <t>2168-0264</t>
  </si>
  <si>
    <t>New Space</t>
  </si>
  <si>
    <t>10.1089/space.2013.0018</t>
  </si>
  <si>
    <t>V2E5B</t>
  </si>
  <si>
    <t>WOS:000217506600005</t>
  </si>
  <si>
    <t>Clarke, B; Stocker, L; Coffey, B; Leith, P; Harvey, N; Baldwin, C; Baxter, T; Bruekers, G; Galano, CD; Good, M; Haward, M; Hofmeester, C; De Freitas, DM; Mumford, T; Nursey-Bray, M; Kriwoken, L; Shaw, J; Shaw, J; Smith, T; Thomsen, D; Wood, D; Cannard, T</t>
  </si>
  <si>
    <t>Clarke, Beverley; Stocker, Laura; Coffey, Brian; Leith, Peat; Harvey, Nick; Baldwin, Claudia; Baxter, Tom; Bruekers, Gonni; Galano, Chiara Danese; Good, Meg; Haward, Marcus; Hofmeester, Carolyn; De Freitas, Debora Martins; Mumford, Taryn; Nursey-Bray, Melissa; Kriwoken, Lorne; Shaw, Jenny; Shaw, Janette; Smith, Tim; Thomsen, Dana; Wood, David; Cannard, Toni</t>
  </si>
  <si>
    <t>Enhancing the knowledge-governance interface: Coasts, climate and collaboration</t>
  </si>
  <si>
    <t>POTENTIAL ROLE; MANAGEMENT; SCIENCE; PHOTOVOICE; AUSTRALIA; VISUALIZATION; TAXONOMY; SEEKING; ISSUES; ZONE</t>
  </si>
  <si>
    <t>Conventional systems of government have not been very successful in resolving coastal management problems. This lack of progress is partially attributable to inadequate representation in governance processes of the variety of knowledges present on the coast. In particular there has been a struggle to engage effectively with climate science and its implications. There has also been a broader failure to capture the complexity of voices, interests, values, and discourses of coastal users. We argue here that coastal governance challenges are not likely to be resolved by singular solutions; rather, interaction and collaboration will generate improvements. We suggest that a co-requisite for progress in coastal management is the development of institutions and processes that enable different knowledges to have a bearing on governance processes. This paper examines a selection of the many opportunities available to broaden and enhance the use of knowledge in decision-making for the coast. A description is provided of emerging elements of coastal governance from an Australian perspective, together with new types of institutions, processes, tools and techniques that may help to achieve an improved coastal knowledge-governance interaction. (C) 2013 Elsevier Ltd. All rights reserved.</t>
  </si>
  <si>
    <t>[Clarke, Beverley] Flinders Univ S Australia, Fac Sci &amp; Engn, Adelaide, SA 5001, Australia; [Stocker, Laura; Bruekers, Gonni; Galano, Chiara Danese; Hofmeester, Carolyn; Shaw, Jenny] Curtin Univ, Curtin Univ Sustainabil Policy Inst, Perth, WA 6845, Australia; [Coffey, Brian] Deakin Univ, Sch Humanities &amp; Social Sci, Warrnambool, Vic 3280, Australia; [Leith, Peat] Univ Tasmania, Hobart, Tas 7001, Australia; [Harvey, Nick; Mumford, Taryn; Nursey-Bray, Melissa] Univ Adelaide, Adelaide, SA 5005, Australia; [Baldwin, Claudia] Univ Sunshine Coast, Fac Arts &amp; Business, Maroochydore, Qld 4558, Australia; [Baxter, Tom] Univ Tasmania, Sch Accounting &amp; Corp Governance, Hobart, Tas 7001, Australia; [Good, Meg] Univ Tasmania, Fac Law, Hobart, Tas 7001, Australia; [Haward, Marcus] Univ Tasmania, Inst Marine &amp; Antarctic Studies, Hobart, Tas 7001, Australia; [De Freitas, Debora Martins] Univ Wollongong, Australian Natl Ctr Ocean Resources &amp; Secur, Wollongong, NSW 2522, Australia; [Kriwoken, Lorne] Univ Tasmania, Sch Geog &amp; Environm Studies, Hobart, Tas 7001, Australia; [Shaw, Janette] Univ Tasmania, Australian Maritime Coll, Launceston, Tas 7250, Australia; [Smith, Tim; Thomsen, Dana] Univ Sunshine Coast, Sustainabil Res Ctr, Maroochydore, Qld 4558, Australia; [Wood, David] Curtin Univ, DVC Int, Perth, WA 6845, Australia; [Cannard, Toni] CSIRO Marine &amp; Atmospher Res, Brisbane, Qld 4001, Australia</t>
  </si>
  <si>
    <t>Flinders University South Australia; Curtin University; Deakin University; University of Tasmania; University of Adelaide; University of the Sunshine Coast; University of Tasmania; University of Tasmania; University of Tasmania; University of Wollongong; University of Tasmania; University of Tasmania; Australian Maritime College; University of the Sunshine Coast; Curtin University; Commonwealth Scientific &amp; Industrial Research Organisation (CSIRO)</t>
  </si>
  <si>
    <t>Stocker, L (corresponding author), Curtin Univ, Curtin Univ Sustainabil Policy Inst, GPO Box U1987, Perth, WA 6845, Australia.</t>
  </si>
  <si>
    <t>beverley.clarke@flinders.edu.au; L.Stocker@curtin.edu.au; brian.coffey@deakin.edu.au; Peat.Leith@utas.edu.au; nick.harvey@adelaide.edu.au; cbaldwin@usc.edu.au; Tom.Baxter@utas.edu.au; gbruekers@bigpond.com; chiara.danesegalano@postgrad.curtin.edu.au; Meg.Good@utas.edu.au; carolyn.hofmeester@postgrad.curtin.edu.au; debora@uow.edu.au; taryn.mumford@adelaide.edu.au; Melissa.Nursey-Bray@adelaide.edu.au; L.K.Kriwoken@utas.edu.au; jenny.shaw@postgrad.curtin.edu.au; jrshaw@amc.edu.au; tsmith5@usc.edu.au; dthomsen@usc.edu.au; D.Wood@curtin.edu.au; Toni.Cannard@csiro.au</t>
  </si>
  <si>
    <t>Nursey-Bray, Melissa/J-8183-2019; Cannard, Toni M/D-8005-2012; De Freitas, Debora/E-7561-2011; , Claudia and Baldwin/G-6889-2019; De Freitas, Debora/JAX-3892-2023; Cannard, Toni/AAA-8521-2019; M de Freitas, Debora/HNB-8940-2023; Leith, Peat/ABB-2829-2021; Haward, Marcus/G-3369-2014; Clarke, Beverley/E-8999-2015</t>
  </si>
  <si>
    <t>De Freitas, Debora/0000-0002-0374-5732; , Claudia and Baldwin/0000-0002-0707-6564; Baxter, Tom/0000-0002-5157-3082; Nursey-Bray, Melissa/0000-0002-4121-5177; Haward, Marcus/0000-0003-4775-0864; Clarke, Beverley/0000-0001-5904-6845; Smith, Timothy/0000-0002-3991-5211; Cannard, Toni/0000-0003-4254-8683</t>
  </si>
  <si>
    <t>CSIRO Flagship Collaboration Fund</t>
  </si>
  <si>
    <t>CSIRO Flagship Collaboration Fund(Commonwealth Scientific &amp; Industrial Research Organisation (CSIRO))</t>
  </si>
  <si>
    <t>This research is undertaken by the CSIRO Flagship Coastal Collaboration Cluster with funding from the CSIRO Flagship Collaboration Fund. The Coastal Collaboration Cluster is an Australian research program designed to enable more effective dialogue between knowledge-makers and decision-makers in Australia's coastal zone, and to thereby contribute to coastal sustainability in Australia. The Cluster is composed of seven Australian universities working with the CSIRO's Wealth from Oceans Flagship and Climate Adaptation Flagship.</t>
  </si>
  <si>
    <t>10.1016/j.ocecoaman.2013.02.009</t>
  </si>
  <si>
    <t>287OT</t>
  </si>
  <si>
    <t>WOS:000329552800011</t>
  </si>
  <si>
    <t>Mignot, J; Swingedouw, D; Deshayes, J; Marti, O; Talandier, C; Séférian, R; Lengaigne, M; Madec, G</t>
  </si>
  <si>
    <t>Mignot, J.; Swingedouw, D.; Deshayes, J.; Marti, O.; Talandier, C.; Seferian, R.; Lengaigne, M.; Madec, G.</t>
  </si>
  <si>
    <t>On the evolution of the oceanic component of the IPSL climate models from CMIP3 to CMIP5: A mean state comparison</t>
  </si>
  <si>
    <t>Ocean modelling; Parameterizations; Climate model; Coupled ocean biogeochemistry</t>
  </si>
  <si>
    <t>GENERAL-CIRCULATION MODEL; ANTARCTIC CIRCUMPOLAR CURRENT; WATER MASS TRANSFORMATION; GLOBAL OCEAN; THERMOHALINE CIRCULATION; SYSTEM MODEL; FREE-SURFACE; SEA-ICE; VARIABILITY; ADJUSTMENT</t>
  </si>
  <si>
    <t>This study analyses the impact on the oceanic mean state of the evolution of the oceanic component (NEMO) of the climate model developed at Institut Pierre Simon Laplace (IPSL-CM), from the version IPSL-CM4, used for third phase of the Coupled Model Intercomparison Project (CMIP3), to IPSL-CM5A, used for CMIP5. Several modifications have been implemented between these two versions, in particular an interactive coupling with a biogeochemical module, a 3-band model for the penetration of the solar radiation, partial steps at the bottom of the ocean and a set of physical parameterisations to improve the representation of the impact of turbulent and tidal mixing. A set of forced and coupled experiments is used to single out the effect of each of these modifications and more generally the evolution of the oceanic component on the IPSL coupled models family. Major improvements are located in the Southern Ocean, where physical parameterisations such as partial steps and tidal mixing reinforce the barotropic transport of water mass, in particular in the Antarctic Circumpolar Current) and ensure a better representation of Antarctic bottom water masses. However, our analysis highlights that modifications, which substantially improve ocean dynamics in forced configuration, can yield or amplify biases in coupled configuration. In particular, the activation of radiative biophysical coupling between biogeochemical cycle and ocean dynamics results in a cooling of the ocean mean state. This illustrates the difficulty to improve and tune coupled climate models, given the large number of degrees of freedom and the potential compensating effects masking some biases. (C) 2013 The Authors. Published by Elsevier Ltd. All rights reserved.</t>
  </si>
  <si>
    <t>[Mignot, J.; Lengaigne, M.; Madec, G.] UPMC CNRS IRD MNHN, LOCEAN IPSL, Paris, France; [Mignot, J.] Univ Bern, Inst Phys, CH-3012 Bern, Switzerland; [Mignot, J.] Univ Bern, Oeschger Ctr Climate Change Res, CH-3012 Bern, Switzerland; [Swingedouw, D.; Marti, O.; Seferian, R.] CEA CNRS UVSQ, LSCE IPSL, Gif Sur Yvette, France; [Deshayes, J.; Talandier, C.] CNRS IRD UBO IFREMER, LPO, Plouzane, France; [Seferian, R.] CNRM GAME Meteo France CNRS, Toulouse, France</t>
  </si>
  <si>
    <t>Museum National d'Histoire Naturelle (MNHN); Sorbonne Universite; University of Bern; University of Bern; CEA; Centre National de la Recherche Scientifique (CNRS); Universite Paris Saclay; Centre National de la Recherche Scientifique (CNRS); Ifremer; Institut de Recherche pour le Developpement (IRD); Universite de Bretagne Occidentale; Institut Universitaire Europeen de la Mer (IUEM); Meteo France; Centre National de la Recherche Scientifique (CNRS)</t>
  </si>
  <si>
    <t>Mignot, J (corresponding author), UPMC CNRS IRD MNHN, LOCEAN IPSL, Paris, France.</t>
  </si>
  <si>
    <t>juliette.mignot@locean-ipsl.upmc.fr</t>
  </si>
  <si>
    <t>Marti, Olivier/B-2378-2009; Lengaigne, Matthieu/M-8321-2014; Swingedouw, Didier/D-1408-2010; Deshayes, Julie/A-7643-2011; madec, gurvan/E-7825-2010; Lengaigne, Matthieu/K-4345-2013; Séférian, Roland/ABD-5465-2021; Mignot, Juliette/F-3138-2011</t>
  </si>
  <si>
    <t>Marti, Olivier/0000-0002-8246-5578; Lengaigne, Matthieu/0000-0002-0044-036X; Swingedouw, Didier/0000-0002-0583-0850; madec, gurvan/0000-0002-6447-4198; Lengaigne, Matthieu/0000-0002-0044-036X; Séférian, Roland/0000-0002-2571-2114; Mignot, Juliette/0000-0002-4894-898X; Deshayes, Julie/0000-0002-1462-686X; Talandier, Claude/0000-0002-9468-7418</t>
  </si>
  <si>
    <t>LEFE-MISSTERRE; Natural Environment Research Council [noc010010] Funding Source: researchfish; NERC [noc010010] Funding Source: UKRI</t>
  </si>
  <si>
    <t>LEFE-MISSTERRE; Natural Environment Research Council(UK Research &amp; Innovation (UKRI)Natural Environment Research Council (NERC)); NERC(UK Research &amp; Innovation (UKRI)Natural Environment Research Council (NERC))</t>
  </si>
  <si>
    <t>Analysis of heat, freshwater and volume transport was done using PAGO (http://www.whoi.edu/science/PO/pago/). DS thanks Laurent Bopp and Christian Ethe for their help in the setup of the CM5_piCtrl_NoBio simulation. Arnaud Caubel, Sebastien Denvil, Marie-Alice Foujols and the whole team of the pole de modelisation de l'IPSL'' are also acknowledged for their work in carrying CMIP3 and 5 simulations from IPSL. This work has benefited from the support of LEFE-MISSTERRE. The authors are grateful to the reviewers and editor for their valuable comments which helped to improve the manuscript.</t>
  </si>
  <si>
    <t>10.1016/j.ocemod.2013.09.001</t>
  </si>
  <si>
    <t>WOS:000327484300013</t>
  </si>
  <si>
    <t>Vollmer, L; Eden, C</t>
  </si>
  <si>
    <t>Vollmer, Lukas; Eden, Carsten</t>
  </si>
  <si>
    <t>A global map of meso-scale eddy diffusivities based on linear stability analysis</t>
  </si>
  <si>
    <t>Isopycnal diffusivity; Linear stability analysis; Meso-scale eddy parameterisation</t>
  </si>
  <si>
    <t>BAROCLINIC INSTABILITY; GENERAL-CIRCULATION; OCEAN; PARAMETERIZATION; EDDIES; FLUXES; ENERGY; MODEL; SUPPRESSION; FLOW</t>
  </si>
  <si>
    <t>Using a hydrographic climatology, global maps of meso-scale eddy kinetic energy (EKE), diffusivities for mixing along isopycnals (isopycnal diffusivity) and for the advective effect of meso-scale eddies (skew diffusivity) are created using properties of the fastest growing unstable baroclinic waves and a simple ad hoc scaling of the amplitudes from linear stability theory. Amplitudes of EKE compare well with near-surface observational estimates based on satellite data and results of an eddy-permitting model, but show a low bias in regions where eddies are not generated locally but propagate into, which will likely transfer both to the diffusivities. In agreement with previous studies we find largest diffusivities in the deep Antarctic Circumpolar Current, and in the shallow western boundary and low latitude westward currents. In agreement with analytical consideration, we find that isopycnal diffusivities are increased at the depth of the steering level where unstable waves and mean flow propagate at the same speed, while skew diffusivities exhibit less vertical dependency, and that isopycnal diffusivities are roughly three times larger than skew diffusivities at the steering level. It is shown that the vertical structure of the diffusivities can be explained to a large extent by the effect of the planetary vorticity gradient which leads to a decrease of skew diffusivities at the surface (bottom) and to a downward (upward) shift of the steering level, and thus the maximum of isopycnal diffusivities, for eastward (westward) flow. (C) 2013 Elsevier Ltd. All rights reserved.</t>
  </si>
  <si>
    <t>[Vollmer, Lukas; Eden, Carsten] Univ Hamburg, Inst Meereskunde, Hamburg, Germany</t>
  </si>
  <si>
    <t>University of Hamburg</t>
  </si>
  <si>
    <t>Eden, C (corresponding author), Univ Hamburg, Inst Meereskunde, Hamburg, Germany.</t>
  </si>
  <si>
    <t>carsten.eden@zmaw.de</t>
  </si>
  <si>
    <t>10.1016/j.ocemod.2013.09.006</t>
  </si>
  <si>
    <t>WOS:000327484300015</t>
  </si>
  <si>
    <t>Turner, E; Hofmann, EE; Gifford, DJ; Haidvogel, DB</t>
  </si>
  <si>
    <t>Turner, Elizabeth; Hofmann, Eileen E.; Gifford, Dian J.; Haidvogel, Dale B.</t>
  </si>
  <si>
    <t>John H. Steele, 1926-2013</t>
  </si>
  <si>
    <t>VIDEO PLANKTON RECORDER; ARCTIC CLIMATE-CHANGE; GEORGES BANK REGION; GULF-OF-MAINE; CALIFORNIA CURRENT; PACIFIC-SALMON; ZOOPLANKTON COMMUNITY; ANTARCTIC PENINSULA; NORTHEAST PACIFIC; US GLOBEC</t>
  </si>
  <si>
    <t>[Turner, Elizabeth] NOAA, Natl Ocean Serv, Durham, NH USA; [Haidvogel, Dale B.] Rutgers State Univ, Inst Marine &amp; Coastal Sci, New Brunswick, NJ 08903 USA; [Hofmann, Eileen E.] Old Dominion Univ, Ctr Coastal Phys Oceanog, Norfolk, VA USA</t>
  </si>
  <si>
    <t>National Oceanic Atmospheric Admin (NOAA) - USA; National Ocean Service, NOAA; Rutgers University System; Rutgers University New Brunswick; Old Dominion University</t>
  </si>
  <si>
    <t>Turner, E (corresponding author), NOAA, Natl Ocean Serv, Durham, NH USA.</t>
  </si>
  <si>
    <t>elizabeth.turner@noaa.gov</t>
  </si>
  <si>
    <t>10.5670/oceanog.2013.85</t>
  </si>
  <si>
    <t>WOS:000332749800004</t>
  </si>
  <si>
    <t>Ruzicka, JJ; Steele, JH; Gaichas, SK; Ballerini, T; Gifford, DJ; Brodeur, RD; Hofmann, EE</t>
  </si>
  <si>
    <t>Ruzicka, James J.; Steele, John H.; Gaichas, Sarah K.; Ballerini, Tosca; Gifford, Dian J.; Brodeur, Richard D.; Hofmann, Eileen E.</t>
  </si>
  <si>
    <t>Analysis of ENERGY FLOW in US GLOBEC Ecosystems Using End-to-End Models</t>
  </si>
  <si>
    <t>NORTHERN CALIFORNIA CURRENT; WEST ANTARCTIC PENINSULA; COLUMBIA RIVER PLUME; FOOD-WEB STRUCTURE; MARGUERITE BAY; OCEANOGRAPHIC CONDITIONS; MARINE ECOSYSTEMS; CONTINENTAL-SHELF; SOUTHERN-OCEAN; GEORGES-BANK</t>
  </si>
  <si>
    <t>End-to-end models were constructed to examine and compare the trophic structure and energy flow in coastal shelf ecosystems of four US Global Ocean Ecosystem Dynamics (GLOBEC) study regions: the Northern California Current, the Central Gulf of Alaska, Georges Bank, and the Southwestern Antarctic Peninsula. High-quality data collected on system components and processes over the life of the program were used as input to the models. Although the US GLOBEC program was species-centric, focused on the study of a selected set of target species of ecological or economic importance, we took a broader community-level approach to describe end-to-end energy flow, from nutrient input to fishery production. We built four end-to-end models that were structured similarly in terms of functional group composition and time scale. The models were used to identify the mid-trophic level groups that place the greatest demand on lower trophic level production while providing the greatest support to higher trophic level production. In general, euphausiids and planktivorous forage fishes were the critical energy-transfer nodes; however, some differences between ecosystems are apparent. For example, squid provide an important alternative energy pathway to forage fish, moderating the effects of changes to forage fish abundance in scenario analyses in the Central Gulf of Alaska. In the Northern California Current, large scyphozoan jellyfish are important consumers of plankton production, but can divert energy from the rest of the food web when abundant.</t>
  </si>
  <si>
    <t>[Ruzicka, James J.] Oregon State Univ, Hatfield Marine Sci Ctr, Cooperat Inst Marine Resources Studies, Newport, OR 97365 USA; [Steele, John H.] Woods Hole Oceanog Inst, Marine Policy Ctr, Woods Hole, MA 02543 USA; [Gaichas, Sarah K.] NOAA, Northeast Fisheries Sci Ctr, Woods Hole, MA USA; [Ballerini, Tosca] Aix Marseille Univ, CNRS, Mediterranean Inst Oceanog, Inst Pytheas,IRD, Marseille, France; [Gifford, Dian J.] Univ Rhode Isl, Grad Sch Oceanog, Narragansett, RI 02882 USA; [Brodeur, Richard D.] NOAA, NW Fisheries Sci Ctr, Newport Res Stn, Newport, OR USA; [Hofmann, Eileen E.] Old Dominion Univ, Dept Ocean, Norfolk, VA USA</t>
  </si>
  <si>
    <t>Oregon State University; Woods Hole Oceanographic Institution; National Oceanic Atmospheric Admin (NOAA) - USA; Institut de Recherche pour le Developpement (IRD); Aix-Marseille Universite; Centre National de la Recherche Scientifique (CNRS); University of Rhode Island; National Oceanic Atmospheric Admin (NOAA) - USA; Old Dominion University</t>
  </si>
  <si>
    <t>Ruzicka, JJ (corresponding author), Oregon State Univ, Hatfield Marine Sci Ctr, Cooperat Inst Marine Resources Studies, Newport, OR 97365 USA.</t>
  </si>
  <si>
    <t>jim.ruzicka@oregonstate.edu</t>
  </si>
  <si>
    <t>Ballerini, Tosca/ABE-1656-2020</t>
  </si>
  <si>
    <t>Ballerini, Tosca/0000-0003-4007-4605; Brodeur, Richard/0000-0002-6629-5564; Gaichas, Sarah/0000-0002-5788-3073</t>
  </si>
  <si>
    <t>NSF GLOBEC Pan-regional Synthesis Program [NSF 0814494, NSF 0814592, NSF 0814584, NSF 0814474]; NSF Biological Oceanography [OCE 1258667, OCE 1416905]; Directorate For Geosciences; Division Of Ocean Sciences [1258667] Funding Source: National Science Foundation</t>
  </si>
  <si>
    <t>NSF GLOBEC Pan-regional Synthesis Program; NSF Biological Oceanography(National Science Foundation (NSF)NSF - Directorate for Geosciences (GEO)); Directorate For Geosciences; Division Of Ocean Sciences(National Science Foundation (NSF)NSF - Directorate for Geosciences (GEO))</t>
  </si>
  <si>
    <t>We especially thank our late colleague and co-author, John Steele, for inspiring this effort from end to end. We also thank Susan Ruzicka for the preparation of the model domain maps. Tom Conlin developed the coding for Monte Carlo analyses on the University of Oregon ACISS computing cluster. This study was supported by grants from the NSF GLOBEC Pan-regional Synthesis Program to JJR (NSF 0814494), DJG (NSF 0814592), EEH (NSF 0814584), and JHS (NSF 0814474). Additional support came from grants from NSF Biological Oceanography to JHS (OCE 1258667) and JJR (OCE 1416905). This is US GLOBEC contribution 735.</t>
  </si>
  <si>
    <t>10.5670/oceanog.2013.77</t>
  </si>
  <si>
    <t>WOS:000332749800009</t>
  </si>
  <si>
    <t>Pardo, D; Barbraud, C; Weimerskirch, H</t>
  </si>
  <si>
    <t>Pardo, Deborah; Barbraud, Christophe; Weimerskirch, Henri</t>
  </si>
  <si>
    <t>Females better face senescence in the wandering albatross</t>
  </si>
  <si>
    <t>Breeding success; Breeding probability; Capture-mark-recapture; Diomedea exulans; Seabird; Senescence; Sexual dimorphism; Survival</t>
  </si>
  <si>
    <t>AGE-SPECIFIC SURVIVAL; LONG-LIVED SEABIRD; NATURAL-POPULATIONS; SEXUAL-DIMORPHISM; DIOMEDEA-EXULANS; REPRODUCTION; COSTS; SELECTION; DYNAMICS; RECAPTURE</t>
  </si>
  <si>
    <t>Sex differences in lifespan and aging are widespread among animals. Since investment in current reproduction can have consequences on other life-history traits, the sex with the highest cost of breeding is expected to suffer from an earlier and/or stronger senescence. This has been demonstrated in polygynous species that are highly dimorphic. However in monogamous species where parental investment is similar between sexes, sex-specific differences in aging patterns of life-history traits are expected to be attenuated. Here, we examined sex and age influences on demographic traits in a very long-lived and sexually dimorphic monogamous species, the wandering albatross (Diomedea exulans). We modelled within the same model framework sex-dependent variations in aging for an array of five life-history traits: adult survival, probability of returning to the breeding colony, probability of breeding and two measures of breeding success (hatching and fledging). We show that life-history traits presented contrasted aging patterns according to sex whereas traits were all similar at young ages. Both sexes exhibited actuarial and reproductive senescence, but, as the decrease in breeding success remained similar for males and females, the survival and breeding probabilities of males were significantly more affected than females. We discuss our results in the light of the costs associated to reproduction, age-related pairing and a biased operational sex-ratio in the population leading to a pool of non-breeders of potentially lower quality and therefore more subject to death or breeding abstention. For a monogamous species with similar parental roles, the patterns observed were surprising and when placed in a gradient of observed age/sex-related variations in life-history traits, wandering albatrosses were intermediate between highly dimorphic polygynous and most monogamous species.</t>
  </si>
  <si>
    <t>[Pardo, Deborah; Barbraud, Christophe; Weimerskirch, Henri] CEBC CNRS UPR 1934, F-79360 Villiers En Bois, France</t>
  </si>
  <si>
    <t>Pardo, D (corresponding author), British Antarctic Survey, Cambridge CB3 0ET, England.</t>
  </si>
  <si>
    <t>deborah.pardo@gmail.com</t>
  </si>
  <si>
    <t>Weimerskirch, Henri/K-7306-2019; Weimerskirch, Henri/F-5562-2013; Barbraud, Christophe/A-5870-2012</t>
  </si>
  <si>
    <t>Weimerskirch, Henri/0000-0002-0457-586X; Barbraud, Christophe/0000-0003-0146-212X</t>
  </si>
  <si>
    <t>Institut Paul Emile Victor (IPEV) [109]; Terres Australes et Antarctiques Francaises; Zone Atelier de Recherches sur l'Environnement Antarctique et Subantarctique (CNRS-INEE); Natural Environment Research Council [bas0100025] Funding Source: researchfish; NERC [bas0100025] Funding Source: UKRI</t>
  </si>
  <si>
    <t>Institut Paul Emile Victor (IPEV); Terres Australes et Antarctiques Francaises; Zone Atelier de Recherches sur l'Environnement Antarctique et Subantarctique (CNRS-INEE); Natural Environment Research Council(UK Research &amp; Innovation (UKRI)Natural Environment Research Council (NERC)); NERC(UK Research &amp; Innovation (UKRI)Natural Environment Research Council (NERC))</t>
  </si>
  <si>
    <t>he work, carried out at Ile de la Possession, was supported by the Institut Paul Emile Victor (IPEV program no. 109), Terres Australes et Antarctiques Francaises, Zone Atelier de Recherches sur l'Environnement Antarctique et Subantarctique (CNRS-INEE), and has been approved by the ethics committee of IPEV and by the Comite de l'Environnement Polaire. We are very grateful to all the field workers involved in the monitoring program over the past 50 years on the wandering albatrosses at Ile de la Possession. We thank Dominique Besson and Karine Delord for the data management. We thank Christophe Bonenfant, Jean-Michel Gaillard, Matthieu Authier and members of D.P.s PhD committee: Emmanuelle Cam, Daniel Oro and Michael Schaub for constructive discussions, Christophe Guinet for giving access to fast computers, and Roger Pradel for help in designing the transition matrices. We also thank two anonymous referees for very constructive comments on a previous version of the manuscript.</t>
  </si>
  <si>
    <t>10.1007/s00442-013-2704-x</t>
  </si>
  <si>
    <t>268ZR</t>
  </si>
  <si>
    <t>WOS:000328210000012</t>
  </si>
  <si>
    <t>D'Andrilli, J; Foreman, CM; Marshall, AG; McKnight, DM</t>
  </si>
  <si>
    <t>D'Andrilli, Juliana; Foreman, Christine M.; Marshall, Alan G.; McKnight, Diane M.</t>
  </si>
  <si>
    <t>Characterization of IHSS Pony Lake fulvic acid dissolved organic matter by electrospray ionization Fourier transform ion cyclotron resonance mass spectrometry and fluorescence spectroscopy</t>
  </si>
  <si>
    <t>ORGANIC GEOCHEMISTRY</t>
  </si>
  <si>
    <t>MOLECULAR CHARACTERIZATION; LIQUID-CHROMATOGRAPHY; RAPID IDENTIFICATION; RESOLUTION; MARINE; NITROGEN; CARBON; SENSITIVITY; EXTRACTION; FRACTIONS</t>
  </si>
  <si>
    <t>We present the extensive characterization of Antarctic Pony Lake (PL) dissolved organic matter (DOM), an International Humic Substance Society (IHSS) fulvic acid (FA) reference standard, using electrospray ionization Fourier transform ion cyclotron resonance mass spectrometry (ESI FT-ICR MS) and excitation-emission matrix fluorescence spectroscopy (EEMS). PLFA is the first reference standard available through IHSS derived solely from a microbial source. A number of factors differentiate PLFA from other IHSS standards, including source material, geographic location, sunlight exposure, freeze-thaw conditions, and other in situ environmental influences. ESI FT-ICR MS and EEMS were used to compare the PLFA microbial DOM compositional signature with the IHSS Suwannee River (SR) FA, a standard frequently studied for environmental DOM analysis. Although CcHhOoNnSs (n = 0, 1, or 2 and s = 0 or 1) constituents were present in both IHSS samples, PLFA contained more N and S molecular species, whereas SRFA was dominated by CcHhOo compounds. Proteinaceous character was detected with both methods, in greater abundance for PLFA, which we attributed to its microbial source material and labile, potentially more reactive nature than SRFA. Characterization from both analytical techniques resulted in complementary data that reinforce the importance of PLFA as an IHSS reference standard that should be utilized for other microbiological environmental DOM comparisons. (C) 2013 Elsevier Ltd. All rights reserved.</t>
  </si>
  <si>
    <t>[D'Andrilli, Juliana; Foreman, Christine M.] Montana State Univ, Ctr Biofilm Engn, Bozeman, MT 59717 USA; [Marshall, Alan G.] Natl High Magnet Field Lab, Ion Cyclotron Resonance Program, Tallahassee, FL 32310 USA; [Marshall, Alan G.] Florida State Univ, Dept Chem &amp; Biochem, Tallahassee, FL 32306 USA; [McKnight, Diane M.] Univ Colorado, INSTAAR, Boulder, CO 80309 USA</t>
  </si>
  <si>
    <t>Montana State University System; Montana State University Bozeman; State University System of Florida; Florida State University; State University System of Florida; Florida State University; University of Colorado System; University of Colorado Boulder</t>
  </si>
  <si>
    <t>D'Andrilli, J (corresponding author), Montana State Univ, Ctr Biofilm Engn, Bozeman, MT 59717 USA.</t>
  </si>
  <si>
    <t>Juliana@montana.edu</t>
  </si>
  <si>
    <t>MCKNIGHT, DIANE/0000-0002-4171-1533; D'Andrilli, Juliana/0000-0002-3352-2564; Foreman, Christine/0000-0003-0230-4692</t>
  </si>
  <si>
    <t>NSF Division of Antarctic Sciences [ANT-0338342, ANT-0838970]; NSF Division of Materials Research [DMR-11-57490]; State of Florida; Office of Polar Programs (OPP); Directorate For Geosciences [1115245] Funding Source: National Science Foundation</t>
  </si>
  <si>
    <t>NSF Division of Antarctic Sciences; NSF Division of Materials Research(National Science Foundation (NSF)); State of Florida; Office of Polar Programs (OPP); Directorate For Geosciences(National Science Foundation (NSF)NSF - Directorate for Geosciences (GEO))</t>
  </si>
  <si>
    <t>Mass spectra were obtained at the National High Magnetic Field Laboratory in Tallahassee, Florida and EEMS data were generated at the Center for Biofilm Engineering at Montana State University, Bozeman, Montana. We thank D. Podgorski and the Ion Cyclotron Resonance Facility staff for maintaining the optimal performance of the 9.4 T FT-ICR mass spectrometer. We acknowledge K. Hunt and T. Vose for their extensive knowledge, code-writing and creativity with the program MATLAB, P. Bloom and C. Zaccone at IHSS for website reference material assistance, and B. Vanmiddlesworth for the development of a PYTHON MS data analysis program. In addition, we thank two anonymous reviewers for their comments, suggestions and effort to greatly strengthen this work. The work was supported by the NSF Division of Antarctic Sciences through ANT-0338342 and ANT-0838970, by the NSF Division of Materials Research through DMR-11-57490, and the State of Florida.</t>
  </si>
  <si>
    <t>0146-6380</t>
  </si>
  <si>
    <t>ORG GEOCHEM</t>
  </si>
  <si>
    <t>Org. Geochem.</t>
  </si>
  <si>
    <t>10.1016/j.orggeochem.2013.09.013</t>
  </si>
  <si>
    <t>254AY</t>
  </si>
  <si>
    <t>WOS:000327133800002</t>
  </si>
  <si>
    <t>Wang, YMV; Leduc, G; Regenberg, M; Andersen, N; Larsen, T; Blanz, T; Schneider, RR</t>
  </si>
  <si>
    <t>Wang, Yiming V.; Leduc, Guillaume; Regenberg, Marcus; Andersen, Nils; Larsen, Thomas; Blanz, Thomas; Schneider, Ralph R.</t>
  </si>
  <si>
    <t>Northern and southern hemisphere controls on seasonal sea surface temperatures in the Indian Ocean during the last deglaciation</t>
  </si>
  <si>
    <t>Sea surface temperature; Tropical Indian Ocean; Last Deglacial</t>
  </si>
  <si>
    <t>PLANKTONIC-FORAMINIFERA; MOZAMBIQUE CHANNEL; CHINA SEA; CLIMATE; ATLANTIC; PACIFIC; SEDIMENTS; CARBON; CIRCULATION; EQUATORIAL</t>
  </si>
  <si>
    <t>Different proxies for sea surface temperature (SST) often exhibit divergent trends for deglacial warming in tropical regions, hampering our understanding of the phase relationship between tropical SSTs and continental ice volume at glacial terminations. To reconcile divergent SST trends, we report reconstructions of two commonly used paleothermometers (the foraminifera G. ruber Mg/Ca and the alkenone unsaturation index) from a marine sediment core collected in the southwestern tropical Indian Ocean encompassing the last 37,000 years. Our results show that SSTs derived from the alkenone unsaturation index (U-37(K)) are consistently warmer than those derived from Mg/Ca by similar to 2-3 degrees C except for the Heinrich Event 1. In addition, the initial timing for the deglacial warming of alkenone SST started at similar to 15.6 ka, which lags behind that of Mg/Ca temperatures by 2.5 kyr. We argue that the discrepancy between the two SST proxies reflects seasonal differences between summer and winter rather than postdepositional processes or sedimentary biases. The U-37(K) SST record clearly mimics the deglacial SST trend recorded in the North Atlantic region for the earlier part of the termination, indicating that the early deglacial warming trend attributed to local summer temperatures was likely mediated by changes in the Atlantic Meridional Overturning Circulation at the onset of the deglaciation. In contrast, the glacial to interglacial SST pattern recorded by G. ruber Mg/Ca probably reflects cold season SSTs. This indicates that the cold season SSTs was likely mediated by climate changes in the southern hemisphere, as it closely tracks the Antarctic timing of deglaciation. Therefore, our study reveals that the tropical southwestern Indian Ocean seasonal SST was closely linked to climate changes occurring in both hemispheres. The austral summer and winter recorded by each proxy is further supported with seasonal SST trends modeled by Atmosphere-ocean General Circulation Models for our core site. Our interpretation that the alkenone and Mg/Ca SSTs are seasonally biased may also explain similar proxy mismatches observed in other tropical regions at the onset of the last termination.</t>
  </si>
  <si>
    <t>[Wang, Yiming V.; Leduc, Guillaume; Regenberg, Marcus; Blanz, Thomas; Schneider, Ralph R.] Univ Kiel, Inst Geosci, D-24118 Kiel, Germany; [Wang, Yiming V.; Andersen, Nils; Larsen, Thomas; Schneider, Ralph R.] Univ Kiel, Leibniz Lab Radiometr Dating &amp; Isotope Res, D-24118 Kiel, Germany; [Larsen, Thomas] Spanish Res Council CSIC, Biogeodynam &amp; Biodivers Grp, Ctr Adv Studies Blanes CEAB, Catalonia, Spain</t>
  </si>
  <si>
    <t>University of Kiel; University of Kiel; Consejo Superior de Investigaciones Cientificas (CSIC); CSIC - Centre d'Estudis Avancats de Blanes (CEAB)</t>
  </si>
  <si>
    <t>Wang, YMV (corresponding author), Univ Kiel, Inst Geosci, Ludewig Meyn Str 10-14, D-24118 Kiel, Germany.</t>
  </si>
  <si>
    <t>ywang@leibniz.uni-kiel.de</t>
  </si>
  <si>
    <t>Wang, Yiming V./ABB-3113-2021; Wang, Yiming/ABF-8263-2021; Larsen, Thomas/D-3105-2012; Leduc, Guillaume/A-8930-2008</t>
  </si>
  <si>
    <t>Wang, Yiming/0000-0003-3228-5592; Larsen, Thomas/0000-0002-0311-9707</t>
  </si>
  <si>
    <t>German Science Foundation (DFG); Future Ocean [DFG ExCl 80]; [JCI-2009-04933]</t>
  </si>
  <si>
    <t>German Science Foundation (DFG)(German Research Foundation (DFG)); Future Ocean;</t>
  </si>
  <si>
    <t>This project was funded by the German Science Foundation (DFG) and DFG ExCl 80 the Future Ocean. TL was also supported by JCI-2009-04933. The authors thank the captain, the crew, and the participants of Meteor cruise 75/3. We thank Dr. D. Garbe-Schonberg and staff in the ICP-OES laboratory at CAU for Mg/Ca measurements, S. Koch and C. Rautenstrauch for laboratory assistances, and J. van der Lubbe for fruitful discussion. We are grateful to Drs. Z. Liu, H. Feng, and B. Otto-Bliesner for providing the AOGCMs transient model output for the seasonal sea surface temperature in the Mozambique Channel, and Dr. F. Lombard for discussion about G. ruber maximum growth for our sample location. Finally, we thank the associated editor Dr. R. Tada and two anonymous reviewers for their valuable and constructive comments that improved this manuscript.</t>
  </si>
  <si>
    <t>10.1002/palo.20053</t>
  </si>
  <si>
    <t>WOS:000329862600002</t>
  </si>
  <si>
    <t>Völker, C; Köhler, P</t>
  </si>
  <si>
    <t>Voelker, Christoph; Koehler, Peter</t>
  </si>
  <si>
    <t>Responses of ocean circulation and carbon cycle to changes in the position of the Southern Hemisphere westerlies at Last Glacial Maximum</t>
  </si>
  <si>
    <t>carbon cycle; Southern Hemisphere westerly winds; modeling; CO2; ice core data; glacial; interglacial</t>
  </si>
  <si>
    <t>MERIDIONAL OVERTURNING CIRCULATION; DEGLACIAL CO2 RISE; ATMOSPHERIC CO2; WIND CHANGES; SEA-ICE; MODEL; ATLANTIC; CLIMATE; TEMPERATURE; PARAMETERIZATION</t>
  </si>
  <si>
    <t>We explore the impact of a latitudinal shift in the westerly wind belt over the Southern Ocean on the Atlantic meridional overturning circulation (AMOC) and on the carbon cycle for Last Glacial Maximum background conditions using a state-of-the-art ocean general circulation model. We find that a southward (northward) shift in the westerly winds leads to an intensification (weakening) of no more than 10% of the AMOC. This response of the ocean physics to shifting winds agrees with other studies starting from preindustrial background climate, but the responsible processes are different. In our setup changes in AMOC seemed to be more pulled by upwelling in the south than pushed by downwelling in the north, opposite to what previous studies with different background climate are suggesting. The net effects of the changes in ocean circulation lead to a rise in atmospheric pCO(2) of less than 10atm for both northward and southward shift in the winds. For northward shifted winds the zone of upwelling of carbon- and nutrient-rich waters in the Southern Ocean is expanded, leading to more CO(2)outgassing to the atmosphere but also to an enhanced biological pump in the subpolar region. For southward shifted winds the upwelling region contracts around Antarctica, leading to less nutrient export northward and thus a weakening of the biological pump. These model results do not support the idea that shifts in the westerly wind belt play a dominant role in coupling atmospheric CO2 rise and Antarctic temperature during deglaciation suggested by the ice core data.</t>
  </si>
  <si>
    <t>[Voelker, Christoph; Koehler, Peter] Helmholtz Ctr Polar &amp; Marine Res, Alfred Wegener Inst, D-27515 Bremerhaven, Germany</t>
  </si>
  <si>
    <t>Köhler, P (corresponding author), Helmholtz Ctr Polar &amp; Marine Res, Alfred Wegener Inst, POB 120161, D-27515 Bremerhaven, Germany.</t>
  </si>
  <si>
    <t>peter.koehler@awi.de</t>
  </si>
  <si>
    <t>Köhler, Peter/F-7293-2010; Voelker, Christoph/I-7891-2012</t>
  </si>
  <si>
    <t>Köhler, Peter/0000-0003-0904-8484; Voelker, Christoph/0000-0003-3032-114X</t>
  </si>
  <si>
    <t>German Research Foundation DFG [KO 2937/5-1]; EU [264879]</t>
  </si>
  <si>
    <t>German Research Foundation DFG(German Research Foundation (DFG)); EU(European Union (EU))</t>
  </si>
  <si>
    <t>LGM forcing data were kindly provided by Xu Zhang. P.K. acknowledges support by the German Research Foundation DFG (project number KO 2937/5-1) and C.V. by the EU FP7 project CarboChange (grant agreement 264879). We thank Karen Kohfeld and two anonymous reviewers for their constructive suggestions on how to improve the article.</t>
  </si>
  <si>
    <t>10.1002/2013PA002556</t>
  </si>
  <si>
    <t>hybrid, Green Published</t>
  </si>
  <si>
    <t>WOS:000329862600010</t>
  </si>
  <si>
    <t>Quattrocchio, ME; Martínez, MA; Hinojosa, LF; Jaramillo, C</t>
  </si>
  <si>
    <t>Quattrocchio, Mirta E.; Martinez, Marcelo A.; Felipe Hinojosa, Luis; Jaramillo, Carlos</t>
  </si>
  <si>
    <t>Quantitative analysis of Cenozoic palynofloras from Patagonia, southern South America</t>
  </si>
  <si>
    <t>PALYNOLOGY</t>
  </si>
  <si>
    <t>Cenozoic; southern South America; Patagonia; palynofloras; statistics</t>
  </si>
  <si>
    <t>PALEOGENE-EARLY NEOGENE; HUITRERA FORMATION; PALYNOLOGY; MIOCENE; EVOLUTION; FORESTS; PALEOGEOGRAPHY; CIRCULATION; TERTIARY; PROVINCE</t>
  </si>
  <si>
    <t>The statistical analysis of published Paleocene-Late Miocene palynological data from Patagonia supports several major stages of vegetation. These stages represent distinctive floral assemblages, both in composition and structure. Detrended correspondence analysis shows that during the Paleocene, southern South America was dominated by Australasian, Neotropical and Pantropical phytogeographical elements (Gondwanic paleoflora). The climate was warm and very humid. The Early Eocene was dominated by Neotropical and Pantropical taxa (Subtropical Gondwanic Paleoflora) and a reduced proportion of Australasian and a low proportion of Antarctic elements. The Middle Eocene and Oligocene were characterized by the Mixed Paleoflora' with the exception of the Sloggett Formation. The climate was less humid due to the onset of the Antarctic glaciation. The presence of Antarctic palynomorphs (Nothofagaceae, Podocarpaceae, Proteaceae) in Patagonia is consistent with the global cooling trend during the Late Eocene and Early Oligocene. By the Late Oligocene-Early Miocene, warm climates allowed the southward dispersal of Neotropical elements (palms, Cupania, Alchornea, Rubiaceae, Combretaceae), adding megathermal elements to the local Gondwanic floras. The appearance of some Neotropical families (Symplocaceae, Euphorbiaceae Alchornea) may indicate the Late Oligocene global warming event. The rise of xerophytic and halophytic shrubby-herbaceous elements (Convolvulaceae, Asteraceae, Poaceae, Chenopodiaceae and Ephedraceae) during the Late Oligocene, becoming more abundant during the Early Miocene began to give a modern appearance to plant communities. The Early-Middle Miocene corresponds to the Transitional Paleophytogeoprovince of central and southeastern Argentina, defined by a mix of Neotropical and Austral components. The Middle-Late Miocene was characterized by the final demise of megathermal elements in Patagonia, coupled with an increasing diversity and abundance of xerophytic adapted taxa, including Asteraceae, Chenopodiaceae and Convolvulaceae. Late Miocene vegetation was similar to the present vegetation, with the steppe expanded across extra-Andean Patagonia and the forest restricted to western areas where rainfall was still abundant.</t>
  </si>
  <si>
    <t>[Quattrocchio, Mirta E.; Martinez, Marcelo A.] Univ Nacl Sur, Dept Geol, CONICET, INGEOSUR, RA-8000 Bahia Blanca, Buenos Aires, Argentina; [Felipe Hinojosa, Luis] Univ Chile, Fac Ciencias, Dept Ecol, Santiago, Chile; [Felipe Hinojosa, Luis] Inst Ecol &amp; Biodiversidad, Santiago, Chile; [Jaramillo, Carlos] Smithsonian Trop Res Inst, Balboa, Panama</t>
  </si>
  <si>
    <t>National University of the South; Consejo Nacional de Investigaciones Cientificas y Tecnicas (CONICET); Universidad de Chile; Smithsonian Institution; Smithsonian Tropical Research Institute</t>
  </si>
  <si>
    <t>Quattrocchio, ME (corresponding author), Univ Nacl Sur, Dept Geol, CONICET, INGEOSUR, San Juan 670, RA-8000 Bahia Blanca, Buenos Aires, Argentina.</t>
  </si>
  <si>
    <t>mquattro@criba.edu.ar</t>
  </si>
  <si>
    <t>Hinojosa, Luis Felipe/J-7557-2017</t>
  </si>
  <si>
    <t>Martinez, Marcelo/0000-0003-0538-4739; jaramillo, carlos/0000-0002-2616-5079; Hinojosa, Luis Felipe/0000-0001-5646-649X</t>
  </si>
  <si>
    <t>Consejo Nacional de Investigaciones Cientificas y Tecnicas (CONICET); Secretaria General de Ciencia y Tecnologia (SeCyT), Universidad Nacional del Sur. L.F. Hinojosa; Millennium Institute of Ecology and Biodiversity (IEB); Mideplan [P05-002]; CONICYT [PFB 23]; FONDECYT, Chile [1120215]</t>
  </si>
  <si>
    <t>Consejo Nacional de Investigaciones Cientificas y Tecnicas (CONICET)(Consejo Nacional de Investigaciones Cientificas y Tecnicas (CONICET)); Secretaria General de Ciencia y Tecnologia (SeCyT), Universidad Nacional del Sur. L.F. Hinojosa; Millennium Institute of Ecology and Biodiversity (IEB); Mideplan; CONICYT(Comision Nacional de Investigacion Cientifica y Tecnologica (CONICYT)); FONDECYT, Chile(Comision Nacional de Investigacion Cientifica y Tecnologica (CONICYT)CONICYT FONDECYT)</t>
  </si>
  <si>
    <t>The authors thank the reviewers and the Editor for their helpful suggestions which improved the final version of the manuscript. This work was supported by grants from the Consejo Nacional de Investigaciones Cientificas y Tecnicas (CONICET) and Secretaria General de Ciencia y Tecnologia (SeCyT), Universidad Nacional del Sur. L.F. Hinojosa thanks the Millennium Institute of Ecology and Biodiversity (IEB), and grants P05-002 from Mideplan and PFB 23 from CONICYT, FONDECYT 1120215, Chile.</t>
  </si>
  <si>
    <t>0191-6122</t>
  </si>
  <si>
    <t>1558-9188</t>
  </si>
  <si>
    <t>Palynology</t>
  </si>
  <si>
    <t>10.1080/01916122.2013.787126</t>
  </si>
  <si>
    <t>265JG</t>
  </si>
  <si>
    <t>WOS:000327946600007</t>
  </si>
  <si>
    <t>Crous, PW; Wingfield, MJ; Guarro, J; Cheewangkoon, R; van der Bank, M; Swart, WJ; Stchigel, AM; Cano-Lira, JF; Roux, J; Madrid, H; Damm, U; Wood, AR; Shuttleworth, LA; Hodges, CS; Munster, M; Yáñez-Morales, MD; Zúñiga-Estrada, L; Cruywagen, EM; de Hoog, GS; Silvera, C; Najafzadeh, J; Davison, EM; Davison, PJN; Barrett, MD; Barrett, RL; Manamgoda, DS; Minnis, AM; Kleczewski, NM; Flory, SL; Castlebury, LA; Clay, K; Hyde, KD; Maússe-Sitoe, SND; Chen, SF; Lechat, C; Hairaud, M; Lesage-Meessen, L; Pawlowska, J; Wilk, M; Sliwinska-Wyrzychowska, A; Metrak, M; Wrzosek, M; Pavlic-Zupanc, D; Maleme, HM; Slippers, B; Mac Cormack, WP; Archuby, DI; Grünwald, NJ; Tellería, MT; Dueñas, M; Martín, MP; Marincowitz, S; de Beer, ZW; Perez, CA; Gené, J; Marin-Felix, Y; Groenewald, JZ</t>
  </si>
  <si>
    <t>Crous, P. W.; Wingfield, M. J.; Guarro, J.; Cheewangkoon, R.; van der Bank, M.; Swart, W. J.; Stchigel, A. M.; Cano-Lira, J. F.; Roux, J.; Madrid, H.; Damm, U.; Wood, A. R.; Shuttleworth, L. A.; Hodges, C. S.; Munster, M.; de Jesus Yanez-Morales, M.; Zuniga-Estrada, L.; Cruywagen, E. M.; de Hoog, G. S.; Silvera, C.; Najafzadeh, J.; Davison, E. M.; Davison, P. J. N.; Barrett, M. D.; Barrett, R. L.; Manamgoda, D. S.; Minnis, A. M.; Kleczewski, N. M.; Flory, S. L.; Castlebury, L. A.; Clay, K.; Hyde, K. D.; Mausse-Sitoe, S. N. D.; Chen, Shuaifei; Lechat, C.; Hairaud, M.; Lesage-Meessen, L.; Pawlowska, J.; Wilk, M.; Sliwinska-Wyrzychowska, A.; Metrak, M.; Wrzosek, M.; Pavlic-Zupanc, D.; Maleme, H. M.; Slippers, B.; Mac Cormack, W. P.; Archuby, D. I.; Gruenwald, N. J.; Telleria, M. T.; Duenas, M.; Martin, M. P.; Marincowitz, S.; de Beer, Z. W.; Perez, C. A.; Gene, J.; Marin-Felix, Y.; Groenewald, J. Z.</t>
  </si>
  <si>
    <t>Fungal Planet description sheets: 154-213</t>
  </si>
  <si>
    <t>PERSOONIA</t>
  </si>
  <si>
    <t>ITS DNA barcodes; LSU; novel fungal species; systematics</t>
  </si>
  <si>
    <t>SP-NOV; COLLETOTRICHUM-SANSEVIERIAE; 1ST REPORT; DEMATIACEOUS HYPHOMYCETE; LEAF-BLIGHT; GENUS; PHYLOGENY; GENERA; PATHOGENS; BOTRYOSPHAERIACEAE</t>
  </si>
  <si>
    <t>Novel species of microfungi described in the present study include the following from South Africa: Camarosporium aloes, Phaeococcomyces aloes and Phoma aloes from Aloe, C. psoraleae, Diaporthe psoraleae and D. psoraleae-pinnatae from Psoralea, Colletotrichum euphorbiae from Euphorbia, Coniothyrium prosopidis and Peyronellaea prosopidis from Prosopis, Diaporthe cassines from Cassine, D. diospyricola from Diospyros, Diaporthe maytenicola from Maytenus, Harknessia proteae from Protea, Neofusicoccum ursorum and N. cryptoaustrale from Eucalyptus, Ochrocladosporium adansoniae from Adansonia, Pilidium pseudoconcavum from Greyia radlkoferi, Stagonospora pseudopaludosa from Phragmites and Toxicocladosporium ficiniae from Ficinia. Several species were also described from Thailand, namely: Chaetopsina pini and C. pinicola from Pinus spp., Myrmecridium thailandicum from reed litter, Passalora pseudotithoniae from Tithonia, Pallidocercospora ventilago from Ventilago, Pyricularia bothriochloae from Bothriochloa and Sphaerulina rhododendricola from Rhododendron. Novelties from Spain include Cladophialophora multiseptata, Knufia tsunedae and Pleuroascus rectipilus from soil and Cyphellophora catalaunica from river sediments. Species from the USA include Bipolaris drechsleri from Microstegium, Calonectria blephiliae from Blephilia, Kellermania macrospora (epitype) and K. pseudoyuccigena from Yucca. Three new species are described from Mexico, namely Neophaeosphaeria agaves and K. agaves from Agave and Phytophthora ipomoeae from Ipomoea. Other African species include Calonectria mossambicensis from Eucalyptus (Mozambique), Harzia cameroonensis from an unknown creeper (Cameroon), Mastigosporella anisophylleae from Anisophyllea (Zambia) and Teratosphaeria terminaliae from Terminalia (Zimbabwe). Species from Europe include Auxarthron longi-sporum from forest soil (Portugal), Discosia pseudoartocreas from Tilia (Austria), Paraconiothyrium polonense and P. lycopodinum from Lycopodium (Poland) and Stachybotrys oleronensis from Iris (France). Two species of Chrysosporium are described from Antarctica, namely C. magnasporum and C. oceanitesii. Finally, Licea xanthospora is described from Australia, Hypochnicium huinayensis from Chile and Custingophora blanchettei from Uruguay. Novel genera of Ascomycetes include Neomycosphaerella from Pseudopentameris macrantha (South Africa), and Paramycosphaerella from Brachystegia sp. (Zimbabwe). Novel hyphomycete genera include Pseudocatenomycopsis from Rothmannia (Zambia), Neopseudocercospora from Terminalia (Zambia) and Neodeightoniella from Phragmites (South Africa), while Dimorphiopsis from Brachystegia (Zambia) represents a novel coelomycetous genus. Furthermore, Alanphillipsia is introduced as a new genus in the Botryosphaeriaceae with four species, A. aloes, A. aloeigena and A. aloetica from Aloe spp. and A. euphorbiae from Euphorbia sp. (South Africa). A new combination is also proposed for Brachysporium torulosum (Deightoniella black tip of banana) as Corynespora torulosa. Morphological and culture characteristics along with ITS DNA barcodes are provided for all taxa.</t>
  </si>
  <si>
    <t>[Crous, P. W.; Madrid, H.; Damm, U.; de Hoog, G. S.; Groenewald, J. Z.] CBS KNAW Fungal Biodivers Ctr, NL-3584 CT Utrecht, Netherlands; [Wingfield, M. J.; Roux, J.; Shuttleworth, L. A.; Cruywagen, E. M.; Mausse-Sitoe, S. N. D.; Chen, Shuaifei; Maleme, H. M.; Slippers, B.; Marincowitz, S.] Univ Pretoria, Forestry &amp; Agr Biotechnol Inst, ZA-0028 Pretoria, South Africa; [Guarro, J.; Stchigel, A. M.; Cano-Lira, J. F.; Silvera, C.; Gene, J.; Marin-Felix, Y.] Univ Rovira &amp; Virgili, Mycol Unit, E-43201 Reus, Spain; [Guarro, J.; Stchigel, A. M.; Cano-Lira, J. F.; Silvera, C.; Gene, J.; Marin-Felix, Y.] IISPV, Reus 43201, Spain; [Cheewangkoon, R.] Chiang Mai Univ, Fac Agr, Dept Plant Pathol, Chiang Mai 50200, Thailand; [van der Bank, M.] Univ Johannesburg, Dept Bot &amp; Plant Biotechnol, ZA-2006 Auckland Pk, South Africa; [Swart, W. J.] Univ Orange Free State, Dept Plant Sci, ZA-9300 Bloemfontein, South Africa; [Wood, A. R.] ARC Plant Protect Res Inst, ZA-7599 Stellenbosch, South Africa; [Hodges, C. S.; Munster, M.] N Carolina State Univ, Plant Dis &amp; Insect Clin, Raleigh, NC 27695 USA; [de Jesus Yanez-Morales, M.] Colegio Postgrad, Mpio De Texcoco 56230, Edo De Mexico, Mexico; [Zuniga-Estrada, L.] Campo Expt Las Huastecas INIFAP, Cp 89610, Mexico; [Najafzadeh, J.] Mashhad Univ Med Sci, Ghaem Hosp, Dept Parasitol &amp; Mycol, Mashhad, Iran; [Najafzadeh, J.] Mashhad Univ Med Sci, Sch Med, Ghaem Hosp, Canc Mol Pathol Res Ctr, Mashhad, Iran; [Davison, E. M.] Curtin Univ, Dept Environm &amp; Agr, Perth, WA 6845, Australia; [Davison, E. M.; Barrett, M. D.; Barrett, R. L.] Western Australia Herbarium, Dept Pk &amp; Wildlife, Bentley, WA 6983, Australia; [Barrett, M. D.; Barrett, R. L.] Kings Pk &amp; Bot Gardens, Bot Gardens &amp; Pk Author, Perth, WA 6005, Australia; [Barrett, M. D.; Barrett, R. L.] Univ Western Australia, Sch Plant Biol, Crawley, WA 6009, Australia; [Manamgoda, D. S.; Castlebury, L. A.] USDA ARS, Systemat Mycol &amp; Microbiol Lab, Beltsville, MD 20705 USA; [Manamgoda, D. S.; Hyde, K. D.] Mae Fah Luang Univ, Inst Excellence Fungal Res, Chiang Rai 57100, Thailand; [Minnis, A. M.] US Forest Serv, USDA, No Res Stn, Ctr Forest Mycol Res, Madison, WI 53726 USA; [Kleczewski, N. M.] Univ Delaware, Dept Plant &amp; Soil Sci, Newark, DE 19719 USA; [Flory, S. L.] Univ Florida, Dept Agron, Gainesville, FL 32611 USA; [Clay, K.] Indiana Univ, Dept Biol, Bloomington, IN 47405 USA; [Lechat, C.] Ascofrance, F-79360 Villiers En Bois, France; [Lesage-Meessen, L.] Aix Marseille Univ, INRA, UMR BCF, CP925, F-13288 Marseille 09, France; [Pawlowska, J.] Univ Warsaw, Dept Systemat &amp; Plant Geog, PL-00478 Warsaw, Poland; [Wilk, M.] Univ Warsaw, Fac Individual Studies Math &amp; Nat Sci, Coll Inter, Warsaw, Poland; [Sliwinska-Wyrzychowska, A.] Jan Dlugosz Univ, Inst Chem Environm Protect &amp; Biotechnol, Dept Bot &amp; Plant Ecol, PL-42201 Czestochowa, Poland; [Metrak, M.] Univ Warsaw, Dept Plant Ecol &amp; Environm Protect, PL-00478 Warsaw, Poland; [Wrzosek, M.] Univ Warsaw, Dept Systemat &amp; Plant Geog, PL-00478 Warsaw, Poland; [Pavlic-Zupanc, D.] Agr Res Councile ARC PPRI, Plant Protect Res Inst, Biosystemat Programme, Mycol Unit, Pretoria, South Africa; [Maleme, H. M.; de Beer, Z. W.] Univ Pretoria, Fac Nat &amp; Agr Sci, Dept Microbiol &amp; Plant Pathol, ZA-0002 Pretoria, South Africa; [Slippers, B.] Univ Pretoria, Fac Nat &amp; Agr Sci, Dept Genet, ZA-0002 Pretoria, South Africa; [Mac Cormack, W. P.] Inst Antartico Argentino, Dept Microbiol Ambiental &amp; Ecofisiol, Buenos Aires, DF, Argentina; [Archuby, D. I.] Inst Antartico Argentino, Dept Ciencias Biol, Buenos Aires, DF, Argentina; [Gruenwald, N. J.] USDA ARS, Hort Crops Res Lab, Corvallis, OR 97330 USA; [Telleria, M. T.; Duenas, M.; Martin, M. P.] Real Jardin Bot RJB CSIC, Madrid 28014, Spain; [Perez, C. A.] Univ Republ, Fac Agron, Dept Protecc Vegetal, EEMAC, Paysandu, Uruguay</t>
  </si>
  <si>
    <t>Royal Netherlands Academy of Arts &amp; Sciences; Westerdijk Fungal Biodiversity Institute (KNAW); University of Pretoria; Universitat Rovira i Virgili; Universitat Rovira i Virgili; Institut d'Investigacio Sanitaria Pere Virgili (IISPV); Chiang Mai University; University of Johannesburg; University of the Free State; North Carolina State University; Colegio de Postgraduados - Mexico; Mashhad University Medical Science; Mashhad University Medical Science; Curtin University; University of Western Australia; United States Department of Agriculture (USDA); Mae Fah Luang University; United States Department of Agriculture (USDA); United States Forest Service; University of Delaware; State University System of Florida; University of Florida; Indiana University System; Indiana University Bloomington; Aix-Marseille Universite; INRAE; University of Warsaw; University of Warsaw; Jan Dlugosz University; University of Warsaw; University of Warsaw; University of Pretoria; University of Pretoria; Instituto Antartico Argentino; Instituto Antartico Argentino; United States Department of Agriculture (USDA); Consejo Superior de Investigaciones Cientificas (CSIC); CSIC - Real Jardin Botanico de Madrid; Universidad de la Republica, Uruguay</t>
  </si>
  <si>
    <t>Crous, PW (corresponding author), CBS KNAW Fungal Biodivers Ctr, Uppsalalaan 8, NL-3584 CT Utrecht, Netherlands.</t>
  </si>
  <si>
    <t>p.crous@cbs.knaw.nl</t>
  </si>
  <si>
    <t>Swart, Wijnand J/D-1207-2014; Madrid, Hugo/AAA-4995-2019; Cano-Lira, José F./ABB-5724-2020; Groenewald, Johannes Z/F-4667-2011; Slippers, Bernard/A-9351-2008; Barrett, Russell L/AAA-8493-2019; Crous, Pedro/ISB-2589-2023; Najafzadeh, M. J./M-9910-2019; Manamgoda, Dimuthu S./JAN-7083-2023; Pawłowska, Julia/F-7881-2015; Śliwińska-Wyrzychowska, Anna/E-9263-2017; Manamgoda, Dimuthu S/JNR-4085-2023; Damm, Ulrike/AFB-0515-2022; Telleria, M. Teresa/H-4928-2015; Roux, Jolanda/AGD-8171-2022; Gené, Josepa/AAG-6855-2019; Hyde, Kevin/F-7890-2010; Castlebury, Lisa/ABA-2614-2020; Wingfield, Michael J/A-9473-2008; Grunwald, Niklaus` J/K-6041-2013; Marincowitz, Seonju/A-9185-2008; de Beer, Z. Wilhelm/O-3194-2019; Manamgoda, Dimuthu S./JKH-6398-2023; Slippers, Bernard/IUP-9822-2023; CHEEWANGKOON, RATCHADAWAN/AGX-9436-2022; Martín, María/HDL-9512-2022; de Beer, Wilhelm/AAK-9266-2020; Pawłowska, Julia/AGH-2220-2022; Manamgoda, Dimuthu S./H-2835-2019; Crous, Pedro/H-1489-2012; Wood, Alan/AAC-8733-2019; chen, shuai/GXG-9235-2022; Perez, Carlos A Rios/W-2123-2018; Mętrak, Monika/HMO-6034-2023; Martin, Maria P./H-8069-2012; Cruywagen, Elsie/A-1695-2010; Barrett, Matthew/H-8435-2012; Duenas, Margarita/H-4944-2015; Stchigel, Alberto Miguel/G-1261-2016</t>
  </si>
  <si>
    <t>Cano-Lira, José F./0000-0003-4495-4394; Groenewald, Johannes Z/0000-0002-9474-6246; Slippers, Bernard/0000-0003-1491-3858; Barrett, Russell L/0000-0003-0360-8321; Najafzadeh, M. J./0000-0002-0590-1073; Manamgoda, Dimuthu S/0000-0002-1936-8556; Damm, Ulrike/0000-0002-2252-5196; Gené, Josepa/0000-0001-6195-9299; Castlebury, Lisa/0000-0002-6131-7736; Grunwald, Niklaus` J/0000-0003-1656-7602; de Beer, Z. Wilhelm/0000-0001-9758-8987; CHEEWANGKOON, RATCHADAWAN/0000-0001-8576-3696; Pawłowska, Julia/0000-0003-4914-5182; Wood, Alan/0000-0001-7315-3196; Mętrak, Monika/0000-0002-6069-6041; Mac Cormack, Walter/0000-0002-5280-5463; Martin, Maria P./0000-0002-1235-4418; Wrzosek, Marta/0000-0002-5871-5020; Marin-Felix, Yasmina/0000-0001-8045-4798; Guarro, Josep/0000-0002-7839-7568; Cruywagen, Elsie/0000-0002-8515-0889; Kleczewski, Nathan/0000-0001-5671-6727; Madrid, Hugo/0000-0002-7767-0796; Mausse Sitoe, Silvia Natal David/0000-0003-1272-3065; Wilk, Mateusz/0000-0002-6400-7012; Barrett, Matthew/0000-0002-2926-4291; Duenas, Margarita/0000-0003-0621-8003; Stchigel, Alberto Miguel/0000-0003-3987-7996</t>
  </si>
  <si>
    <t>Endesa foundation; Consejo Superior de Investigaciones Cientificas, CSIC [2011HUI10, 2013CL0012]; Thailand Research Fund [MRG5580163]; San Ignacio de Huinay foundation</t>
  </si>
  <si>
    <t>Endesa foundation; Consejo Superior de Investigaciones Cientificas, CSIC; Thailand Research Fund(Thailand Research Fund (TRF)); San Ignacio de Huinay foundation</t>
  </si>
  <si>
    <t>We thank Dr Olivier Maurin, John and Sandra Burrows, for their help in identifying the host plants collected in southern Africa. Drs Josepa Gene and Margarita Hernandez Restrepo are thanked for providing pictures of various collection sites. Dr Alberto M. Stchigel is grateful to the Direccion Nacional del Antartico for the logistic support to study the Antarctic fungi. Financial support for M. T. Teller a, M. Due as and M. P. Martin was provided by Endesa and San Ignacio de Huinay foundations, as well as Consejo Superior de Investigaciones Cientificas, CSIC, projects No. 2011HUI10 and 2013CL0012. Financial support for R. Cheewangkoon was provided by the Thailand Research Fund MRG5580163. We thank the technical staff, A. van Iperen (cultures), M. Vermaas (photographic plates), and M. Starink-Willemse (DNA isolation, amplification and sequencing) for their invaluable assistance.</t>
  </si>
  <si>
    <t>RIJKSHERBARIUM</t>
  </si>
  <si>
    <t>PO BOX 9514, 2300 RA LEIDEN, NETHERLANDS</t>
  </si>
  <si>
    <t>0031-5850</t>
  </si>
  <si>
    <t>Persoonia</t>
  </si>
  <si>
    <t>10.3767/003158513X675925</t>
  </si>
  <si>
    <t>284GS</t>
  </si>
  <si>
    <t>Green Submitted, Green Published</t>
  </si>
  <si>
    <t>WOS:000329304700001</t>
  </si>
  <si>
    <t>Powell, NS</t>
  </si>
  <si>
    <t>Powell, Nicolas S.</t>
  </si>
  <si>
    <t>Keeping equipment cool can be a challenge at Antarctic ground station</t>
  </si>
  <si>
    <t>PHYSICS TODAY</t>
  </si>
  <si>
    <t>Raytheon, Colorado Springs, CO 80910 USA</t>
  </si>
  <si>
    <t>Raytheon Technologies</t>
  </si>
  <si>
    <t>Powell, NS (corresponding author), Raytheon, Colorado Springs, CO 80910 USA.</t>
  </si>
  <si>
    <t>nspowell@raytheon.com</t>
  </si>
  <si>
    <t>AMER INST PHYSICS</t>
  </si>
  <si>
    <t>MELVILLE</t>
  </si>
  <si>
    <t>CIRCULATION &amp; FULFILLMENT DIV, 2 HUNTINGTON QUADRANGLE, STE 1 N O 1, MELVILLE, NY 11747-4501 USA</t>
  </si>
  <si>
    <t>0031-9228</t>
  </si>
  <si>
    <t>1945-0699</t>
  </si>
  <si>
    <t>PHYS TODAY</t>
  </si>
  <si>
    <t>Phys. Today</t>
  </si>
  <si>
    <t>10.1063/PT.3.2191</t>
  </si>
  <si>
    <t>293NY</t>
  </si>
  <si>
    <t>WOS:000329980200001</t>
  </si>
  <si>
    <t>Rochera, C; Fernández-Valiente, E; Van de Vijver, B; Rico, E; Toro, M; Vincent, WF; Quesada, A; Camacho, A</t>
  </si>
  <si>
    <t>Rochera, Carlos; Fernandez-Valiente, Eduardo; Van de Vijver, Bart; Rico, Eugenio; Toro, Manuel; Vincent, Warwick F.; Quesada, Antonio; Camacho, Antonio</t>
  </si>
  <si>
    <t>Community structure and photosynthetic activity of benthic biofilms from a waterfall in the maritime Antarctica</t>
  </si>
  <si>
    <t>Byers Peninsula; Cyanobacteria; Diatoms; Exopolymeric substances; Inorganic carbon uptake; Stoichiometry</t>
  </si>
  <si>
    <t>FRESH-WATER; BYERS PENINSULA; MICROBIAL MATS; LIVINGSTON ISLAND; DECEPTION ISLAND; POLYSACCHARIDES; DIATOMS; BACILLARIOPHYTA; ECOSYSTEMS; NITROGEN</t>
  </si>
  <si>
    <t>High-energy flowing water habitats such as waterfalls are uncommon in Antarctica, though they may become more regular as temperature increase. Both high spatial and temporal environmental variability is expected on them. The extent of their biological colonization will depend on the amount of ecological strategies displayed by the surrounding biota. We report here a study on phototrophic microbenthic communities inhabiting such environment in a stream on the Byers Peninsula of Livingston Island. Five different biofilms were distinguished by colour, and were located in specific microhabitat types in the waterfall, which flowed down a steep canyon. Photosynthetic pigment content and microscopic observations demonstrated a different assemblage of chlorophytes, cyanobacteria and diatoms among them. Biofilms were not randomly distributed in the stream channel, which may be related to water flow, nutrient availability and moisture. The exopolymeric substances content, stoichiometry and pigment composition varied among biofilms, likely reflecting differences in the water and nutrients availability. The photosynthetic rates were in the range of the observed in previous studies in the site and varied according to the habitat within the stream. Communities dominated by chlorophytes were restricted to the central channel, suggesting adaptation to faster flow regime. However, cyanobacterial biofilms appeared in a great range of environmental conditions. They were rare in the central channel where water flow was greatest, but achieved large biomass stocks on submerged and even exposed sites in the splash zone at the edge of the flowing water. This study shows how Antarctic biofilms can have a large variability in community structure and biomass over short length scales, reflecting the range of microhabitats in this Antarctic waterfall ecosystem, and the potential occurrence of different strategies to overcome fluctuating conditions.</t>
  </si>
  <si>
    <t>[Rochera, Carlos; Camacho, Antonio] Univ Valencia, Dept Microbiol &amp; Ecol, Inst Cavanilles Biodiversidad &amp; Biol Evolut, E-46100 Burjassot, Spain; [Fernandez-Valiente, Eduardo; Quesada, Antonio] Univ Autonoma Madrid, Dept Biol, E-28049 Madrid, Spain; [Van de Vijver, Bart] Natl Bot Garden Belgium, Dept Bryophytes &amp; Thallophytes, B-1860 Meise, Belgium; [Rico, Eugenio] Univ Autonoma Madrid, Dept Ecol, E-28049 Madrid, Spain; [Toro, Manuel] CEDEX, Ctr Estudios Hidrog, Madrid 28005, Spain; [Vincent, Warwick F.] Univ Laval, Dept Biol, Ctr Etud Nord, Ste Foy, PQ G1K 7P4, Canada</t>
  </si>
  <si>
    <t>University of Valencia; Autonomous University of Madrid; Autonomous University of Madrid; Laval University</t>
  </si>
  <si>
    <t>Rochera, C (corresponding author), Univ Valencia, Dept Microbiol &amp; Ecol, Inst Cavanilles Biodiversidad &amp; Biol Evolut, Edificio Invest,Campus Burjassot, E-46100 Burjassot, Spain.</t>
  </si>
  <si>
    <t>carlos.rochera@uv.es</t>
  </si>
  <si>
    <t>Vincent, Warwick/AAH-6152-2019; Rochera, Carlos/M-2932-2014; Rico, Eugenio/L-2429-2013; Quesada, Antonio/L-2430-2013; Camacho, Antonio/I-3417-2015</t>
  </si>
  <si>
    <t>Vincent, Warwick/0000-0001-9055-1938; Rochera, Carlos/0000-0002-8294-4755; Toro Velasco, Manuel/0000-0002-4860-7229; Rico, Eugenio/0000-0001-6978-645X; Quesada, Antonio/0000-0002-8913-5993; Camacho, Antonio/0000-0003-0841-2010</t>
  </si>
  <si>
    <t>Science and Technology Ministry (Spain) [REN20000-435-ANT]; Spanish Ministry of Education and Science [CGL2005-06549-C02-02/ANT]; European FEDER funds</t>
  </si>
  <si>
    <t>Science and Technology Ministry (Spain)(Spanish Government); Spanish Ministry of Education and Science(Spanish Government); European FEDER funds(European Union (EU))</t>
  </si>
  <si>
    <t>Fieldwork was supported by grant REN20000-435-ANT from the Science and Technology Ministry (Spain) to AQ. Sample processing was supported by grant CGL2005-06549-C02-02/ANT from the Spanish Ministry of Education and Science to AC, which was co-financed by European FEDER funds. We are very thankful to the UTM (Maritime Technology Unit, CSIC) and Las Palmas crew (Spanish Navy) who provided us with the logistical support to make possible this expedition. We also acknowledge the constructive comments of the reviewers.</t>
  </si>
  <si>
    <t>10.1007/s00300-013-1388-3</t>
  </si>
  <si>
    <t>WOS:000327393700001</t>
  </si>
  <si>
    <t>Valenzuela-Guerra, P; Morales-Moraga, D; González-Acuña, D; Vianna, JA</t>
  </si>
  <si>
    <t>Valenzuela-Guerra, Paulina; Morales-Moraga, David; Gonzalez-Acuna, Daniel; Vianna, Juliana A.</t>
  </si>
  <si>
    <t>Geographic morphological variation of Gentoo penguin (Pygoscelis papua) and sex identification: using morphometric characters and molecular markers</t>
  </si>
  <si>
    <t>Morphological variation; Molecular sexing; Discriminant functions; Gentoo penguin</t>
  </si>
  <si>
    <t>CHINSTRAP PENGUINS; ANTARCTICA; SELECTION; BIOLOGY; GENDER; ADELIE; ISLAND; BIRD</t>
  </si>
  <si>
    <t>Gentoo penguins Pygoscelis papua have sexual dimorphism, which females have smaller morphological measurements than males. P. papua also shows a geographic morphological variation, decreasing in size toward southern latitudes. Therefore, morphological measurements may vary in space and overlap in the distribution of traits between females and males, which could lead to sex misidentification. A total of 300 blood samples and eight measurements and weight were obtained for Gentoo penguins from three localities in the South Shetland Islands and the Antarctic Peninsula. The molecular sex was identified for all individuals using two primer pairs (P2/P8 and PL/PR). We obtained higher success amplification for P2/P8 compared to PL/PR. We used 172 adults to create a morphological discriminant function using the backward stepwise method. We established a discriminant function for sex identification of each locality due to significant morphological differences found between sexes and between the three studied localities for adult Gentoo penguins. Using these functions, the percentages of individuals correctly assigned was 93.87 % in Ardley Island, 88.09 % in Bernardo O'Higgins, and 83.95 % in Gabriel Gonzalez Videla. The most southern locality studied was the most morphologically divergent from the others and with low divergence between sexes. Moreover, we also established a general function for the Gentoo penguin, which can be used to identify the sex of penguins from a broad number of localities. Therefore, molecular and biometric are useful techniques for sexing Gentoo penguins.</t>
  </si>
  <si>
    <t>[Valenzuela-Guerra, Paulina; Morales-Moraga, David; Vianna, Juliana A.] Pontificia Univ Catolica Chile, Dept Ecosistemas &amp; Medio Ambiente, Santiago, Chile; [Gonzalez-Acuna, Daniel] Univ Concepcion, Fac Ciencias Vet, Dept Ciencias Pecuarias, Chillan, Chile</t>
  </si>
  <si>
    <t>Pontificia Universidad Catolica de Chile; Universidad de Concepcion</t>
  </si>
  <si>
    <t>Vianna, JA (corresponding author), Pontificia Univ Catolica Chile, Dept Ecosistemas &amp; Medio Ambiente, Vicuna Mackenna 4860, Santiago, Chile.</t>
  </si>
  <si>
    <t>jvianna@uc.cl</t>
  </si>
  <si>
    <t>Vianna, Juliana/E-9847-2015</t>
  </si>
  <si>
    <t>Vianna, Juliana/0000-0003-2330-7825</t>
  </si>
  <si>
    <t>Instituto Antartico Chileno [INACH-G_06-11, INACH-T-27-10, INACH MG_02-12]</t>
  </si>
  <si>
    <t>This work was funded by Instituto Antartico Chileno (INACH-G_06-11; INACH-T-27-10 and INACH MG_02-12). D. Noll and B. Ramos for help in molecular procedures. L. Moreno and J. Hernandez for help in the field. F. Rengifo and N. Sallaberry for comments on the manuscript.</t>
  </si>
  <si>
    <t>10.1007/s00300-013-1389-2</t>
  </si>
  <si>
    <t>WOS:000327393700002</t>
  </si>
  <si>
    <t>Gonçalves, VN; Campos, LS; Melo, IS; Pellizari, VH; Rosa, CA; Rosa, LH</t>
  </si>
  <si>
    <t>Goncalves, Vivian N.; Campos, Lucia S.; Melo, Itamar S.; Pellizari, Vivian H.; Rosa, Carlos A.; Rosa, Luiz H.</t>
  </si>
  <si>
    <t>Penicillium solitum: a mesophilic, psychrotolerant fungus present in marine sediments from Antarctica</t>
  </si>
  <si>
    <t>Antarctica; Fungi; Microorganism; Sediment; Taxonomy</t>
  </si>
  <si>
    <t>DEEP-SEA SEDIMENTS; DIVERSITY; EUKARYOTES; BIODIVERSITY; COMMUNITIES; MICROFUNGI; ECOLOGY; REGION; SOILS</t>
  </si>
  <si>
    <t>Few studies have addressed the diversity of cultivable fungi from marine sediments, especially those from Antarctica. In the present study, we evaluated the presence and distribution of cultivable fungi in marine core sediments obtained from 100, 500, 700 and 1,100 m below the Antarctic Ocean surface. Fifty-two fungal isolates were identified as Penicillium solitum by their physiological and morphological characteristics, and the identity of 12 representative isolates was further confirmed by sequencing of the ITS1-5.8S-ITS2 and beta-tubulin genes. P. solitum displayed high sequence similarity to Penicillium taxa that have been described from other marine habitats. Conidial germination of P. solitum occurred at low temperatures and high salinities. In addition, P. solitum displayed extracellular amylasic and esterasic activities. The isolation of P. solitum from marine sediments in Antarctica and its survival at low temperatures and high salt concentrations suggest that it is adapted to the cold and halophilic environment of the Antarctic oceans. Because P. solitum produces extracellular enzymes, it is an interesting eukaryotic model for the study of structure-function relationships during enzymatic biocatalysis and biotransformation under extreme conditions. Marine sediments from Antarctica may represent a unique source for obtaining extremophilic fungi. New studies using different culture media, temperatures ranges and pressure conditions as well as metagenomic techniques can assist in understanding the extremophilic fungal communities in marine sediments across the Antarctic Ocean.</t>
  </si>
  <si>
    <t>[Goncalves, Vivian N.; Rosa, Carlos A.; Rosa, Luiz H.] Univ Fed Minas Gerais, Inst Ciencias Biol, Dept Microbiol, Lab Sistemat &amp; Biomol Fungos, BR-31270901 Belo Horizonte, MG, Brazil; [Campos, Lucia S.] Univ Fed Rio de Janeiro, Inst Biol, Rio De Janeiro, RJ, Brazil; [Melo, Itamar S.] EMBRAPA Meio Ambiente, Lab Microbiol Ambiental, Sao Paulo, Brazil; [Pellizari, Vivian H.] Univ Sao Paulo, Inst Oceanog, Sao Paulo, Brazil</t>
  </si>
  <si>
    <t>Universidade Federal de Minas Gerais; Universidade Federal do Rio de Janeiro; Empresa Brasileira de Pesquisa Agropecuaria (EMBRAPA); Universidade de Sao Paulo</t>
  </si>
  <si>
    <t>Rosa, LH (corresponding author), Univ Fed Minas Gerais, Inst Ciencias Biol, Dept Microbiol, Lab Sistemat &amp; Biomol Fungos, POB 486, BR-31270901 Belo Horizonte, MG, Brazil.</t>
  </si>
  <si>
    <t>lhrosa@icb.ufmg.br</t>
  </si>
  <si>
    <t>Melo, Itamar S/I-8516-2012; Campos, Lucia/L-9539-2013; Pellizari, Vivian/J-9153-2012</t>
  </si>
  <si>
    <t>Campos, Lucia/0000-0002-3648-7450; Pellizari, Vivian/0000-0003-2757-6352</t>
  </si>
  <si>
    <t>Brazilian Antarctic Program, Marine of Brazil; Fundacao de Amparo a Pesquisa do Estado de Minas Gerais (FAPEMIG); Conselho Nacional de Desenvolvimento Cientifico e Tecnologico (CNPq)</t>
  </si>
  <si>
    <t>Brazilian Antarctic Program, Marine of Brazil; Fundacao de Amparo a Pesquisa do Estado de Minas Gerais (FAPEMIG)(Fundacao de Amparo a Pesquisa do Estado de Minas Gerais (FAPEMIG)); Conselho Nacional de Desenvolvimento Cientifico e Tecnologico (CNPq)(Conselho Nacional de Desenvolvimento Cientifico e Tecnologico (CNPQ))</t>
  </si>
  <si>
    <t>This study had financial and logistic support from the Brazilian Antarctic Program, Marine of Brazil. This work is part of the API activity 403, contributes to Microbiological and Ecological Responses to Global Environmental Changes in Polar Regions, and INCT Criosfera. This work was financially supported by the Fundacao de Amparo a Pesquisa do Estado de Minas Gerais (FAPEMIG) and Conselho Nacional de Desenvolvimento Cientifico e Tecnologico (CNPq). We thank the anonymous reviewers for their comments, which help the quality of the manuscript.</t>
  </si>
  <si>
    <t>10.1007/s00300-013-1403-8</t>
  </si>
  <si>
    <t>WOS:000327393700010</t>
  </si>
  <si>
    <t>Pucciarelli, S; Chiappori, F; Sparvoli, D; Milanesi, L; Miceli, C; Melki, R</t>
  </si>
  <si>
    <t>Pucciarelli, Sandra; Chiappori, Federica; Sparvoli, Daniela; Milanesi, Luciano; Miceli, Cristina; Melki, Ronald</t>
  </si>
  <si>
    <t>Tubulin folding: the special case of a beta-tubulin isotype from the Antarctic psychrophilic ciliate Euplotes focardii</t>
  </si>
  <si>
    <t>Protozoan; Molecular chaperons; Sitedirected mutagenesis; Modeling; Cold adaptation; Tubulin cofactor A</t>
  </si>
  <si>
    <t>CYTOPLASMIC CHAPERONIN; THERMAL-ADAPTATION; PROTEIN; MICROTUBULES; DOCKING; ROLES; TCP-1; MODEL</t>
  </si>
  <si>
    <t>Folding assistance is a fundamental requirement of certain proteins, and it may be subjected to physicochemical constraints in case of organisms adapted to polar temperatures. Limited information is available about protein folding in the polar environment. Folding of tubulin provides one of the few studied cases. Here, we report a pilot folding analysis of a divergent beta-tubulin isotype, named EFBT3, from the Antarctic psychrophilic ciliate Euplotes focardii. To attain its native monomeric structure, beta-tubulin needs the assistance of the eukaryotic class II chaperonin CCT and cofactor A (CofA). The in vitro folding reaction of EFBT3 with CCT and CofA purified from rabbit did not generate any folded product. In contrast, the reaction performed with the rabbit reticulocyte lysate, that contains all the chaperones required for efficient tubulin folding, was productive, suggesting that additional factors besides purified CCT and CofA are required for EFBT3 to attain its monomeric structure. We also demonstrated that the rare Cys281 of EFBT3 is critical for the folding reaction. Model predictions indicate that EFBT3 binds to CofA differently from yeast beta-tubulin, suggesting a diverse folding mechanism that may be correlated with microtubule cold adaptation.</t>
  </si>
  <si>
    <t>[Pucciarelli, Sandra; Sparvoli, Daniela; Miceli, Cristina] Univ Camerino, Sch Biosci &amp; Biotechnol, I-62032 Camerino, MC, Italy; [Chiappori, Federica; Milanesi, Luciano] CNR, Ist Tecnol Biomed, Segrate, MI, Italy; [Melki, Ronald] CNRS, Lab Enzymol &amp; Biochim Struct, F-91198 Gif Sur Yvette, France</t>
  </si>
  <si>
    <t>University of Camerino; Consiglio Nazionale delle Ricerche (CNR); Istituto di Tecnologie Biomediche (ITB-CNR); Centre National de la Recherche Scientifique (CNRS); Universite Paris Saclay</t>
  </si>
  <si>
    <t>Pucciarelli, S (corresponding author), Univ Camerino, Sch Biosci &amp; Biotechnol, Via Gentile 3 Varano 1, I-62032 Camerino, MC, Italy.</t>
  </si>
  <si>
    <t>sandra.pucciarelli@unicam.it</t>
  </si>
  <si>
    <t>Milanesi, Luciano/AAE-7230-2019; Chiappori, Federica/S-5689-2019</t>
  </si>
  <si>
    <t>Milanesi, Luciano/0000-0002-1201-3939; Chiappori, Federica/0000-0001-8099-4348; Pucciarelli, Sandra/0000-0003-4178-2689; Sparvoli, Daniela/0000-0002-5992-3753; Miceli, Cristina/0000-0002-7829-8471</t>
  </si>
  <si>
    <t>Italian Ministero dell'Istruzione, dell'Universita e della Ricerca (MIUR) (PRIN); Italian Programma Nazionale di Ricerche in Antartide (PNRA); PEA; Italian Ministry of Education and Research through the Flagship, InterOmics HIRMA [PB05, RBA-P11YS7 K]; European IMOMICSprojects</t>
  </si>
  <si>
    <t>Italian Ministero dell'Istruzione, dell'Universita e della Ricerca (MIUR) (PRIN)(Ministry of Education, Universities and Research (MIUR)Research Projects of National Relevance (PRIN)); Italian Programma Nazionale di Ricerche in Antartide (PNRA); PEA; Italian Ministry of Education and Research through the Flagship, InterOmics HIRMA; European IMOMICSprojects</t>
  </si>
  <si>
    <t>This research was supported by grants from the Italian Ministero dell'Istruzione, dell'Universita e della Ricerca (MIUR) (PRIN 2008) to CM and from the Italian Programma Nazionale di Ricerche in Antartide (PNRA) to CM, and PEA2009 to SP and DS. FC acknowledges support from the Italian Ministry of Education and Research through the Flagship (PB05) InterOmics HIRMA (RBA-P11YS7 K) and the European IMOMICSprojects.</t>
  </si>
  <si>
    <t>10.1007/s00300-013-1390-9</t>
  </si>
  <si>
    <t>WOS:000327393700011</t>
  </si>
  <si>
    <t>Kokubun, N; Kim, JH; Takahashi, A</t>
  </si>
  <si>
    <t>Kokubun, Nobuo; Kim, Jeong-Hoon; Takahashi, Akinori</t>
  </si>
  <si>
    <t>Proximity of krill and salps in an Antarctic coastal ecosystem: evidence from penguin-mounted cameras</t>
  </si>
  <si>
    <t>Animal-borne camera; Chinstrap penguin; Gentoo penguin; Antarctic krill; Salpa thompsoni; Antarctic Peninsula</t>
  </si>
  <si>
    <t>SOUTHERN-OCEAN; PENINSULA; PREDATORS; THOMPSONI; BEHAVIOR; ISLAND; SEA; ICE</t>
  </si>
  <si>
    <t>Antarctic krill (Euphausia superba) and salps (mainly Salpa thompsoni) are main components of Southern Ocean ecosystem, but little is known about their coastal distribution at a fine scale (&lt; 1 km). We deployed miniaturised cameras on breeding chinstrap (n = 9 birds) and gentoo penguins (n = 9 birds) in the Antarctic Peninsula region and obtained 2,333 krill images, 93 salp images and 609 sea floor images from 1,843 dives. 51.2 % of penguin dives that had salps present in the images occurred near the dives with krill images (within 5 min). The vertical distribution of salp images showed overlap with the upper depth zone of krill images. While 16.3 % of dives with krill images were associated in time with the sea floor, only 1.2 % of dives with salp images did. These results revealed close proximity between krill and salps within the penguin's foraging range in an Antarctic coastal ecosystem. These results also imply that krill patches were common in both pelagic and benthic habitat, whereas salps were common mainly in pelagic habitat. If the effects of deployments are similar between the years or regions, inter-annual or regional comparison using the penguin-mounted camera will be valid for characterising prey environment in the penguin foraging area.</t>
  </si>
  <si>
    <t>[Kokubun, Nobuo; Takahashi, Akinori] Natl Inst Polar Res, Tachikawa, Tokyo 1908515, Japan; [Kokubun, Nobuo] Australian Antarctic Div, Kingston, Tas 7050, Australia; [Kim, Jeong-Hoon] Korea Polar Res Inst, Inchon 406840, South Korea</t>
  </si>
  <si>
    <t>Research Organization of Information &amp; Systems (ROIS); National Institute of Polar Research (NIPR) - Japan; Australian Antarctic Division; Korea Institute of Ocean Science &amp; Technology (KIOST); Korea Polar Research Institute (KOPRI)</t>
  </si>
  <si>
    <t>Kokubun, N (corresponding author), Natl Inst Polar Res, 10-3 Midori Cho, Tachikawa, Tokyo 1908515, Japan.</t>
  </si>
  <si>
    <t>nkokubun@hotmail.co.jp</t>
  </si>
  <si>
    <t>Japan Society for the Promotion of Science (JSPS); programme Bio-logging Science, The University of Tokyo (UT-BLS) [20310016]; Drs N. Miyazaki and K. Sato. A research Grant [PE11030]</t>
  </si>
  <si>
    <t>Japan Society for the Promotion of Science (JSPS)(Ministry of Education, Culture, Sports, Science and Technology, Japan (MEXT)Japan Society for the Promotion of Science); programme Bio-logging Science, The University of Tokyo (UT-BLS); Drs N. Miyazaki and K. Sato. A research Grant</t>
  </si>
  <si>
    <t>We would like to thank Dr S.-H. Kang and all members of the King Sejong Station, Korea Polar Research Institute (KOPRI) for logistic supports in the field. Dr. H.-C. Shin provided the basis for our fieldwork. Drs. I.-Y. Ahn and E. J. Choy helped us to conduct the fieldwork. We are grateful to Dr L. Emmerson, for reviewing the manuscript, providing helpful comments and improving the English. We also thank an anonymous reviewer who kindly provided suggestion for improving the English. This work was supported by the Japan Society for the Promotion of Science (JSPS) Research Fellowship for Young Scientists to N.K., JSPS research Grant 20310016 to A. T. and the programme Bio-logging Science, The University of Tokyo (UT-BLS) led by Drs N. Miyazaki and K. Sato. A research Grant PE11030: Studies on biodiversity and changing ecosystems in King George Island, Antarctica funded by the KOPRI provided support for this work. This study was conducted under permits issued by the Ministry of the Environment, Japan.</t>
  </si>
  <si>
    <t>10.1007/s00300-013-1400-y</t>
  </si>
  <si>
    <t>WOS:000327393700015</t>
  </si>
  <si>
    <t>Kemp, AES; Villareal, TA</t>
  </si>
  <si>
    <t>Kemp, Alan E. S.; Villareal, Tracy A.</t>
  </si>
  <si>
    <t>High diatom production and export in stratified waters - A potential negative feedback to global warming</t>
  </si>
  <si>
    <t>RICHELIA-INTRACELLULARIS SCHMIDT; SUBSURFACE CHLOROPHYLL MAXIMUM; SUMMER PHYTOPLANKTON BLOOMS; SUBTROPICAL NORTH-ATLANTIC; EASTERN MEDITERRANEAN SEA; ANTARCTIC POLAR FRONT; LARGE OCEANIC DIATOMS; LATE-WINTER STORMS; NITROGEN-FIXATION; MESOSCALE EDDIES</t>
  </si>
  <si>
    <t>It is widely held that increased stratification and reduced vertical mixing in the ocean driven by global warming will promote the replacement of diatoms by smaller phytoplankton and lead to an overall decrease in productivity and carbon export. Here we present contrary evidence from a synergy of modern observations and palaeo-records that reveal high diatom production and export from stratified waters. Diatom adaptations to stratified waters include the ability to grow in low light conditions in deep chlorophyll maxima; vertical migrations between nutricline depths and the surface, and symbioses with N-2-fixing cyanobacteria in diatom-diazotroph associations (DDA). These strategies foster the maintenance of seed populations that may then exploit mixing events induced by storms or eddies, but may also inherently promote blooms. Recent oceanographic observations in the subtropical gyres, at increasingly high temporal and spatial resolutions, have monitored short-lived but often substantial blooms and export of stratified-adapted diatoms including rhizosolenids and the diazotroph-associated Hemiaulus hauckii. Aggregate formation by such diatoms is common and promotes rapid settling thereby minimizing water column remineralization and optimizing carbon flux. Convergence zones associated with oceanic fronts or mesoscale features may also generate substantial flux of stratified-adapted diatom species. Conventional oceanographic observing strategies and sampling techniques under-represent such activity due to the lack of adequate capability to sample the large sized diatoms and colonies involved, the subsurface location of many of these blooms, their common development in thin &lt;3 m layers and their episodic nature. Superbly preserved palaeo-sediment trap records in laminated sediments reveal enhanced production and export from stratified waters mediated by the same taxa. The organic carbon-rich Mediterranean sapropels were the result of production within deep chlorophyll maxima in highly stratified waters dominated by rhizosolenid diatoms but also including H. hauckii. In the Cretaceous when CO2 levels were higher than present, laminated sediments reveal dominant flux also including Hemiaulus and rhizosolenid species. Nitrogen isotope and biomarker studies suggest that, analogous to modern DDA blooms within the subtropical gyres, Hemiaulus blooms in the ancient Mediterranean and within the Cretaceous seas were aided by nitrogen-fixing cyanobacterial symbionts. These lines of evidence suggest that diatom production and associated export of organic carbon, may not decrease, as is widely predicted, but may actually increase with greater ocean stratification, and potentially act as a negative feedback to global warming. However, the key genera involved in such potential feedbacks are underrepresented in both laboratory and field studies and are poorly represented in models. Our findings suggest that a reappraisal is necessary of the way diatoms are represented as plankton functional types (PFTs) in ocean biogeochemical models and that new observing and sampling strategies are also required to study these processes. (C) 2013 Elsevier Ltd. All rights reserved.</t>
  </si>
  <si>
    <t>[Kemp, Alan E. S.] Univ Southampton, Natl Oceanog Ctr, Southampton SO14 3ZH, Hants, England; [Villareal, Tracy A.] Univ Texas Austin, Inst Marine Sci, Port Aransas, TX 78373 USA</t>
  </si>
  <si>
    <t>NERC National Oceanography Centre; University of Southampton; University of Texas System; University of Texas Austin</t>
  </si>
  <si>
    <t>Kemp, AES (corresponding author), Univ Southampton, Natl Oceanog Ctr, Southampton SO14 3ZH, Hants, England.</t>
  </si>
  <si>
    <t>aesk@noc.soton.ac.uk</t>
  </si>
  <si>
    <t>Villareal, Tracy A/I-9462-2012; Kemp, Alan/AAU-9882-2021</t>
  </si>
  <si>
    <t>Villareal, Tracy A/0000-0002-5717-8163;</t>
  </si>
  <si>
    <t>Natural Environment Research Council [GST 02 1099]; National Science Foundation [OCE-0099015]</t>
  </si>
  <si>
    <t>Natural Environment Research Council(UK Research &amp; Innovation (UKRI)Natural Environment Research Council (NERC)); National Science Foundation(National Science Foundation (NSF))</t>
  </si>
  <si>
    <t>This study was supported by Grants from the Natural Environment Research Council to A.E.S. Kemp (GST 02 1099) and to T.A. Villareal from the National Science Foundation (OCE-0099015). K. Davis assisted with drafting and A. Davies provided images of the Alpha Ridge cores.</t>
  </si>
  <si>
    <t>10.1016/j.pocean.2013.06.004</t>
  </si>
  <si>
    <t>280HF</t>
  </si>
  <si>
    <t>WOS:000329018600002</t>
  </si>
  <si>
    <t>Camenzuli, D; Gore, DB</t>
  </si>
  <si>
    <t>Camenzuli, Danielle; Gore, Damian B.</t>
  </si>
  <si>
    <t>Immobilization and Encapsulation of Contaminants Using Silica Treatments: A Review</t>
  </si>
  <si>
    <t>REMEDIATION-THE JOURNAL OF ENVIRONMENTAL CLEANUP COSTS TECHNOLOGIES &amp; TECHNIQUES</t>
  </si>
  <si>
    <t>AMORPHOUS SILICA; FIELD ASSESSMENT; LEAD; SOIL; DISSOLUTION; WATER; PRECIPITATION; REMEDIATION; SOLUBILITY; STABILITY</t>
  </si>
  <si>
    <t>The immobilization and encapsulation of contaminants using silica treatments is an emerging technology for the management of contaminated land. This article reviews the potential of silica treatments for the management of metals, hydrocarbons, and acid mine drainage at contaminated sites; and evaluates the effects of environmental conditions on silica treatment performance. The review demonstrates the potential of silica treatments for managing contaminated land; however, a paucity of research offers only a limited understanding of this technology. Further development of the technology will require additional research evaluating its long-term performance under a range of environmental conditions. Field-based experiments and studies investigating potential adverse effects of silica treatments are also necessary to demonstrate the safety, efficacy, and reliability of silica treatments. (C) 2013 Wiley Periodicals, Inc.</t>
  </si>
  <si>
    <t>[Camenzuli, Danielle; Gore, Damian B.] Macquarie Univ, N Ryde, NSW 2109, Australia</t>
  </si>
  <si>
    <t>Macquarie University</t>
  </si>
  <si>
    <t>Camenzuli, D (corresponding author), Macquarie Univ, N Ryde, NSW 2109, Australia.</t>
  </si>
  <si>
    <t>Toase, Danielle/0000-0003-2259-7883; Gore, Damian/0000-0002-0377-8518</t>
  </si>
  <si>
    <t>Australian Antarctic Science [4029]</t>
  </si>
  <si>
    <t>Australian Antarctic Science</t>
  </si>
  <si>
    <t>This research was funded by Australian Antarctic Science Grant No. 4029. The authors wish to thank Chad Sanders and the anonymous reviewers for their feedback on the original manuscript.</t>
  </si>
  <si>
    <t>1051-5658</t>
  </si>
  <si>
    <t>1520-6831</t>
  </si>
  <si>
    <t>REMEDIATION</t>
  </si>
  <si>
    <t>Remediation</t>
  </si>
  <si>
    <t>10.1002/rem.21377</t>
  </si>
  <si>
    <t>Engineering, Environmental</t>
  </si>
  <si>
    <t>V64LW</t>
  </si>
  <si>
    <t>WOS:000211103500005</t>
  </si>
  <si>
    <t>Schwaller, MR; Southwell, CJ; Emmerson, LM</t>
  </si>
  <si>
    <t>Schwaller, Mathew R.; Southwell, Colin J.; Emmerson, Louise M.</t>
  </si>
  <si>
    <t>Continental-scale mapping of Adelie penguin colonies from Landsat imagery</t>
  </si>
  <si>
    <t>REMOTE SENSING OF ENVIRONMENT</t>
  </si>
  <si>
    <t>Adelie penguin; Antarctica; Landsat; ETM; Penguin</t>
  </si>
  <si>
    <t>ENDERBY LAND; POPULATIONS; ANTARCTICA; ABUNDANCE; ISLANDS; CLIMATE; COUNTS</t>
  </si>
  <si>
    <t>Breeding distribution of the Adelie penguin, Pygoscelis adeliae, was surveyed with Landsat-7 Enhanced Thematic Mapper Plus (ETM+) data in an area covering approximately 330 degrees of longitude along the coastline of Antarctica. An algorithm was designed to minimize radiometric noise and to retrieve Adelie penguin colony location and spatial extent from the ETM+ data. In all, 9143 individual pixels were classified as belonging to an Adelie penguin colony class out of the entire dataset of 195 ETM+ scenes, where the dimension of each pixel is 30 m by 30 m, and each scene is approximately 180 km by 180 km. Pixel clustering identified a total of 187 individual Adelie penguin colonies, ranging in size from a single pixel (900 m(2)) to a maximum of 875 pixels (0.788 km(2)). Colony retrievals have a very low error of commission, on the order of 1% or less, and the error of omission was estimated to be similar to 3 to 4% by population based on comparisons with direct observations from surveys across east Antarctica. Thus, the Landsat retrievals successfully located Adelie penguin colonies that accounted for similar to 96 to 97% of the regional population used as ground truth. Geographic coordinates and the spatial extent of each colony retrieved from the Landsat data are available publically. Regional analysis found several areas where the Landsat retrievals suggest populations that are significantly larger than published estimates. Six Adelie penguin colonies were found that are believed to be previously unreported in the literature. Published by Elsevier Inc.</t>
  </si>
  <si>
    <t>[Schwaller, Mathew R.] NASA GSFC, Greenbelt, MD 20771 USA; [Southwell, Colin J.; Emmerson, Louise M.] Australian Antarctic Div, Kingston, Tas 7050, Australia</t>
  </si>
  <si>
    <t>National Aeronautics &amp; Space Administration (NASA); NASA Goddard Space Flight Center; Australian Antarctic Division</t>
  </si>
  <si>
    <t>Schwaller, MR (corresponding author), NASA GSFC, Mail Code 587, Greenbelt, MD 20771 USA.</t>
  </si>
  <si>
    <t>mathew.r.schwaller@nasa.gov; colin.southwell@aad.gov.au; louise.emmerson@aad.gov.au</t>
  </si>
  <si>
    <t>NASA Headquarters</t>
  </si>
  <si>
    <t>NASA Headquarters(National Aeronautics &amp; Space Administration (NASA))</t>
  </si>
  <si>
    <t>The direct survey in east Antarctica was conducted under AAD ASAC project 2722 in accordance with permits issued under the Antarctic Treaty (Environmental Protection) Act 1980 and was approved by the Australian Antarctic Ethics Committee. We thank Mr. Woody Turner of NASA Headquarters for funding the publication of this paper. We also thank three anonymous reviewers for their insightful comments and suggestions, as well as Paul Ensor for sharing his observations of Mt. Biscoe and the Mackellar Islands in the 1980s, and Gary Geller, Heather Lynch, and Phil Trathan for helpful comments on a preliminary version of the manuscript.</t>
  </si>
  <si>
    <t>STE 800, 230 PARK AVE, NEW YORK, NY 10169 USA</t>
  </si>
  <si>
    <t>0034-4257</t>
  </si>
  <si>
    <t>1879-0704</t>
  </si>
  <si>
    <t>REMOTE SENS ENVIRON</t>
  </si>
  <si>
    <t>Remote Sens. Environ.</t>
  </si>
  <si>
    <t>10.1016/j.rse.2013.08.009</t>
  </si>
  <si>
    <t>Environmental Sciences; Remote Sensing; Imaging Science &amp; Photographic Technology</t>
  </si>
  <si>
    <t>Environmental Sciences &amp; Ecology; Remote Sensing; Imaging Science &amp; Photographic Technology</t>
  </si>
  <si>
    <t>285TK</t>
  </si>
  <si>
    <t>WOS:000329417700029</t>
  </si>
  <si>
    <t>Griffiths, SP; Olson, RJ; Watters, GM</t>
  </si>
  <si>
    <t>Griffiths, Shane P.; Olson, Robert J.; Watters, George M.</t>
  </si>
  <si>
    <t>Complex wasp-waist regulation of pelagic ecosystems in the Pacific Ocean</t>
  </si>
  <si>
    <t>REVIEWS IN FISH BIOLOGY AND FISHERIES</t>
  </si>
  <si>
    <t>Ecopath; Ecosim; Ecosystem modelling; Top-down; Bottom-up; Wasp-waist</t>
  </si>
  <si>
    <t>SOUTHERN BENGUELA; BOTTOM-UP; TOP-DOWN; MARINE ECOSYSTEMS; TROPHIC CASCADES; YELLOWFIN TUNA; FISHERIES; DYNAMICS; ZOOPLANKTON; ABUNDANCE</t>
  </si>
  <si>
    <t>'Wasp-waist' control of marine ecosystems is driven by a combination of top-down and bottom-up forcing by a few abundant short-lived species occupying intermediate trophic levels that form a narrow 'waist' through which energy flow from low to high trophic levels is controlled. It has been assumed that wasp-waist control occurs primarily in highly productive and species-poor systems (e.g. upwelling regions). Two large, species-rich, pelagic ecosystems in the relatively oligotrophic eastern and western Pacific Ocean also show wasp-waist-like structure, in that short-lived and fast-growing cephalopods and fishes at intermediate trophic levels comprise the vast majority of the biomass. Possible forcing dynamics of these systems were examined using ecosystem models by altering the biomass of phytoplankton (bottom-up forcing), large pelagic predators (top-down forcing), and intermediate 'wasp-waist' functional groups independently and observing how these changes propagated throughout the ecosystem. The largest effects were seen when altering the biomass of mid trophic-level epipelagic and mesopelagic fishes, where dramatic trophic cascades occurred both upward and downward in the system. We conclude that the high productivity and standing biomass of animals at intermediate trophic levels has a strong top-down influence on the abundance of primary producers. Furthermore, their importance as prey for large predators results in bottom-up controls on populations at higher trophic levels. We show that these tropical pelagic ecosystems possess a complex structure whereby several waist groups and alternate trophic pathways from primary producers to apex predators can cause unpredictable effects when the biomasses of particular functional groups are altered. Such models highlight the possible structuring mechanisms in pelagic systems, which have implications for fisheries that exploit these wasp-waist groups, such as squid fisheries, as well as for fisheries of top predators such as tunas and billfishes that prey upon wasp-waist species.</t>
  </si>
  <si>
    <t>[Griffiths, Shane P.] CSIRO Div Marine &amp; Atmospher Res, GPO, Brisbane, Qld 4001, Australia; [Olson, Robert J.] Interamer Trop Tuna Commiss, La Jolla, CA 92037 USA; [Watters, George M.] Natl Marine Fisheries Serv, Antarctic Ecosyst Res Div, SW Fisheries Sci Ctr, La Jolla, CA 92037 USA</t>
  </si>
  <si>
    <t>Commonwealth Scientific &amp; Industrial Research Organisation (CSIRO); National Oceanic Atmospheric Admin (NOAA) - USA</t>
  </si>
  <si>
    <t>Griffiths, SP (corresponding author), CSIRO Div Marine &amp; Atmospher Res, GPO, Box 2583, Brisbane, Qld 4001, Australia.</t>
  </si>
  <si>
    <t>shane.griffiths@csiro.au</t>
  </si>
  <si>
    <t>Griffiths, Shane P/A-4893-2008; Watters, George/HPE-2184-2023</t>
  </si>
  <si>
    <t>Watters, George/0000-0002-6989-1273</t>
  </si>
  <si>
    <t>CSIRO [2004/063]; Fisheries Research Development Corporation; Inter-American Tropical Tuna Commission</t>
  </si>
  <si>
    <t>CSIRO(Commonwealth Scientific &amp; Industrial Research Organisation (CSIRO)); Fisheries Research Development Corporation; Inter-American Tropical Tuna Commission</t>
  </si>
  <si>
    <t>The Eastern Tuna and Billfish Fishery ecosystem model was developed in FRDC project 2004/063 Determining the ecological effects of longlining in the Eastern Tuna and Billfish Fishery funded by the CSIRO and the Fisheries Research Development Corporation. The production of this paper was funded through a CSIRO Julius Career Award to S. P. Griffiths with support from the Inter-American Tropical Tuna Commission.</t>
  </si>
  <si>
    <t>0960-3166</t>
  </si>
  <si>
    <t>1573-5184</t>
  </si>
  <si>
    <t>REV FISH BIOL FISHER</t>
  </si>
  <si>
    <t>Rev. Fish. Biol. Fish.</t>
  </si>
  <si>
    <t>10.1007/s11160-012-9301-7</t>
  </si>
  <si>
    <t>253NG</t>
  </si>
  <si>
    <t>WOS:000327094000003</t>
  </si>
  <si>
    <t>Agrawal, S; Leach, EL; Leese, F; Held, C</t>
  </si>
  <si>
    <t>Agrawal, Shobhit; Leach, Emma L.; Leese, Florian; Held, Christoph</t>
  </si>
  <si>
    <t>Isolation and characterization of 10 polymorphic loci for the giant Antarctic isopod, Glyptonotus antarcticus</t>
  </si>
  <si>
    <t>CONSERVATION GENETICS RESOURCES</t>
  </si>
  <si>
    <t>Antarctic; Isopod; Gene flow; Connectivity</t>
  </si>
  <si>
    <t>SOFTWARE</t>
  </si>
  <si>
    <t>Understanding patterns of contemporary population genetic structure and diversity is critically important for cold-adapted Southern Ocean benthic species along the Scotia Arc to distinguish between natural and anthropogenically-mediated range expansions and detect population declines due to the rapid climate change. We report the isolation and characterization of 10 polymorphic microsatellite loci for the Antarctic endemic giant isopod Glyptonotus antarcticus from the Eastern Scotia Arc (n = 30). The number of alleles per locus ranged from 3 to 11 with no evidence of significant linkage disequilibrium between loci. These markers will prove useful in studying the fine-scale processes, which have shaped the spatial distribution of variation, and hypothesis-testing in the Scotia Arc region of Antarctica.</t>
  </si>
  <si>
    <t>[Agrawal, Shobhit; Leach, Emma L.; Held, Christoph] Alfred Wegener Inst Polar &amp; Marine Res, D-27568 Bremerhaven, Germany; [Leese, Florian] Ruhr Univ Bochum, Dept Anim Ecol Evolut &amp; Biodivers, D-44801 Bochum, Germany</t>
  </si>
  <si>
    <t>Helmholtz Association; Alfred Wegener Institute, Helmholtz Centre for Polar &amp; Marine Research; Ruhr University Bochum</t>
  </si>
  <si>
    <t>Agrawal, S (corresponding author), Alfred Wegener Inst Polar &amp; Marine Res, Alten Hafen 26, D-27568 Bremerhaven, Germany.</t>
  </si>
  <si>
    <t>sagrawal@awi.de</t>
  </si>
  <si>
    <t>Leese, Florian/D-4277-2012</t>
  </si>
  <si>
    <t>Leese, Florian/0000-0002-5465-913X</t>
  </si>
  <si>
    <t>German Research Foundation (DFG) [HE 3391/5-1]; RISE scholarship through German Academic Exchange Service (DAAD)</t>
  </si>
  <si>
    <t>German Research Foundation (DFG)(German Research Foundation (DFG)); RISE scholarship through German Academic Exchange Service (DAAD)</t>
  </si>
  <si>
    <t>We thank Andrea Eschbach for technical assistance. This research was funded by the German Research Foundation (DFG) grant HE 3391/5-1. Emma L. Leach was funded was by a RISE scholarship through German Academic Exchange Service (DAAD).</t>
  </si>
  <si>
    <t>1877-7252</t>
  </si>
  <si>
    <t>1877-7260</t>
  </si>
  <si>
    <t>CONSERV GENET RESOUR</t>
  </si>
  <si>
    <t>Conserv. Genet. Resour.</t>
  </si>
  <si>
    <t>10.1007/s12686-013-9944-2</t>
  </si>
  <si>
    <t>Biodiversity Conservation; Genetics &amp; Heredity</t>
  </si>
  <si>
    <t>Biodiversity &amp; Conservation; Genetics &amp; Heredity</t>
  </si>
  <si>
    <t>244KS</t>
  </si>
  <si>
    <t>WOS:000326387800017</t>
  </si>
  <si>
    <t>Zagal, CJ; Underwood, AJ; Chapman, MG</t>
  </si>
  <si>
    <t>Zagal, C. J.; Underwood, A. J.; Chapman, M. G.</t>
  </si>
  <si>
    <t>Distribution of hydroids along fronds of the kelp Ecklonia radiata</t>
  </si>
  <si>
    <t>Algal epifauna; Ecklonia radiata; Hydroids; Kelp; Subtidal; Zonation</t>
  </si>
  <si>
    <t>FUCUS-SERRATUS L; SUBSTRATUM HETEROGENEITY; COMMUNITY ORGANIZATION; STRUCTURAL COMPLEXITY; SECONDARY METABOLITES; CONSUMER PRESSURE; STRANGFORD LOUGH; TUBULARIA LARYNX; GROWTH-PATTERNS; WAVE EXPOSURE</t>
  </si>
  <si>
    <t>Abundances of organisms generally increase with structural heterogeneity and complexity of habitat. Patterns of distribution of hydroids on the kelp Ecklonia radiata were studied in Australia to examine the generality of this pattern. It was predicted that the cover of hydroids on E. radiata would be greater in the most heterogeneous (e.g., peripheral, crinkled blades) and complex (e.g., middle and bushy) parts of the alga. When different zones were independently compared along laminae of E. radiata, two clear patterns were found. Covers of hydroids in basal, middle and distal zones were greater in the periphery than in the centre of kelp. Second, covers in the periphery and in the centre of kelp were greater in middle than in distal zones and greater in distal than in basal zones. Both patterns conform to those predicted. At a finer spatial resolution, hydroids were significantly more abundant in troughs than on ridges of the peripheral blades of E. radiata. The primary substrata on which kelp was growing (pier-pilings or shark-nets) did not affect the distribution of hydroids. Biological and abiotic factors associated with the kelp itself most probably influence the distribution of hydroids along fronds, but manipulative experiments are needed to establish what models explain these patterns.</t>
  </si>
  <si>
    <t>[Zagal, C. J.; Underwood, A. J.; Chapman, M. G.] Univ Sydney, Ctr Res Ecol Impacts Coastal Cities, Marine Ecol Labs A11, Sydney, NSW 2006, Australia</t>
  </si>
  <si>
    <t>Zagal, CJ (corresponding author), Univ Tasmania, Inst Marine &amp; Antarctic Studies, Hobart, Tas 7001, Australia.</t>
  </si>
  <si>
    <t>cjzagal@utas.edu.au</t>
  </si>
  <si>
    <t>Chapman, Maura G/B-2287-2008</t>
  </si>
  <si>
    <t>International Postgraduate Research Scholarship; Australian Research Council's Special Research Centres Program</t>
  </si>
  <si>
    <t>International Postgraduate Research Scholarship(Australian Government); Australian Research Council's Special Research Centres Program(Australian Research Council)</t>
  </si>
  <si>
    <t>This work was supported by funds from an International Postgraduate Research Scholarship to C. J. Zagal. A. J. Underwood and M. G. Chapman were supported by grants from the Australian Research Council's Special Research Centres Program. We thank B. Clynick, V. J. Cole, S. Gartenstein, E. M. Marzinelli, M. Mayer-Pinto, A. F. Smoothey, for assistance in the field. A. C. Jackson, anonymous referees and L. M. Bini are thanked for their useful comments.</t>
  </si>
  <si>
    <t>10.1007/s10750-013-1627-1</t>
  </si>
  <si>
    <t>242MO</t>
  </si>
  <si>
    <t>WOS:000326246600006</t>
  </si>
  <si>
    <t>Goodrich, CA; Sutton, SR; Wirick, S; Jercinovic, MJ</t>
  </si>
  <si>
    <t>Goodrich, C. A.; Sutton, S. R.; Wirick, S.; Jercinovic, M. J.</t>
  </si>
  <si>
    <t>Chromium valences in ureilite olivine and implications for ureilite petrogenesis</t>
  </si>
  <si>
    <t>PRESSURE-TEMPERATURE RELATIONSHIPS; X-RAY-ABSORPTION; PARENT BODY; ANTARCTIC UREILITES; ALMAHATA SITTA; OXYGEN-ISOTOPE; TRACE-ELEMENT; UPPER-MANTLE; ORIGIN; MINERALOGY</t>
  </si>
  <si>
    <t>Ureilites are a group of ultramafic achondrites commonly thought to be residues of partial melting on a carbon-rich asteroid. They show a large variation in FeO content (olivine Fo values ranging from similar to 74 to 95) that cannot be due to igneous fractionation and suggests instead variation in oxidation state. The presence of chromite in only a few of the most ferroan (Fo 75-76) samples appears to support such a model. MicroXANES analyses were used in this study to determine the valence states of Cr (previously unknown) in olivine cores of 11 main group ureilites. The goal of this work was to use a method that is independent of Fo to determine the oxidation conditions under which ureilites formed, in order to evaluate whether the ureilite FeO-variation is correlated with oxidation state, and whether it is nebular or planetary in origin. Two of the analyzed samples, LEW 88774 (Fo 74.2) and NWA 766 (Fo 76.7) contain primary chromite; two others, LAP 03587 (Fo 74.4) and CMS 04048 (Fo 76.2) contain sub-micrometer-sized exsolutions of chromite + Ca-rich pyroxene in olivine; and one, EET 96328 (Fo 85.2) contains an unusual chromite grain of uncertain origin. No chromite has been observed in the remaining six samples (Fo 77.4-92.3). Chromium in olivine in all eleven samples was found to be dominated by the divalent species, with valences ranging from 2.10 +/- 0.02 (1r) to 2.46 +/- 0.04. The non-chromite-bearing ureilites have the most reduced Cr, with a weighted mean valence of 2.12 +/- 0.01, i. e., Cr2+/Cr3+ = 7.33. All low-Fo chromite-bearing ureilites have more oxidized Cr, with valences ranging from 2.22 +/- 0.03 to 2.46 +/- 0.04. EET 96328, whose chromite grain we interpret as a late-crystallizing phase, yielded a reduced Cr valence of 2.15 +/- 0.07, similar to the non-chromite-bearing samples. Based on the measured Cr valences, magmatic (1200-1300 +/- C) oxygen fugacities (fO(2)) of the non-chromite-bearing samples were estimated to be in the range IW +/- 1.9 to IW +/- 2.8 (assuming basaltic melt composition), consistent with fO(2) values obtained by assuming olivine-silica-iron metal (OSI) equilibrium. For the primary chromite-bearing-ureilites, the corresponding fO(2) were estimated (again, assuming basaltic melt composition) to be +/- IW to IW+ 1.0, i.e., several orders of magnitude more oxidizing than the conditions estimated for the chromite-free ureilites. In terms of Fo and Cr valence properties, ureilites appear to form two groups rather than a single Cr-valence (or fO(2)) vs. Fotrend. The chromite-bearing ureilites show little variation in Fo (+/- 74-76) but significant variation in Cr valence, while the non-chromite-bearing ureilites show significant variation in Fo (+/- 77-95) and little variation in Cr valence. These groups are unrelated to petrologic type (i.e., olivine-pigeonite, olivineorthopyroxene, or augite-bearing). The chromite-bearing ureilites also have lower contents of Cr in olivine than most non-chromite-bearing ureilites, consistent with predictions based on Cr olivine/melt partitioning in spinel saturated vs. non-spinel-saturated systems. Under the assumption that at magmatic temperatures graphite-gas equilibria controlled fO2 at all depths on the ureilite parent body, we conclude: (1) that ureilite precursor materials having the Fo and Cr valence properties now observed in ureilites are unlikely to have been preserved during planetary processing; and (2) that the Fo and Cr valence properties now observed in ureilites are consistent with having been established by high-temperature carbon redox control over a range of depths on a plausible-sized ureilite parent body. The apparent limit on ureilite Fo values around 74-76 suggests that the precursor material(s) had bulk mg#P that of LL chondrites. (C) 2013 Elsevier Ltd. All rights reserved.</t>
  </si>
  <si>
    <t>[Goodrich, C. A.] Planetary Sci Inst, Tucson, AZ 85719 USA; [Goodrich, C. A.; Jercinovic, M. J.] Univ Massachusetts, Dept Geosci, Amherst, MA 01003 USA; [Sutton, S. R.] Univ Chicago, Dept Geophys Sci, Chicago, IL 60637 USA; [Sutton, S. R.; Wirick, S.] Univ Chicago, Ctr Adv Radiat Source, Chicago, IL 60637 USA</t>
  </si>
  <si>
    <t>University of Massachusetts System; University of Massachusetts Amherst; University of Chicago; University of Chicago</t>
  </si>
  <si>
    <t>Sutton, SR (corresponding author), Univ Chicago, Ctr Adv Radiat Source, Chicago, IL 60637 USA.</t>
  </si>
  <si>
    <t>sutton@cars.uchicago.edu</t>
  </si>
  <si>
    <t>Jercinovic, Michael/0000-0001-5917-9509</t>
  </si>
  <si>
    <t>NASA [NNX11AG55G, NNX12AH74G]; Department of Energy (DOE) - Geosciences [DE-FG02-92ER14244]; DOE [DE-AC02-98CH10886]; NASA [NNX12AH74G, 145876, NNX11AG55G, 19756] Funding Source: Federal RePORTER</t>
  </si>
  <si>
    <t>NASA(National Aeronautics &amp; Space Administration (NASA)); Department of Energy (DOE) - Geosciences(United States Department of Energy (DOE)); DOE(United States Department of Energy (DOE)); NASA(National Aeronautics &amp; Space Administration (NASA))</t>
  </si>
  <si>
    <t>This work was supported by NASA grants NNX11AG55G and NNX12AH74G to C. A. Goodrich. Portions of this work were performed at Beamline X26A, National Synchrotron Light Source (NSLS), Brookhaven National Laboratory. X26A is supported by the Department of Energy (DOE) - Geosciences (DE-FG02-92ER14244 to the University of Chicago - CARS). Use of the NSLS was supported by DOE under Contract No. DE-AC02-98CH10886. We thank Alex Ribbe and Lou Raboin for assistance with SEM in the Keck Center, at the University of Massachusetts. We thank Paul Warren, the Antarctic Meteorite Working Group, and the National Institute of Polar Research for providing samples. We thank B. Hanson, J. Jones and G. Rossman for making the experimental standards available. We thank Paul Warren, Gretchen Benedix, Justin Filiberto, Jim Van Orman and Lionel Wilson for helpful discussions. We thank reviewers Paul Warren, Kevin Righter, Michael Weisberg and Anonymous for their helpful comments on this manuscript, and the Associate Editor Hiroko Nagahara for helpful and professional handling of this paper.</t>
  </si>
  <si>
    <t>10.1016/j.gca.2013.08.003</t>
  </si>
  <si>
    <t>WOS:000326269800017</t>
  </si>
  <si>
    <t>Kosina, M; Barták, M; Maslanová, I; Pascutti, AV; Sedo, O; Lexa, M; Sedlácek, I</t>
  </si>
  <si>
    <t>Kosina, Marcel; Bartak, Milos; Maslanova, Ivana; Pascutti, Andrea Vavrova; Sedo, Ondrej; Lexa, Matej; Sedlacek, Ivo</t>
  </si>
  <si>
    <t>Pseudomonas prosekii sp nov., a Novel Psychrotrophic Bacterium from Antarctica</t>
  </si>
  <si>
    <t>CURRENT MICROBIOLOGY</t>
  </si>
  <si>
    <t>Antarctic; Pseudomonas; Taxonomy; rpoB; rrs; rpoD</t>
  </si>
  <si>
    <t>JAMES-ROSS-ISLAND; PSYCHROTOLERANT BACTERIUM; DNA HYBRIDIZATION; RAPID METHOD; IDENTIFICATION</t>
  </si>
  <si>
    <t>During Czech expeditions at James Ross Island, Antarctica, in the years 2007-2009, the bacterial diversity of the genus Pseudomonas was studied. Twelve fluorescent Pseudomonas strains were isolated from various samples and were subjected to a detailed taxonomic study. A polyphasic approach included genotypic and phenotypic analyses. The genotypic analysis involved sequencing of rrs, rpoB and rpoD genes, DNA-DNA hybridization (DDH) studies as well as manual ribotyping using HindIII endonuclease. The phenotypic characterization included conventional tests as well as biotyping using the Biolog system, protein profiling by SDS-PAGE, and MALDI-TOF MS analysis. Our taxonomic study revealed that all isolates belonged to the same Pseudomonas species with psychrotrophic growth not exceeding 37 A degrees C. The cultures showed a unique position among the phylogenetically related pseudomonads. DDH experiment between the proposed type strain of the antarctic isolates and the closest neighbour P. arsenicoxydans CCM 8423(T) showed only 40.9-50.1 % similarity, thus confirming that the characterized strains do not belong to the P. arsenicoxydans species. According to the results obtained we propose the name P. prosekii sp. nov. for this novel Pseudomonas taxon with type strain AN/28/1(T) (=CCM 7990(T) and LMG 26867(T)).</t>
  </si>
  <si>
    <t>[Kosina, Marcel; Sedlacek, Ivo] Masaryk Univ, Czech Collect Microorganisms, Brno, Czech Republic; [Bartak, Milos] Masaryk Univ, Dept Expt Biol, Sect Plant Physiol, Extreme Enviroments Lab, Brno, Czech Republic; [Maslanova, Ivana; Pascutti, Andrea Vavrova] Masaryk Univ, Sect Microbiol &amp; Mol Biotechnol, Dept Expt Biol, Fac Sci, Brno, Czech Republic; [Sedo, Ondrej] Masaryk Univ, Cent European Inst Technol CEITEC, Core Facil Prote, Brno, Czech Republic; [Lexa, Matej] Masaryk Univ, Fac Informat, Dept Informat Technol, Brno, Czech Republic</t>
  </si>
  <si>
    <t>Masaryk University Brno; Masaryk University Brno; Masaryk University Brno; Masaryk University Brno; Masaryk University Brno</t>
  </si>
  <si>
    <t>Kosina, M (corresponding author), Masaryk Univ, Czech Collect Microorganisms, Brno, Czech Republic.</t>
  </si>
  <si>
    <t>marekos@seznam.cz</t>
  </si>
  <si>
    <t>Barták, Miloš/F-4714-2019; Maslanova, Ivana/A-3081-2014; Lexa, Matej/A-1772-2011; Sedlacek, Ivo/IWU-8828-2023; Lexa, Matej/S-7256-2019; Šedo, Ondrej/D-9868-2012</t>
  </si>
  <si>
    <t>Maslanova, Ivana/0000-0002-2597-2848; Lexa, Matej/0000-0002-4213-5259;</t>
  </si>
  <si>
    <t>Ministry of Education, Youth and Sports of the Czech Republic [MSM0021622416, LM2010009]; CEITEC (Central European Institute of Technology) [CZ.1.05/1.1.00/02.0068]; European Regional Development Fund</t>
  </si>
  <si>
    <t>Ministry of Education, Youth and Sports of the Czech Republic(Ministry of Education, Youth &amp; Sports - Czech Republic); CEITEC (Central European Institute of Technology); European Regional Development Fund(European Union (EU))</t>
  </si>
  <si>
    <t>This work was supported by grants from the Ministry of Education, Youth and Sports of the Czech Republic (MSM0021622416 and LM2010009) and by CEITEC (Central European Institute of Technology) (CZ.1.05/1.1.00/02.0068 funded from the European Regional Development Fund). We also acknowledge DSMZ for revisions of the novel taxon description.</t>
  </si>
  <si>
    <t>0343-8651</t>
  </si>
  <si>
    <t>1432-0991</t>
  </si>
  <si>
    <t>CURR MICROBIOL</t>
  </si>
  <si>
    <t>Curr. Microbiol.</t>
  </si>
  <si>
    <t>10.1007/s00284-013-0406-6</t>
  </si>
  <si>
    <t>236QF</t>
  </si>
  <si>
    <t>WOS:000325813400001</t>
  </si>
  <si>
    <t>Yasuda, K; Oto, Y; Shen, RK; Uchida, T; Ohmura, R</t>
  </si>
  <si>
    <t>Yasuda, Keita; Oto, Yuya; Shen, Renkai; Uchida, Tsutomu; Ohmura, Ryo</t>
  </si>
  <si>
    <t>Phase equilibrium condition measurements in nitrogen and air clathrate hydrate forming systems at temperatures below freezing point of water</t>
  </si>
  <si>
    <t>JOURNAL OF CHEMICAL THERMODYNAMICS</t>
  </si>
  <si>
    <t>Clathrate hydrate; Air hydrate; Nitrogen; Ice sheet; Phase equilibrium</t>
  </si>
  <si>
    <t>CARBON-DIOXIDE; ICE-CORE; ANTARCTIC ICE; METHANE; ETHANE; PROPANE; OXYGEN</t>
  </si>
  <si>
    <t>Contained in this paper are the three phase equilibrium conditions of the (ice + clathrate hydrate + guest-rich) vapour in the (nitrogen + water) and the modelled (air + water) systems at temperatures below the freezing point of water. The precise determination of the equilibrium conditions in those systems are of importance for the analysis of the past climate change using the cored samples from the ice sheets at Antarctica and Greenland because the air hydrates keep the ancient climate signals. The mole ratio of the modelled air composed of nitrogen and oxygen is 0.790:0.210. The equilibrium conditions were measured by the batch, isochoric procedure. The temperature range of the measurements in the nitrogen hydrate forming system is (244.05 &lt; T &lt; 266.55) K and the corresponding equilibrium pressure range is (7.151 &lt; p &lt; 12.613) MPa. The temperature range of the measurements in the modelled air hydrate forming system is (242.55 &lt; T &lt; 267.85) K, and the corresponding equilibrium pressure range is (6.294 &lt; p &lt; 12.144) MPa. The data obtained quantitatively compared with the previously reported data. (c) 2013 Elsevier Ltd. All rights reserved.</t>
  </si>
  <si>
    <t>[Yasuda, Keita; Oto, Yuya; Shen, Renkai; Ohmura, Ryo] Keio Univ, Dept Mech Engn, Kohoku Ku, Yokohama, Kanagawa 2238522, Japan; [Uchida, Tsutomu] Hokkaido Univ, Grad Sch Engn, Div Appl Phys, Kita Ku, Sapporo, Hokkaido 0608628, Japan</t>
  </si>
  <si>
    <t>Keio University; Hokkaido University</t>
  </si>
  <si>
    <t>Yasuda, K (corresponding author), Keio Univ, Dept Mech Engn, Kohoku Ku, 3-14-1 Hiyoshi, Yokohama, Kanagawa 2238522, Japan.</t>
  </si>
  <si>
    <t>mech@z7.keio.jp</t>
  </si>
  <si>
    <t>Yasuda, Keita/R-9252-2019; Ohmura, Ryo/D-6035-2014</t>
  </si>
  <si>
    <t>Yasuda, Keita/0000-0002-6859-4445;</t>
  </si>
  <si>
    <t>Keio University Global Centre of Excellence Program Centre for Education and Research of Symbiotic, Safe and Secure System Design''; Japan Society for the Promotion of Science (JSPS) [22-3623]</t>
  </si>
  <si>
    <t>Keio University Global Centre of Excellence Program Centre for Education and Research of Symbiotic, Safe and Secure System Design''; Japan Society for the Promotion of Science (JSPS)(Ministry of Education, Culture, Sports, Science and Technology, Japan (MEXT)Japan Society for the Promotion of Science)</t>
  </si>
  <si>
    <t>This study was subsidized in part by the Keio University Global Centre of Excellence Program Centre for Education and Research of Symbiotic, Safe and Secure System Design''. K.Y. thanks for the support provided by the Japan Society for the Promotion of Science (JSPS) through the Program Grant-in-Aid for JSPS Fellows of the Ministry of Education, Culture, Sports, Science, and Technology (MEXT)'' (Grant No. 22-3623).</t>
  </si>
  <si>
    <t>0021-9614</t>
  </si>
  <si>
    <t>J CHEM THERMODYN</t>
  </si>
  <si>
    <t>J. Chem. Thermodyn.</t>
  </si>
  <si>
    <t>10.1016/j.jct.2013.07.023</t>
  </si>
  <si>
    <t>Thermodynamics; Chemistry, Physical</t>
  </si>
  <si>
    <t>Thermodynamics; Chemistry</t>
  </si>
  <si>
    <t>227SE</t>
  </si>
  <si>
    <t>WOS:000325133600019</t>
  </si>
  <si>
    <t>Sergienko, OV; Hindmarsh, RCA</t>
  </si>
  <si>
    <t>Sergienko, Olga V.; Hindmarsh, Richard C. A.</t>
  </si>
  <si>
    <t>Regular Patterns in Frictional Resistance of Ice-Stream Beds Seen by Surface Data Inversion</t>
  </si>
  <si>
    <t>SCIENCE</t>
  </si>
  <si>
    <t>FLOW; SEDIMENT; TILL</t>
  </si>
  <si>
    <t>Fast-flowing glaciers and ice streams are pathways for ice discharge from the interior of the Antarctic Ice Sheet to ice shelves, at rates controlled by conditions at the ice-bed interface. Using recently compiled high-resolution data sets and a standard inverse method, we computed basal shear stress distributions beneath Pine Island and Thwaites Glaciers, which are currently losing mass at an accelerating rate. The inversions reveal the presence of riblike patterns of very high basal shear stress embedded within much larger areas with zero basal shear stress. Their colocation with highs in the gradient of hydraulic potential suggests that subglacial water may control the evolution of these high-shear-stress ribs, potentially causing migration of the grounding line by changes in basal resistance in its vicinity.</t>
  </si>
  <si>
    <t>[Sergienko, Olga V.] Princeton Univ, Program Atmospher &amp; Ocean Sci, Princeton, NJ 08540 USA; [Hindmarsh, Richard C. A.] British Antarctic Survey, Cambridge CB3 0ET, England</t>
  </si>
  <si>
    <t>Princeton University; National Oceanic Atmospheric Admin (NOAA) - USA; UK Research &amp; Innovation (UKRI); Natural Environment Research Council (NERC); NERC British Antarctic Survey</t>
  </si>
  <si>
    <t>Sergienko, OV (corresponding author), Princeton Univ, Program Atmospher &amp; Ocean Sci, 201 Forrestal Road, Princeton, NJ 08540 USA.</t>
  </si>
  <si>
    <t>osergien@princeton.edu</t>
  </si>
  <si>
    <t>Sergienko, Olga/HII-8500-2022; Hindmarsh, Richard/N-1195-2019</t>
  </si>
  <si>
    <t>Sergienko, Olga/0000-0002-5764-8815; Hindmarsh, Richard/0000-0003-1633-2416</t>
  </si>
  <si>
    <t>NSF [CMG-0934534]; British Antarctic Survey Polar Science for Planet Earth program; NERC [bas0100027, NE/J008087/1, NE/J008095/1] Funding Source: UKRI; Natural Environment Research Council [NE/J008095/1, bas0100027, NE/J008087/1] Funding Source: researchfish; Directorate For Geosciences; Office of Polar Programs (OPP) [0934534] Funding Source: National Science Foundation</t>
  </si>
  <si>
    <t>NSF(National Science Foundation (NSF)); British Antarctic Survey Polar Science for Planet Earth program; NERC(UK Research &amp; Innovation (UKRI)Natural Environment Research Council (NERC)); Natural Environment Research Council(UK Research &amp; Innovation (UKRI)Natural Environment Research Council (NERC)); Directorate For Geosciences; Office of Polar Programs (OPP)(National Science Foundation (NSF)NSF - Directorate for Geosciences (GEO))</t>
  </si>
  <si>
    <t>This research is supported by NSF grant CMG-0934534 and the British Antarctic Survey Polar Science for Planet Earth program. We thank anonymous referees for their valuable comments and suggestions.</t>
  </si>
  <si>
    <t>AMER ASSOC ADVANCEMENT SCIENCE</t>
  </si>
  <si>
    <t>1200 NEW YORK AVE, NW, WASHINGTON, DC 20005 USA</t>
  </si>
  <si>
    <t>0036-8075</t>
  </si>
  <si>
    <t>1095-9203</t>
  </si>
  <si>
    <t>Science</t>
  </si>
  <si>
    <t>NOV 29</t>
  </si>
  <si>
    <t>10.1126/science.1243903</t>
  </si>
  <si>
    <t>259HS</t>
  </si>
  <si>
    <t>WOS:000327518600055</t>
  </si>
  <si>
    <t>Banwell, AF; MacAyeal, DR; Sergienko, OV</t>
  </si>
  <si>
    <t>Banwell, Alison F.; MacAyeal, Douglas R.; Sergienko, Olga V.</t>
  </si>
  <si>
    <t>Breakup of the Larsen B Ice Shelf triggered by chain reaction drainage of supraglacial lakes</t>
  </si>
  <si>
    <t>ice shelves; surface lakes; surface hydrology; melting</t>
  </si>
  <si>
    <t>ANTARCTIC PENINSULA; COLLAPSE</t>
  </si>
  <si>
    <t>The explosive disintegration of the Larsen B Ice Shelf poses two unresolved questions: What process (1) set a horizontal fracture spacing sufficiently small to predispose the subsequent ice shelf fragments to capsize and (2) synchronized the widespread drainage of &gt;2750 supraglacial meltwater lakes observed in the days prior to break up? We answer both questions through analysis of the ice shelf's elastic flexure response to the supraglacial lakes on the ice shelf prior to break up. By expanding the previously articulated role of lakes beyond mere water reservoirs supporting hydrofracture, we show that lake-induced flexural stresses produce a fracture network with appropriate horizontal spacing to induce capsize-driven breakup. The analysis of flexural stresses suggests that drainage of a single lake can cause neighboring lakes to drain, which, in turn, causes farther removed lakes to drain. Such self-stimulating behavior can account for the sudden, widespread appearance of a fracture system capable of driving explosive break up.</t>
  </si>
  <si>
    <t>[Banwell, Alison F.; MacAyeal, Douglas R.] Univ Chicago, Dept Geophys Sci, Chicago, IL 60637 USA; [Banwell, Alison F.] Univ Cambridge, Scott Polar Res Inst, Cambridge CB2 1ER, England; [Sergienko, Olga V.] Princeton Univ, Atmospher &amp; Ocean Sci Program, Princeton, NJ 08544 USA</t>
  </si>
  <si>
    <t>University of Chicago; University of Cambridge; Princeton University; National Oceanic Atmospheric Admin (NOAA) - USA</t>
  </si>
  <si>
    <t>Banwell, AF (corresponding author), Univ Chicago, Dept Geophys Sci, 5734 S Ellis Ave, Chicago, IL 60637 USA.</t>
  </si>
  <si>
    <t>afb39@cam.ac.uk</t>
  </si>
  <si>
    <t>Sergienko, Olga/HII-8500-2022; Banwell, Alison/W-8180-2018</t>
  </si>
  <si>
    <t>Sergienko, Olga/0000-0002-5764-8815; Banwell, Alison/0000-0001-9545-829X; MacAyeal, Douglas/0000-0003-0647-6176</t>
  </si>
  <si>
    <t>U.S. National Science Foundation [GEOP/ANT-0944248, ANT-0838811, ARC-0934534]; Office of Polar Programs (OPP); Directorate For Geosciences [0934534] Funding Source: National Science Foundation; Office of Polar Programs (OPP); Directorate For Geosciences [0944248] Funding Source: National Science Foundation</t>
  </si>
  <si>
    <t>U.S. National Science Foundation(National Science Foundation (NSF)); Office of Polar Programs (OPP); Directorate For Geosciences(National Science Foundation (NSF)NSF - Directorate for Geosciences (GEO)); Office of Polar Programs (OPP); Directorate For Geosciences(National Science Foundation (NSF)NSF - Directorate for Geosciences (GEO))</t>
  </si>
  <si>
    <t>This research is supported by the U.S. National Science Foundation under grant GEOP/ANT-0944248 awarded to D. R. M. and grants ANT-0838811 and ARC-0934534 awarded to O. V. S. The authors acknowledge the valuable discussion and assistance of Neil Arnold, Martamaria Caballero, Neil Glasser, and Ian Willis. Neil Glasser generously provided digitized outlines of lakes and dolines on the LBIS used in this study. Finally, the authors thank Anders Levermann, Doug Benn, and the editor, Julienne Stroeve, for their valuable comments regarding our initial manuscript.</t>
  </si>
  <si>
    <t>NOV 28</t>
  </si>
  <si>
    <t>10.1002/2013GL057694</t>
  </si>
  <si>
    <t>268ZX</t>
  </si>
  <si>
    <t>WOS:000328210600009</t>
  </si>
  <si>
    <t>Vianna, ML; Menezes, VV</t>
  </si>
  <si>
    <t>Vianna, Marcio L.; Menezes, Viviane V.</t>
  </si>
  <si>
    <t>Bidecadal sea level modes in the North and South Atlantic Oceans</t>
  </si>
  <si>
    <t>interdecadal variability; thermal Rossby waves; regime shift; AMOC fingerprints; SODA; westward propagation</t>
  </si>
  <si>
    <t>MERIDIONAL OVERTURNING CIRCULATION; MULTIDECADAL VARIABILITY; REGIME-SHIFTS; CLIMATE</t>
  </si>
  <si>
    <t>The relationship between the North and South Atlantic bidecadal sea level (SL) oscillations during the twentieth century is investigated for the first time using Simple Ocean Data Assimilation reanalysis. Complex empirical orthogonal function analysis of the bidecadal band gives two dominant modes: the first dominating from 1915 to 1965 and the second from 1970 onward. The long-term time-dependent change of mode dominance suggests a structural-type regime shift. The first mode is characterized by states with North and South Atlantic subtropical gyres in phase, while tropical and subpolar regions are in opposite phase relative to them. The second mode is characterized by the subpolar gyre and North subtropical gyre almost in quadrature, with North and South subtropical gyres out of phase. Thermal Rossby waves are very clear only in the second mode. These waves seem to be influenced by bottom topography. Known Atlantic meridional overturning circulation (AMOC) sea level fingerprints and AMOC strength indices are discussed in the bidecadal oscillations context.</t>
  </si>
  <si>
    <t>[Vianna, Marcio L.] VM Ocean, Sao Jose Dos Campos, Brazil; [Menezes, Viviane V.] Univ Tasmania, CSIRO UTAS Quantitat Marine Sci Program, Inst Marine &amp; Antarctic Studies, Hobart, Tas, Australia; [Menezes, Viviane V.] ARC Ctr Excellence Climate Syst Sci, Hobart, Tas, Australia</t>
  </si>
  <si>
    <t>Commonwealth Scientific &amp; Industrial Research Organisation (CSIRO); University of Tasmania; ARC Centre of Excellence for Climate System Science</t>
  </si>
  <si>
    <t>Vianna, ML (corresponding author), R Manoel Bandeira 210, BR-12240710 Sao Jose Dos Campos, Brazil.</t>
  </si>
  <si>
    <t>marcio@vmoceanica.com.br</t>
  </si>
  <si>
    <t>Menezes, Viviane/AAG-8235-2020</t>
  </si>
  <si>
    <t>Menezes, Viviane/0000-0002-4885-2056; Vianna, Marcio/0000-0002-3616-7772</t>
  </si>
  <si>
    <t>10.1002/2013GL058162</t>
  </si>
  <si>
    <t>WOS:000328210600019</t>
  </si>
  <si>
    <t>Turner, J; Hosking, JS; Phillips, T; Marshall, GJ</t>
  </si>
  <si>
    <t>Turner, John; Hosking, J. Scott; Phillips, Tony; Marshall, Gareth J.</t>
  </si>
  <si>
    <t>Temporal and spatial evolution of the Antarctic sea ice prior to the September 2012 record maximum extent</t>
  </si>
  <si>
    <t>sea ice</t>
  </si>
  <si>
    <t>VARIABILITY; TRENDS</t>
  </si>
  <si>
    <t>On 24 September 2012 the Antarctic sea ice extent (SIE) reached a new annual daily maximum (ADM) for the satellite era of 19.72x10(6) km(2). The largest positive SIE anomalies compared to the mean of all ADMs were found over the northern Amundsen Sea, off the coast of Wilkes Land, with smaller positive anomalies off the Dronning Maud Land coast (30 degrees W to 30 degrees E). The SIE at the ADM is significantly correlated with the extents for the previous 80 days, but the ice growth during the winter of 2012 was close to the climatological rate, and 1 month before the ADM, the SIE was near the recent mean. Deep depressions in the circumpolar trough since late August 2012 resulted in strong southerly flow and marked northward sea ice advection. The linear trend in SIE suggests that it contributed similar to 40% to the 2012 anomaly, with depression activity adding similar to 60%.</t>
  </si>
  <si>
    <t>[Turner, John; Hosking, J. Scott; Phillips, Tony; Marshall, Gareth J.] British Antarctic Survey, Nat Environm Res Council, Cambridge CB3 0ET, England</t>
  </si>
  <si>
    <t>Turner, J (corresponding author), British Antarctic Survey, Nat Environm Res Council, Madingley Rd, Cambridge CB3 0ET, England.</t>
  </si>
  <si>
    <t>jtu@bas.ac.uk</t>
  </si>
  <si>
    <t>Hosking, Scott/D-3437-2013</t>
  </si>
  <si>
    <t>Hosking, Scott/0000-0002-3646-3504; Turner, John/0000-0002-6111-5122</t>
  </si>
  <si>
    <t>NERC [bas0100023] Funding Source: UKRI; Natural Environment Research Council [bas0100023] Funding Source: researchfish</t>
  </si>
  <si>
    <t>10.1002/2013GL058371</t>
  </si>
  <si>
    <t>WOS:000328210600013</t>
  </si>
  <si>
    <t>Thompson, AF; Youngs, MK</t>
  </si>
  <si>
    <t>Thompson, Andrew F.; Youngs, Madeleine K.</t>
  </si>
  <si>
    <t>Surface exchange between the Weddell and Scotia Seas</t>
  </si>
  <si>
    <t>fronts; Weddell Sea; Antarctic Circumpolar Current; drifters; iron</t>
  </si>
  <si>
    <t>ANTARCTIC PENINSULA; KRILL TRANSPORT; SOUTHERN-OCEAN; PATHWAYS; WATER; VARIABILITY; FRONTS; TRENDS; TIP</t>
  </si>
  <si>
    <t>Within Drake Passage, the southern flank of the Antarctic Circumpolar Current (ACC) hosts the ventilation of deep water, the injection of Antarctic shelf waters and interactions between westward and eastward boundary currents. This exchange is explored through the trajectories of forty surface drifters released in January 2012 in the northwestern Weddell Sea. The drifters detail Lagrangian transport pathways between the eastern Antarctic Peninsula and sites of elevated chlorophyll in the Scotia Sea. ACC frontal currents, in particular the Southern ACC Front, act as dynamical transport barriers to the drifters and influence surface chlorophyll distributions, indicating that ACC fronts partition Weddell source waters in the Scotia Sea. Interannual fluctuations in surface chlorophyll in the south Scotia Sea and the northern Weddell Sea covary. This suggests that Scotia Sea ecosystem dynamics are linked to water properties injected from the tip of the Antarctic Peninsula and respond to Weddell Gyre circulation changes.</t>
  </si>
  <si>
    <t>[Thompson, Andrew F.; Youngs, Madeleine K.] CALTECH, Pasadena, CA 91125 USA</t>
  </si>
  <si>
    <t>California Institute of Technology</t>
  </si>
  <si>
    <t>Thompson, AF (corresponding author), CALTECH, Pasadena, CA 91125 USA.</t>
  </si>
  <si>
    <t>andrewt@caltech.edu</t>
  </si>
  <si>
    <t>Davidow Discovery Fund; J. Weldon Green fellowship</t>
  </si>
  <si>
    <t>A.F.T. was supported by the Davidow Discovery Fund. M.K.Y. completed this work as a participant in Caltech's SURF program, with support from the J. Weldon Green fellowship. We thank the NOAA Global Drifter Program for augmenting the drifter array, and especially Mayra Pazos and Gary Williams for assistance with the data. We thank the crew of the RRS James Clark Ross and acknowledge the ship time provided through GENTOO project. The altimeter products were produced by Ssalto/Duacs and distributed by AVISO with support from CNES. Conversations with Mar Flexas and Sally Thorpe and two reviewers' comments helped to improve this manuscript.</t>
  </si>
  <si>
    <t>10.1002/2013GL058114</t>
  </si>
  <si>
    <t>WOS:000328210600018</t>
  </si>
  <si>
    <t>Katurji, M; Zawar-Reza, P; Zhong, SY</t>
  </si>
  <si>
    <t>Katurji, Marwan; Zawar-Reza, Peyman; Zhong, Shiyuan</t>
  </si>
  <si>
    <t>Surface layer response to topographic solar shading in Antarctica's dry valleys</t>
  </si>
  <si>
    <t>atmospheric surface layer; microclimate; turbulence; Antarctica; eddy covariance; sodar</t>
  </si>
  <si>
    <t>SOUTHERN VICTORIA LAND; LOW-ANGLE SLOPE; ENERGY-BALANCE; EVENING TRANSITION; DOWNSLOPE FLOWS; BOUNDARY-LAYERS; PART II; MCMURDO; FLUX; REGION</t>
  </si>
  <si>
    <t>The effects of topographic shading on local flow transitioning and atmospheric surface layer properties are investigated using observational data from the Miers Valley, one of the dry valleys of Antarctica. A unique data set was collected during a 9day period in the summer of 2012 using an eddy covariance system and a sound detection and ranging that provided vertical profiles of wind and turbulence characteristics in the surface layer and the lower part of the boundary layer within the Miers Valley. This data set is ideal for investigating the dynamics of flow transitioning due to topographic shading, without the atmosphere experiencing complete darkness. The lack of atmospheric humidity, soil moisture, and surface vegetation in the dry valleys creates an atmosphere within which the microclimatic responses are amplified, and as a result, the valley atmosphere is extremely sensitive to solar radiation. The entire measured valley boundary layer (up to 250m above ground level) feels the transition from an unstable to a stable stratification as the surface temperature drops by 10 degrees C in response to the topographic shading. Wavelet analysis reveals the dynamics of flow deceleration, stagnation, and oscillations as the flow transitions from an unstable to a stable boundary layer. The larger air mass (along valley) scales to the longer terrain fetch, and as the shade is cast over the valley, it retains some of the longer wavelengths of the flow. The cross-valley component influenced by the slopes is quicker to adjust to short-period oscillations and takes around three more hours before it couples with the oscillatory pattern of the along-valley flow.</t>
  </si>
  <si>
    <t>[Katurji, Marwan; Zawar-Reza, Peyman] Univ Canterbury, Ctr Atmospher Res, Christchurch 1, New Zealand; [Katurji, Marwan; Zhong, Shiyuan] Michigan State Univ, Dept Geog, E Lansing, MI 48824 USA</t>
  </si>
  <si>
    <t>University of Canterbury; Michigan State University</t>
  </si>
  <si>
    <t>Katurji, M (corresponding author), Univ Canterbury, Ctr Atmospher Res, Christchurch Private Bag 4800, Christchurch 1, New Zealand.</t>
  </si>
  <si>
    <t>marwan.katurji@canterbury.ac.nz</t>
  </si>
  <si>
    <t>Antarctica New Zealand; United States Antarctic Program; U. S. National Science Foundation [ATM0938401]</t>
  </si>
  <si>
    <t>Antarctica New Zealand; United States Antarctic Program; U. S. National Science Foundation(National Science Foundation (NSF))</t>
  </si>
  <si>
    <t>The authors would like to thank the technical staff at the Geography Department of the University of Canterbury for their assistance in the instrumentation setup. Also, the authors acknowledge Antarctica New Zealand and the United States Antarctic Program for their support. The authors would also like to thank the Antarctic K020 program operated under the research program of nzTABS in Waikato University, New Zealand. This research was also partially supported by the U. S. National Science Foundation under Grant ATM0938401. Any opinions, findings, and conclusions or recommendations expressed in this material are those of the authors and do not necessarily reflect the views of the National Science Foundation.</t>
  </si>
  <si>
    <t>NOV 27</t>
  </si>
  <si>
    <t>10.1002/2013JD020530</t>
  </si>
  <si>
    <t>297OY</t>
  </si>
  <si>
    <t>WOS:000330266000015</t>
  </si>
  <si>
    <t>Chan, KM; Wood, R</t>
  </si>
  <si>
    <t>Chan, Ka Man; Wood, Robert</t>
  </si>
  <si>
    <t>The seasonal cycle of planetary boundary layer depth determined using COSMIC radio occultation data</t>
  </si>
  <si>
    <t>boundary layer depth; seasonal; global</t>
  </si>
  <si>
    <t>LOW-CLOUD; HEIGHT; ENTRAINMENT; SIGNALS; CALIPSO; CHAMP</t>
  </si>
  <si>
    <t>The seasonal cycle of planetary boundary layer (PBL) depth is examined globally using observations from the Constellation Observing System for the Meteorology, Ionosphere, and Climate (COSMIC) satellite mission. COSMIC uses GPS radio occultation to derive the vertical profile of refractivity at high vertical resolution (similar to 100m). Here, we apply an algorithm to determine PBL top height and thus PBL depth from the maximum vertical gradient of refractivity. PBL top detection is sensitive to hydrolapses at nonpolar latitudes but to both hydrolapses and temperature jumps in polar regions. The PBL depths and their seasonal cycles compare favorably with selected radiosonde-derived estimates at tropical, midlatitude, and Antarctic sites, adding confidence that COSMIC can effectively provide estimates of seasonal cycles globally. PBL depth over extratropical land regions peaks during summer consistent with weak static stability and strong surface sensible heating. The subtropics and tropics exhibit a markedly different cycle that largely follows the seasonal march of the Intertropical Convergence Zone with the deepest PBLs associated with dry phases, again suggestive that surface sensible heating deepens the PBL and that wet periods exhibit shallower PBLs. Marine PBL depth has a somewhat similar seasonal march to that over continents but is weaker in amplitude and is shifted poleward. The maximum seasonal amplitude over oceans occurs over the Arctic. Over subtropical/tropical oceans there is seasonal asymmetry about the equator, with winter maxima in the Northern Hemisphere but fall maxima in the south. The seasonal march of PBL depth is largely modulated by the seasonal cycle of static stability in the extratropics and by the monsoon circulations at tropical and subtropical latitudes.</t>
  </si>
  <si>
    <t>[Chan, Ka Man; Wood, Robert] Univ Washington, Dept Atmospher Sci, Seattle, WA 98195 USA</t>
  </si>
  <si>
    <t>Wood, R (corresponding author), Univ Washington, Dept Atmospher Sci, Seattle, WA 98195 USA.</t>
  </si>
  <si>
    <t>robwood@atmos.washington.edu</t>
  </si>
  <si>
    <t>Wood, Robert/A-2989-2008</t>
  </si>
  <si>
    <t>Wood, Robert/0000-0002-1401-3828</t>
  </si>
  <si>
    <t>10.1002/2013JD020147</t>
  </si>
  <si>
    <t>WOS:000330266000013</t>
  </si>
  <si>
    <t>Villagran, XS; Schaefer, CEGR; Ligouis, B</t>
  </si>
  <si>
    <t>Villagran, Ximena S.; Schaefer, Carlos E. G. R.; Ligouis, Bertrand</t>
  </si>
  <si>
    <t>Living in the cold: Geoarchaeology of sealing sites from Byers Peninsula (Livingston Island, Antarctica)</t>
  </si>
  <si>
    <t>QUATERNARY INTERNATIONAL</t>
  </si>
  <si>
    <t>Article; Proceedings Paper</t>
  </si>
  <si>
    <t>14th International Working Meeting on Soil Micromorphology</t>
  </si>
  <si>
    <t>JUL 08-14, 2012</t>
  </si>
  <si>
    <t>Lleida, SPAIN</t>
  </si>
  <si>
    <t>SOUTH-SHETLAND-ISLANDS; MARITIME ANTARCTICA; VOLCANIC ASH; KERATINOPHILIC FUNGI; HOUSE FLOORS; SOILS; MICROMORPHOLOGY; SEDIMENTS; RESIDUES; CRYOSOLS</t>
  </si>
  <si>
    <t>Few geoarchaeological studies have been conducted in the Antarctic continent. This paper contains the first results of the geoarchaeological research done in two sealing sites dated from the 19th century, located in Byers Peninsula, South Shetland Islands (Antarctica). The research is part of a wider international project that aims at understanding the daily practices of the first anonymous occupants of Antarctica, and the insertion of the continent into the world system. The geoarchaeological study focuses on site formation analyses to provide new data on site function, use of local resources, length of occupation and taphonomy. With this approach, data not attainable through artefact or documentary analyses is provided. The studied sites are Sealer 3 and Sealer 4, two sealing shelters built with piled up boulders on rocky outcrops on the south Beaches of Livingston Island. Two major precincts and annexes were studied by means of multi-element chemical analyses, micromorphology and organic petrology. Although local lithology and cryogenic processes are dominant in the chemical and micromorphological records, respectively, important distinctions could be made, especially on the behavior associated with pyrotechnology and the use of local resources for survival. The effects of humans on the sediments are expressed by higher P2O5, CaO and total C concentrations. This is related with the use of seal bones, fat and herbaceous tissue as fuel for the hearths. Shelters with more intense occupation could be differentiated from single-activity sites. Differences are attributed to habitation shelters vs. working spaces for fat processing. (c) 2013 Elsevier Ltd and INQUA. All rights reserved.</t>
  </si>
  <si>
    <t>[Villagran, Ximena S.] Univ Sao Paulo, Inst Geociencias, BR-05508080 Sao Paulo, Brazil; [Villagran, Ximena S.] Univ Tubingen, Inst Archaeol Sci, D-72072 Tubingen, Germany; [Schaefer, Carlos E. G. R.] Univ Fed Vicosa, Dept Solos, BR-36570000 Vicosa, MG, Brazil; [Ligouis, Bertrand] Univ Tubingen, Inst Archaeol Sci, Lab Appl Organ Petrol, D-72072 Tubingen, Germany</t>
  </si>
  <si>
    <t>Universidade de Sao Paulo; Eberhard Karls University of Tubingen; Universidade Federal de Vicosa; Eberhard Karls University of Tubingen</t>
  </si>
  <si>
    <t>Villagran, XS (corresponding author), Univ Sao Paulo, Inst Geociencias, Rua Lago 562,Cidade Univ, BR-05508080 Sao Paulo, Brazil.</t>
  </si>
  <si>
    <t>villagran@usp.br; carlos.schaefer@ufv.br; bertrand.ligouis@uni-tuebingen.de</t>
  </si>
  <si>
    <t>Villagran, Ximena Suarez/S-5429-2019; Schaefer, Carlos Ernesto/AAY-4977-2020</t>
  </si>
  <si>
    <t>Villagran, Ximena Suarez/0000-0001-8630-2015; Ernesto Goncalves Reynaud Schaefer, Carlos/0000-0001-7060-1598; Ernesto Goncalves Reynaud Schaefer, Carlos/0000-0001-5735-3227</t>
  </si>
  <si>
    <t>Brazilian National Research and Technology Council [PROSUL 490344/2008-9, PROANTAR 556755/2009-0]</t>
  </si>
  <si>
    <t>Brazilian National Research and Technology Council</t>
  </si>
  <si>
    <t>The authors would like to thank Prof. Andres Zarankin, coordinator of the research project Archaeology of first human occupations in Antarctica, funded by the Brazilian National Research and Technology Council (PROSUL 490344/2008-9 - PROANTAR 556755/2009-0). Special thanks to the field crew of 2010, to Prof. Andre O. Sawakuchi, Dr. Melisa Salerno and jimena Cruz. Thanks to Ellen Carrlee (Alaska State Museum) for the aid in material identification. The final version of this paper was greatly improved by the comments made by Reviewer #2 and Richard Macphail. Analyses were made at the chemistry, ICP-OES and sedimentary petrology laboratories of the Institute of Geosciences (University of Sao Paulo), the micromorphology laboratory of the Soils Department of the Federal University of Vicosa (TERRANTAR- INCT-Cryosphere) and the organic petrology laboratory of the Institute for Archaeological Sciences (University of Tubingen).</t>
  </si>
  <si>
    <t>1040-6182</t>
  </si>
  <si>
    <t>1873-4553</t>
  </si>
  <si>
    <t>QUATERN INT</t>
  </si>
  <si>
    <t>Quat. Int.</t>
  </si>
  <si>
    <t>10.1016/j.quaint.2013.07.001</t>
  </si>
  <si>
    <t>Science Citation Index Expanded (SCI-EXPANDED); Social Science Citation Index (SSCI); Arts &amp; Humanities Citation Index (A&amp;HCI); Conference Proceedings Citation Index - Science (CPCI-S)</t>
  </si>
  <si>
    <t>264VF</t>
  </si>
  <si>
    <t>WOS:000327908400014</t>
  </si>
  <si>
    <t>Gao, Y; Xu, G; Zhan, J; Zhang, J; Li, W; Lin, Q; Chen, L; Lin, H</t>
  </si>
  <si>
    <t>Gao, Y.; Xu, G.; Zhan, J.; Zhang, J.; Li, W.; Lin, Q.; Chen, L.; Lin, H.</t>
  </si>
  <si>
    <t>Spatial and particle size distributions of atmospheric dissolvable iron in aerosols and its input to the Southern Ocean and coastal East Antarctica</t>
  </si>
  <si>
    <t>atmospheric iron; Southern Ocean; coastal East Antarctica; aerosols; atmospheric deposition</t>
  </si>
  <si>
    <t>EQUATORIAL PACIFIC-OCEAN; TROPICAL NORTH-ATLANTIC; LEAD-ISOTOPE RATIOS; TRACE-METALS; DRY DEPOSITION; PHYTOPLANKTON GROWTH; ORGANIC COMPLEXATION; MARINE AEROSOLS; CARBON-DIOXIDE; TIME-SERIES</t>
  </si>
  <si>
    <t>To characterize atmospheric dissolvable iron over the Southern Ocean (SO) and coastal East Antarctica (CEA), bulk and size-segregated (0.056-18 mu m in diameter) aerosols were collected from 34 degrees S, 109 degrees E to 69 degrees S, 76 degrees E and between 69 degrees S, 76 degrees E and 66 degrees S, 110 degrees E during a cruise during November 2010 to March 2011. Aerosols were analyzed for total dissolvable Fe and Fe(II) by UV/Visible spectroscopy and total Fe by inductively coupled plasma-mass spectrometry. The average concentrations of total Fe were 19ngm(-3) (range: 10-38ngm(-3)) over the SO and 26ngm(-3) (range: 14-56ngm(-3)) in CEA. The average Fe(II) concentrations were 0.22ngm(-3) (range: 0.13-0.33ngm(-3)) over the SO and 0.53ngm(-3) (range: 0.18-1.3ngm(-3)) over CEA; the total dissolvable Fe followed the same trend. Over the SO, a single-peak size distribution of Fe(II) existed. Over CEA, a bimodal size distribution of Fe(II) appeared, with the first peak at 0.32-0.56 mu m and the second peak at 5.6-10 mu m. Higher Fe concentrations over CEA than over the SO and the existence of coarse mode Fe(II) over CEA suggest potential dust sources in Antarctica. The fractional Fe(II) solubility ranged from 0.58% to 6.5% and decreased with total Fe concentration increase. The estimated atmospheric fluxes of Fe(II) were 0.007-0.092mgm(-2)yr(-1) over the SO and 0.022-0.21mgm(-2)yr(-1) in CEA. Total dissolvable Fe fluxes were 0.007-0.52mgm(-2)yr(-1) over the SO. The atmospheric dissolvable Fe input contributes to the dissolved Fe pool in the SO surface waters.</t>
  </si>
  <si>
    <t>[Gao, Y.; Xu, G.; Zhan, J.] Rutgers State Univ, Dept Earth &amp; Environm Sci, Newark, NJ 07102 USA; [Zhang, J.; Li, W.; Lin, Q.; Chen, L.; Lin, H.] State Ocean Adm, Inst Oceanog 3, Key Lab Global Change &amp; Marine Atmospher Chem, Xiamen, Peoples R China</t>
  </si>
  <si>
    <t>Gao, Y (corresponding author), Rutgers State Univ, Dept Earth &amp; Environm Sci, 101 Warren St, Newark, NJ 07102 USA.</t>
  </si>
  <si>
    <t>Gao, Yuan/0000-0002-1781-8971</t>
  </si>
  <si>
    <t>US National Science Foundation [0944589]; State Oceanic Administration of China [IC2011114]</t>
  </si>
  <si>
    <t>US National Science Foundation(National Science Foundation (NSF)); State Oceanic Administration of China</t>
  </si>
  <si>
    <t>This research was sponsored by the US National Science Foundation Award 0944589 to YG. Additional support was provided through a grant IC2011114 by State Oceanic Administration of China to LC and YG. The authors thank the Chinese Arctic and Antarctic Administration and Polar Research Institute of China for logistical support. The manuscript was significantly improved by constructive comments from three reviewers. The authors thank Fei Song, Dawn Roberts-Semple, Nathi Kijpatanasilp, and Lu Wang of Rutgers University and James Anderson of Arizona State University for assistance with precruise preparation in the lab at Rutgers. YG is grateful to the Chinese 27th Antarctic Expedition scientific team and staff at the Chinese Antarctic Zhongshan Station for their support of her participation in the voyage of 4 months at sea and in the Antarctic lands. This work would not have become possible without the dedication of the crew of R/V Xue Long.</t>
  </si>
  <si>
    <t>10.1002/2013JD020367</t>
  </si>
  <si>
    <t>WOS:000330266000036</t>
  </si>
  <si>
    <t>McDonald, AJ; Smith, M</t>
  </si>
  <si>
    <t>McDonald, A. J.; Smith, M.</t>
  </si>
  <si>
    <t>A technique to identify vortex air using carbon monoxide observations</t>
  </si>
  <si>
    <t>transport; meridional overturning circulation; Carbon monoxide</t>
  </si>
  <si>
    <t>GROUND-BASED MEASUREMENTS; MICROWAVE LIMB SOUNDER; ANTARCTIC POLAR VORTEX; MIDDLE ATMOSPHERE CO; INTERANNUAL VARIABILITY; SATELLITE-OBSERVATIONS; UPPER TROPOSPHERE; UARS ISAMS; ACE-FTS; TRANSPORT</t>
  </si>
  <si>
    <t>This study uses observations of carbon monoxide (CO) from the Microwave Limb Sounder instrument to identify vortex air in the winter polar regions. In particular, we use the probability distribution function (PDF) of the CO data to delineate CO concentrations characteristic of the interior of the vortex core as a function of space and time. This is achieved by fitting two Gaussian distributions to the PDF for a specific period and vertical level. These Gaussian fits are then examined to determine whether two chemically distinct regions exist by inspecting the intersection area between the Gaussians relative to their individual areas. When chemically distinct regions exist, the values of the fitted mean CO concentrations are representative of the interior and exterior of the polar vortex. To prove this point, a domain-filling analysis is performed to produce high-resolution maps. Comparison of these maps with the vortex edge derived using the equivalent latitude technique, and a statistical analysis over a range of years and isentropic levels, shows that the fitting scheme can be used to characterize measurements made inside the vortex during periods when chemically distinct populations exist. The statistical analysis also suggests that a threshold CO concentration can be derived based on the Gaussian fits which defines a good mixture between reducing the quantity of CO observations incorrectly identified as vortex interior air, whilst also minimizing the number of observations misclassified as vortex exterior air. This technique therefore provides an alternative to the dynamically derived calculation of values characteristic of the vortex interior.</t>
  </si>
  <si>
    <t>[McDonald, A. J.; Smith, M.] Univ Canterbury, Dept Phys &amp; Astron, Christchurch 8020, New Zealand</t>
  </si>
  <si>
    <t>McDonald, AJ (corresponding author), Univ Canterbury, Private Bag 4800, Christchurch 8020, New Zealand.</t>
  </si>
  <si>
    <t>adrian.mcdonald@canterbury.ac.nz</t>
  </si>
  <si>
    <t>McDonald, Adrian/0000-0002-1456-6254</t>
  </si>
  <si>
    <t>Royal Society of New Zealand Marsden Fund project Evaluating the Impact of Excess Ionization on the Atmosphere</t>
  </si>
  <si>
    <t>Royal Society of New Zealand Marsden Fund project Evaluating the Impact of Excess Ionization on the Atmosphere(Royal Society of New ZealandMarsden Fund (NZ))</t>
  </si>
  <si>
    <t>A.J.M. would like to thank the EOS MLS team at the Jet Propulsion Laboratory/NASA for the provision of the EOS MLS data via their website. MERRA data was disseminated by the Global Modelling and Assimilation Office (GMAO) and the GES DISC. This work was supported by the Royal Society of New Zealand Marsden Fund project Evaluating the Impact of Excess Ionization on the Atmosphere.</t>
  </si>
  <si>
    <t>10.1002/2012JD019257</t>
  </si>
  <si>
    <t>WOS:000330266000031</t>
  </si>
  <si>
    <t>Jeffreys, RM; Burke, C; Jamieson, AJ; Narayanaswamy, BE; Ruhl, HA; Smith, KL; Witte, U</t>
  </si>
  <si>
    <t>Jeffreys, Rachel M.; Burke, Ciara; Jamieson, Alan J.; Narayanaswamy, Bhavani E.; Ruhl, Henry A.; Smith, Kenneth L., Jr.; Witte, Ursula</t>
  </si>
  <si>
    <t>Feeding Preferences of Abyssal Macrofauna Inferred from In Situ Pulse Chase Experiments</t>
  </si>
  <si>
    <t>TRICARBOXYLIC-ACID CYCLE; DEEP-SEA NEMATODES; PARTICULATE ORGANIC-CARBON; ANTARCTIC PENINSULA SHELF; BENTHIC BOUNDARY-LAYER; EASTERN NORTH PACIFIC; TIME-SERIES STATION; FOOD-WEB STRUCTURE; NE PACIFIC; STABLE-ISOTOPES</t>
  </si>
  <si>
    <t>Climatic fluctuations may significantly alter the taxonomic and biochemical composition of phytoplankton blooms and subsequently phytodetritus, the food source for the majority of deep-sea communities. To examine the response of abyssal benthic communities to different food resources we simulated a food sedimentation event containing diatoms and coccolithophorids at Station M in the NE Pacific. In one set of experiments we measured incorporation of C-diatom and N-cocco into the macrofauna using isotopically enriched C-13-diatoms and N-15-coccolithophores. In a second experiment we measured incorporation of C and N from dual-labelled (C-13 and N-15) diatoms. The second experiment was repeated 2 months later to assess the effect of seasonality. The simulated food pulses represented additions of 650 - 800 mg C m(-2) and 120 mg N m(-2) to the seafloor. In all cases rapid incorporation of tracer was observed within 4 days, with between 20% and 52% of the macrofauna displaying evidence of enrichment. However, incorporation levels of both C-diatom and N-cocco were low (&lt;0.05% and 0.005% of the added C and N). Incorporation of labelled diatoms was similar during both June and September suggesting that the community was not food limited during either period. We found no evidence for selective ingestion of the different food types in the metazoan fauna suggesting that macrofauna do not have strong preferences for diatom vs. coccolithophore dominated phytodetrital pulses. C: N ratios from both experiments suggest that the metazoan macrofauna community appear to have higher C demands and/or assimilation efficiencies compared to N. Concomitantly, the foraminifera preferentially selected for N-diatom over N-cocco, and we suggest that this may be related to foraminiferal requirements for intracellular nitrate. These experiments provide evidence that abyssal faunal feeding strategies are in part driven by an organism's internal stoichiometric budgets and biochemical requirements.</t>
  </si>
  <si>
    <t>[Jeffreys, Rachel M.] Univ Liverpool, Sch Environm Sci, Liverpool L69 3BX, Merseyside, England; [Burke, Ciara; Jamieson, Alan J.; Witte, Ursula] Univ Aberdeen, Oceanlab, Newburgh, Aberdeen, Scotland; [Narayanaswamy, Bhavani E.] Scottish Marine Inst, Scottish Assoc Marine Sci, Dept Ecol, Oban, Argyll, Scotland; [Ruhl, Henry A.] Univ Southampton, Natl Oceanog Ctr, Southampton, Hants, England; [Smith, Kenneth L., Jr.] Monterey Bay Aquarium Res Inst, Moss Landing, CA USA</t>
  </si>
  <si>
    <t>University of Liverpool; University of Aberdeen; UHI Millennium Institute; University of Southampton; NERC National Oceanography Centre; Monterey Bay Aquarium Research Institute</t>
  </si>
  <si>
    <t>Jeffreys, RM (corresponding author), Univ Liverpool, Sch Environm Sci, Liverpool L69 3BX, Merseyside, England.</t>
  </si>
  <si>
    <t>rachel.jeffreys@liv.ac.uk</t>
  </si>
  <si>
    <t>Jeffreys, Rachel M/J-5645-2013</t>
  </si>
  <si>
    <t>Jamieson, Alan/0000-0001-9835-2909; Narayanaswamy, Bhavani/0000-0002-5810-9127</t>
  </si>
  <si>
    <t>Natural Environment Research Council Grant (UK); National Science Foundation (US); David and Lucile Packard Foundation; Division Of Ocean Sciences; Directorate For Geosciences [1026607] Funding Source: National Science Foundation; NERC [NE/E006426/1, noc010009] Funding Source: UKRI; Natural Environment Research Council [NE/E006426/1, noc010009] Funding Source: researchfish</t>
  </si>
  <si>
    <t>Natural Environment Research Council Grant (UK); National Science Foundation (US)(National Science Foundation (NSF)); David and Lucile Packard Foundation(The David &amp; Lucile Packard Foundation); Division Of Ocean Sciences; Directorate For Geosciences(National Science Foundation (NSF)NSF - Directorate for Geosciences (GEO)); NERC(UK Research &amp; Innovation (UKRI)Natural Environment Research Council (NERC)); Natural Environment Research Council(UK Research &amp; Innovation (UKRI)Natural Environment Research Council (NERC))</t>
  </si>
  <si>
    <t>This work was supported by Natural Environment Research Council Grant (UK) awarded to UW and the National Science Foundation (US) and the David and Lucile Packard Foundation awarded to KLS. The funders had no role in study design, data collection and analysis, decision to publish, or preparation of the manuscript.</t>
  </si>
  <si>
    <t>NOV 26</t>
  </si>
  <si>
    <t>e80510</t>
  </si>
  <si>
    <t>10.1371/journal.pone.0080510</t>
  </si>
  <si>
    <t>259SK</t>
  </si>
  <si>
    <t>Green Submitted, Green Accepted, Green Published, gold</t>
  </si>
  <si>
    <t>WOS:000327546400038</t>
  </si>
  <si>
    <t>Wilson, NG; Maschek, JA; Baker, BJ</t>
  </si>
  <si>
    <t>Wilson, Nerida G.; Maschek, J. Alan; Baker, Bill J.</t>
  </si>
  <si>
    <t>A Species Flock Driven by Predation? Secondary Metabolites Support Diversification of Slugs in Antarctica</t>
  </si>
  <si>
    <t>NUDIBRANCH AUSTRODORIS-KERGUELENENSIS; ADAPTIVE RADIATION; CHEMICAL DEFENSE; 1ST INSIGHTS; GASTROPODA; MOLLUSCA; OPISTHOBRANCHIA; INVERTEBRATES; DIVERSITY; ECOLOGY</t>
  </si>
  <si>
    <t>Antarctica's rich marine animal biodiversity has been substantially influenced by a complex glacial history, but it is unclear why some taxa responded with diversification while others did not. Despite being considered a single endemic sea slug species in the Southern Ocean, mitochondrial DNA sequencing of Doris kerguelenensis (Bergh, 1884) revealed a multitude of highly divergent lineages. But because of the uniparental inheritance of mitochondria, it was unclear whether those lineages represented a radiation of cryptic species or simply stochastic sorting patterns of populations that rarely reach equilibrium. Here we demonstrate that the mitochondrial groups in D. kerguelenensis also correlate with nuclear DNA. Additionally, by extracting secondary metabolites from the same individuals we sequenced, we were also able to directly link the secondary metabolome to a mitochondrial lineage. These metabolites are not derived from the diet, but instead are synthesized de novo and implicated in an anti-predatory role. The strong linkage between these metabolites and the mitochondrial lineages strongly suggests that these lineages represent cryptic species in an adaptive radiation. Over millions of years, episodic glacial cycles reduced the distribution of a formerly widespread slug into a series of small vicariant refuges, vulnerable to genetic drift and predation pressure. The recognition of this marine invertebrate species flock implicates a strongly synergistic role for selection and allopatry driving speciation in this system.</t>
  </si>
  <si>
    <t>[Wilson, Nerida G.] Australian Museum, Australian Museum Res Inst, Sydney, NSW 2000, Australia; [Wilson, Nerida G.] Univ Calif San Diego, Scripps Inst Oceanog, La Jolla, CA 92093 USA; [Maschek, J. Alan; Baker, Bill J.] Univ S Florida, Dept Chem, Tampa, FL 33620 USA; [Baker, Bill J.] Univ S Florida, Ctr Drug Discovery &amp; Innovat, Tampa, FL USA</t>
  </si>
  <si>
    <t>Australian Museum; University of California System; University of California San Diego; Scripps Institution of Oceanography; State University System of Florida; University of South Florida; State University System of Florida; University of South Florida</t>
  </si>
  <si>
    <t>Wilson, NG (corresponding author), Australian Museum, Australian Museum Res Inst, 6-8 Coll St, Sydney, NSW 2000, Australia.</t>
  </si>
  <si>
    <t>ngwilson@ucsd.edu</t>
  </si>
  <si>
    <t>Wilson, Nerida/G-8433-2011; Baker, Bill/N-4312-2019; Wilson, Nerida G./AAC-1456-2019</t>
  </si>
  <si>
    <t>Wilson, Nerida/0000-0002-0784-0200;</t>
  </si>
  <si>
    <t>US National Science Foundation Office of Polar Programs Antarctic Organisms and Ecosystems Program [ANT-1043749, OPP-0442857, ANT-0838776]; Antarctic Science Bursary; Australian Museum; Scripps Institution of Oceanography; University of South Florida; Directorate For Geosciences; Office of Polar Programs (OPP) [1043749] Funding Source: National Science Foundation</t>
  </si>
  <si>
    <t>US National Science Foundation Office of Polar Programs Antarctic Organisms and Ecosystems Program; Antarctic Science Bursary; Australian Museum; Scripps Institution of Oceanography(University of California System); University of South Florida; Directorate For Geosciences; Office of Polar Programs (OPP)(National Science Foundation (NSF)NSF - Directorate for Geosciences (GEO))</t>
  </si>
  <si>
    <t>This research was supported by the US National Science Foundation Office of Polar Programs Antarctic Organisms and Ecosystems Program (ANT-1043749 to NGW; OPP-0442857 and ANT-0838776 to BJB), an Antarctic Science Bursary (to NGW), The Australian Museum, Scripps Institution of Oceanography and the University of South Florida. The funders had no role in study design, data collection and analysis, decision to publish, or preparation of the manuscript.</t>
  </si>
  <si>
    <t>e80277</t>
  </si>
  <si>
    <t>10.1371/journal.pone.0080277</t>
  </si>
  <si>
    <t>WOS:000327546400018</t>
  </si>
  <si>
    <t>Miller, MF</t>
  </si>
  <si>
    <t>Miller, Martin F.</t>
  </si>
  <si>
    <t>Oxygen isotope anomaly not present in water vapor from Alert, Canada</t>
  </si>
  <si>
    <t>[Miller, Martin F.] British Antarctic Survey, Cambridge CB3 0ET, England</t>
  </si>
  <si>
    <t>Miller, MF (corresponding author), Open Univ, Milton Keynes MK7 6AA, Bucks, England.</t>
  </si>
  <si>
    <t>mfm@bas.ac.uk</t>
  </si>
  <si>
    <t>Miller, Martin F./AAG-7303-2022; Miller, Martin F./AFL-7337-2022</t>
  </si>
  <si>
    <t>Miller, Martin F./0000-0002-7735-0098; Miller, Martin F./0000-0002-7735-0098</t>
  </si>
  <si>
    <t>E4567</t>
  </si>
  <si>
    <t>10.1073/pnas.1318925110</t>
  </si>
  <si>
    <t>257NB</t>
  </si>
  <si>
    <t>WOS:000327390400001</t>
  </si>
  <si>
    <t>Lisboa, MP; Dudley, GB</t>
  </si>
  <si>
    <t>Lisboa, Marilda P.; Dudley, Gregory B.</t>
  </si>
  <si>
    <t>Synthesis of Cytotoxic Palmerolides</t>
  </si>
  <si>
    <t>CHEMISTRY-A EUROPEAN JOURNAL</t>
  </si>
  <si>
    <t>fragment assembly; marine natural products; melanoma; natural product synthesis; palmerolide</t>
  </si>
  <si>
    <t>FORMAL TOTAL-SYNTHESIS; TUNICATE SYNOICUM-ADAREANUM; CATALYTIC ENANTIOSELECTIVE ALLYLBORATION; KOBAYASHI ALDOL REACTION; MARINE NATURAL-PRODUCT; CARBON BOND-CLEAVAGE; H+-ATPASE; ENANTIOSPECIFIC SYNTHESIS; REVISED STRUCTURES; PROTON PUMPS</t>
  </si>
  <si>
    <t>The chemical synthesis of the palmerolides is the subject of this review. The palmerolides are a family of Antarctic marine natural products, many of which display potent and selective cytotoxicity against melanoma cells. The confluence of promising bioactivities, limited natural supplies, and complex structures makes the palmerolides exciting targets for chemical synthesis. To date, several approaches have been reported, and a consensus strategy based on convergent fragment assembly has emerged. Collective wisdom from myriad approaches reviewed here may enable hybrid strategies capable of delivering larger amounts of synthetic palmerolides to support continued biological studies. Considering the relative lack of options for melanoma chemotherapy and the intriguing activity profile of the palmerolides, efforts aimed at developing an efficient, gram-scale synthesis of palmerolide A and congeneric structures should be given a high priority.</t>
  </si>
  <si>
    <t>[Lisboa, Marilda P.; Dudley, Gregory B.] Florida State Univ, Dept Chem &amp; Biochem, Tallahassee, FL 32306 USA</t>
  </si>
  <si>
    <t>State University System of Florida; Florida State University</t>
  </si>
  <si>
    <t>Dudley, GB (corresponding author), Florida State Univ, Dept Chem &amp; Biochem, 95 Chieftan Way, Tallahassee, FL 32306 USA.</t>
  </si>
  <si>
    <t>gdudley@chem.fsu.edu</t>
  </si>
  <si>
    <t>National Science Foundation [NSF-CHE 0749918]; FSU Department of Chemistry and Biochemistry; CAPES-Fulbright Graduate Research Fellowship; Division Of Chemistry; Direct For Mathematical &amp; Physical Scien [1300722] Funding Source: National Science Foundation</t>
  </si>
  <si>
    <t>National Science Foundation(National Science Foundation (NSF)); FSU Department of Chemistry and Biochemistry; CAPES-Fulbright Graduate Research Fellowship; Division Of Chemistry; Direct For Mathematical &amp; Physical Scien(National Science Foundation (NSF)NSF - Directorate for Mathematical &amp; Physical Sciences (MPS))</t>
  </si>
  <si>
    <t>This work was supported by the National Science Foundation (NSF-CHE 0749918) and the FSU Department of Chemistry and Biochemistry. M. P. L. is a recipient of the CAPES-Fulbright Graduate Research Fellowship (2008).</t>
  </si>
  <si>
    <t>WILEY-V C H VERLAG GMBH</t>
  </si>
  <si>
    <t>WEINHEIM</t>
  </si>
  <si>
    <t>BOSCHSTRASSE 12, D-69469 WEINHEIM, GERMANY</t>
  </si>
  <si>
    <t>0947-6539</t>
  </si>
  <si>
    <t>1521-3765</t>
  </si>
  <si>
    <t>CHEM-EUR J</t>
  </si>
  <si>
    <t>Chem.-Eur. J.</t>
  </si>
  <si>
    <t>NOV 25</t>
  </si>
  <si>
    <t>10.1002/chem.201302167</t>
  </si>
  <si>
    <t>295IP</t>
  </si>
  <si>
    <t>WOS:000330110100001</t>
  </si>
  <si>
    <t>Kleinteich, J; Wood, SA; Puddick, J; Schleheck, D; Küpper, FC; Dietrich, D</t>
  </si>
  <si>
    <t>Kleinteich, Julia; Wood, Susanna A.; Puddick, Jonathan; Schleheck, David; Kuepper, Frithjof C.; Dietrich, Daniel</t>
  </si>
  <si>
    <t>Potent toxins in Arctic environments - Presence of saxitoxins and an unusual microcystin variant in Arctic freshwater ecosystems</t>
  </si>
  <si>
    <t>CHEMICO-BIOLOGICAL INTERACTIONS</t>
  </si>
  <si>
    <t>Saxitoxin; Microcystin; Gene analysis; Cyanobacterial mats; Arctic; Climate change</t>
  </si>
  <si>
    <t>TANDEM MASS-SPECTROMETRY; CYANOBACTERIAL TOXINS; BLOOMS; GENES; LAKE; IDENTIFICATION; PLANKTOTHRIX; TOXICITY; EUTROPHICATION; BIOSYNTHESIS</t>
  </si>
  <si>
    <t>Cyanobacteria are the predominant phototrophs in freshwater ecosystems of the polar regions where they commonly form extensive benthic mats. Despite their major biological role in these ecosystems, little attention has been paid to their physiology and biochemistry. An important feature of cyanobacteria from the temperate and tropical regions is the production of a large variety of toxic secondary metabolites. In Antarctica, and more recently in the Arctic, the cyanobacterial toxins microcystin and nodularin (Antarctic only) have been detected in freshwater microbial mats. To date other cyanobacterial toxins have not been reported from these locations. Five Arctic cyanobacterial communities were screened for saxitoxin, another common cyanobacterial toxin, and microcystins using immunological, spectroscopic and molecular methods. Saxitoxin was detected for the first time in cyanobacteria from the Arctic. In addition, an unusual microcystin variant was identified using liquid chromatography-mass spectrometry. Gene expression analyses confirmed the analytical findings, whereby parts of the sxt and mcy operon involved in saxitoxin and microcystin synthesis, were detected and sequenced in one and five of the Arctic cyanobacterial samples, respectively. The detection of these compounds in the cryosphere improves the understanding of the biogeography and distribution of toxic cyanobacteria globally. The sequences of sxt and mcy genes provided from this habitat for the first time may help to clarify the evolutionary origin of toxin production in cyanobacteria. (C) 2013 Elsevier Ireland Ltd. All rights reserved.</t>
  </si>
  <si>
    <t>[Kleinteich, Julia; Dietrich, Daniel] Univ Konstanz, D-78457 Constance, Germany; [Wood, Susanna A.] Cawthron Inst, Nelson 7042, New Zealand; [Wood, Susanna A.; Puddick, Jonathan] Univ Waikato, Hamilton 2001, New Zealand; [Schleheck, David] Univ Konstanz, D-78464 Constance, Germany; [Kuepper, Frithjof C.] Scottish Assoc Marine Sci, Oban PA37 1QA, Argyll, Scotland; [Kuepper, Frithjof C.] Univ Aberdeen, Oceanlab, Newburgh AB41 6AA, Scotland</t>
  </si>
  <si>
    <t>University of Konstanz; Cawthron Institute; University of Waikato; University of Konstanz; UHI Millennium Institute; University of Aberdeen</t>
  </si>
  <si>
    <t>Dietrich, D (corresponding author), Univ Konstanz, Jacob Burckhardtstr 25, D-78457 Constance, Germany.</t>
  </si>
  <si>
    <t>Julia.Kleinteich@uni-konstanz.de; Susie.Wood@cawthron.org.nz; jp34@waikato.ac.nz; David.Schleheck@uni-konstanz.de; fkuepper@abdn.ac.uk; Daniel.Dietrich@uni-konstanz.de</t>
  </si>
  <si>
    <t>Dietrich, Daniel/AAP-8698-2021</t>
  </si>
  <si>
    <t>Kuepper, Frithjof/0000-0003-1273-7109; Puddick, Jonathan/0000-0001-7000-9180</t>
  </si>
  <si>
    <t>Deutsche Forschungsgemeinschaft (DFG) Dietrich [DI698/18-1]; TOTAL Foundation (Paris); UK Natural Environment Research Council (NERC , WP 4.3 of Oceans core funding ) at the Scottish Association for Marine Science; NERC [dml010007] Funding Source: UKRI; Natural Environment Research Council [dml010007] Funding Source: researchfish</t>
  </si>
  <si>
    <t>Deutsche Forschungsgemeinschaft (DFG) Dietrich(German Research Foundation (DFG)); TOTAL Foundation (Paris); UK Natural Environment Research Council (NERC , WP 4.3 of Oceans core funding ) at the Scottish Association for Marine Science(UK Research &amp; Innovation (UKRI)Natural Environment Research Council (NERC)); NERC(UK Research &amp; Innovation (UKRI)Natural Environment Research Council (NERC)); Natural Environment Research Council(UK Research &amp; Innovation (UKRI)Natural Environment Research Council (NERC))</t>
  </si>
  <si>
    <t>We would like to acknowledge the Deutsche Forschungsgemeinschaft (DFG)-funded project DI698/18-1 Dietrich. We are grateful to the TOTAL Foundation (Paris) and the UK Natural Environment Research Council (NERC, WP 4.3 of Oceans 2025 core funding to FCK at the Scottish Association for Marine Science) for funding the expedition to Baffin Island and within this context Olivier Dargent, Nice, France, and Dr. Pieter van West, University of Aberdeen, UK, for collecting and photographing Arctic cyanobacterial communities in Baffin Island. We would also like to thank the Carl Zeiss Stiftung and the Excellence Initiative of the University of Konstanz, Germany, for funding the PhD project of J.K. and APECS (Association of Polar Early Career Scientists) for their educational support.Furthermore, we acknowledge the support of the European Community research infrastructure action under the FP7 'capacities' specific program ASSEMBLE No. 227788. For assistance with the microcystin thiol derivatization we would like to thank Dr. Chris Miles (Norwegian Veterinary Institute, Norway). For technical support and new ideas we are very grateful to Heinke Bastek, Kathrin Leinweber and Lisa Zimmermann from the University of Konstanz, Germany, Martina Sattler, University of Jena, Germany, and Dr. Anne Jungblut from the Natural History Museum, London, UK as well as Wendy Jackson (University of Waikato, New Zealand) for valued technical assistance.</t>
  </si>
  <si>
    <t>ELSEVIER IRELAND LTD</t>
  </si>
  <si>
    <t>CLARE</t>
  </si>
  <si>
    <t>ELSEVIER HOUSE, BROOKVALE PLAZA, EAST PARK SHANNON, CO, CLARE, 00000, IRELAND</t>
  </si>
  <si>
    <t>0009-2797</t>
  </si>
  <si>
    <t>1872-7786</t>
  </si>
  <si>
    <t>CHEM-BIOL INTERACT</t>
  </si>
  <si>
    <t>Chem.-Biol. Interact.</t>
  </si>
  <si>
    <t>10.1016/j.cbi.2013.04.011</t>
  </si>
  <si>
    <t>Biochemistry &amp; Molecular Biology; Pharmacology &amp; Pharmacy; Toxicology</t>
  </si>
  <si>
    <t>273GK</t>
  </si>
  <si>
    <t>WOS:000328523100035</t>
  </si>
  <si>
    <t>Evans, MR; Bithell, M; Cornell, SJ; Dall, SRX; Díaz, S; Emmott, S; Ernande, B; Grimm, V; Hodgson, DJ; Lewis, SL; Mace, GM; Morecroft, M; Moustakas, A; Murphy, E; Newbold, T; Norris, KJ; Petchey, O; Smith, M; Travis, JMJ; Benton, TG</t>
  </si>
  <si>
    <t>Evans, Matthew R.; Bithell, Mike; Cornell, Stephen J.; Dall, Sasha R. X.; Diaz, Sandra; Emmott, Stephen; Ernande, Bruno; Grimm, Volker; Hodgson, David J.; Lewis, Simon L.; Mace, Georgina M.; Morecroft, Michael; Moustakas, Aristides; Murphy, Eugene; Newbold, Tim; Norris, K. J.; Petchey, Owen; Smith, Matthew; Travis, Justin M. J.; Benton, Tim G.</t>
  </si>
  <si>
    <t>Predictive systems ecology</t>
  </si>
  <si>
    <t>modelling; systems ecology; climate change; ecosystem assessment</t>
  </si>
  <si>
    <t>END-TO-END; TERRESTRIAL BIOSPHERE MODEL; KRILL EUPHAUSIA-SUPERBA; SCOTIA SEA; EVOLUTIONARY BIOLOGY; ENVIRONMENTAL-CHANGE; POPULATION-DYNAMICS; ECOSYSTEM SERVICES; FORMAL DARWINISM; SPATIAL MODELS</t>
  </si>
  <si>
    <t>Human societies, and their well-being, depend to a significant extent on the state of the ecosystems that surround them. These ecosystems are changing rapidly usually in response to anthropogenic changes in the environment. To determine the likely impact of environmental change on ecosystems and the best ways to manage them, it would be desirable to be able to predict their future states. We present a proposal to develop the paradigm of predictive systems ecology, explicitly to understand and predict the properties and behaviour of ecological systems. We discuss the necessary and desirable features of predictive systems ecology models. There are places where predictive systems ecology is already being practised and we summarize a range of terrestrial and marine examples. Significant challenges remain but we suggest that ecology would benefit both as a scientific discipline and increase its impact in society if it were to embrace the need to become more predictive.</t>
  </si>
  <si>
    <t>[Evans, Matthew R.; Moustakas, Aristides] Queen Mary Univ London, Sch Biol &amp; Chem Sci, London E1 4NS, England; [Bithell, Mike] Univ Cambridge, Dept Geog, Cambridge CB2 3EN, England; [Cornell, Stephen J.] Univ Liverpool, Inst Integrat Biol, Liverpool L69 7ZB, Merseyside, England; [Dall, Sasha R. X.; Hodgson, David J.] Univ Exeter, Coll Life &amp; Environm Sci, Ctr Ecol &amp; Conservat, Exeter TR10 9EZ, Devon, England; [Diaz, Sandra] Univ Nacl Cordoba, Inst Multidisciplinario Biol Vegetal CONICET UNC, RA-5000 Cordoba, Argentina; [Diaz, Sandra] Univ Nacl Cordoba, FCEFyN, RA-5000 Cordoba, Argentina; [Emmott, Stephen; Smith, Matthew] Microsoft Res, Computat Sci Lab, Cambridge CB1 2FB, England; [Ernande, Bruno] IFREMER, Lab Ressources Halieut, F-62321 Boulogne Sur Mer, France; [Grimm, Volker] Helmhotz Ctr Environm Res, Dept Ecol Modelling, D-04318 Leipzig, Germany; [Lewis, Simon L.] Univ Leeds, Earth &amp; Biosphere Inst, Leeds LS2 9JT, W Yorkshire, England; [Mace, Georgina M.] UCL, Dept Genet Evolut &amp; Environm, Ctr Biodivers &amp; Environm Res, London WC1E 6BT, England; [Morecroft, Michael] Nat England, Winchester SO23 7BT, Hants, England; [Murphy, Eugene] British Antarctic Survey, Cambridge CB3 0ET, England; [Newbold, Tim] World Conservat Monitoring Ctr, United Nations Environm Programme, Cambridge CB3 0DL, England; [Norris, K. J.] Univ Reading, Sch Agr Policy &amp; Dev, Ctr Agrienvironm Res, Reading RG6 6AR, Berks, England; [Petchey, Owen] Univ Zurich, Inst Evolutionary Biol &amp; Environm Studies, CH-8057 Zurich, Switzerland; [Travis, Justin M. J.] Inst Biol &amp; Environm Sci, Aberdeen AB24 2TZ, Scotland; [Benton, Tim G.] Univ Leeds, Sch Biol, Leeds LS2 9JT, W Yorkshire, England</t>
  </si>
  <si>
    <t>University of London; Queen Mary University London; University of Cambridge; University of Liverpool; University of Exeter; National University of Cordoba; Consejo Nacional de Investigaciones Cientificas y Tecnicas (CONICET); National University of Cordoba; Microsoft; Ifremer; Helmholtz Association; Helmholtz Center for Environmental Research (UFZ); University of Leeds; University of London; University College London; UK Research &amp; Innovation (UKRI); Natural Environment Research Council (NERC); NERC British Antarctic Survey; University of Reading; University of Zurich; University of Aberdeen; University of Leeds</t>
  </si>
  <si>
    <t>Evans, MR (corresponding author), Queen Mary Univ London, Sch Biol &amp; Chem Sci, Mile End Rd, London E1 4NS, England.</t>
  </si>
  <si>
    <t>m.evans@qmul.ac.uk</t>
  </si>
  <si>
    <t>Díaz, Sandra/Q-9804-2018; Díaz, Sandra/ABE-7349-2020; Mace, Georgina M/I-3072-2016; Newbold, Tim/R-8958-2019; Petchey, Owen/D-8851-2011; Cornell, Stephen J/D-3955-2009; Moustakas, Aristides/ABE-2662-2020; Dall, Sasha/B-2642-2010; murphy, eugene/GZL-1620-2022; Benton, Tim G/C-6493-2009; Lewis, Simon L/I-9025-2012; Ernande, Bruno/C-1182-2008; Travis, Justin/B-8571-2014</t>
  </si>
  <si>
    <t>Díaz, Sandra/0000-0003-0012-4612; Díaz, Sandra/0000-0003-0012-4612; Mace, Georgina M/0000-0001-8965-5211; Newbold, Tim/0000-0001-7361-0051; Petchey, Owen/0000-0002-7724-1633; Dall, Sasha/0000-0001-9873-6507; Benton, Tim G/0000-0002-7448-1973; Hodgson, Dave/0000-0003-4220-2076; Moustakas, Aristides (Aris)/0000-0002-6334-747X; Smith, Matthew/0009-0007-5659-5225; Ernande, Bruno/0000-0002-0727-5774; Smith, Matthew/0000-0002-5401-1763; Lewis, Simon/0000-0002-8066-6851; Travis, Justin/0000-0002-5785-4272; Evans, Matthew/0000-0002-5630-7621</t>
  </si>
  <si>
    <t>Royal Society; NERC [bas0100025] Funding Source: UKRI; Natural Environment Research Council [bas0100025] Funding Source: researchfish</t>
  </si>
  <si>
    <t>Royal Society(Royal Society); NERC(UK Research &amp; Innovation (UKRI)Natural Environment Research Council (NERC)); Natural Environment Research Council(UK Research &amp; Innovation (UKRI)Natural Environment Research Council (NERC))</t>
  </si>
  <si>
    <t>This report arose from a Kavli Centre meeting sponsored by the Royal Society and organized by Matthew Evans, Ken Norris and Tim Benton.</t>
  </si>
  <si>
    <t>NOV 22</t>
  </si>
  <si>
    <t>10.1098/rspb.2013.1452</t>
  </si>
  <si>
    <t>298LH</t>
  </si>
  <si>
    <t>Green Published, hybrid, Green Submitted, Green Accepted</t>
  </si>
  <si>
    <t>WOS:000330324900004</t>
  </si>
  <si>
    <t>Huth, TJ; Place, SP</t>
  </si>
  <si>
    <t>Huth, Troy J.; Place, Sean P.</t>
  </si>
  <si>
    <t>De novo assembly and characterization of tissue specific transcriptomes in the emerald notothen, Trematomus bernacchii</t>
  </si>
  <si>
    <t>BMC GENOMICS</t>
  </si>
  <si>
    <t>DUPLEX-SPECIFIC NUCLEASE; FISH; COLD; TEMPERATURE; EXPRESSION; PROTEINS; REVEALS; GENE; EVOLUTION; RESPONSES</t>
  </si>
  <si>
    <t>Background: The notothenioids comprise a diverse group of fishes that rapidly radiated after isolation by the Antarctic Circumpolar Current approximately 14-25 million years ago. Given that evolutionary adaptation has led to finely tuned traits with narrow physiological limits in these organisms, this system provides a unique opportunity to examine physiological trade-offs and limits of adaptive responses to environmental perturbation. As such, notothenioids have a rich history with respect to studies attempting to understand the vulnerability of polar ecosystems to the negative impacts associated with global climate change. Unfortunately, despite being a model system for understanding physiological adaptations to extreme environments, we still lack fundamental molecular tools for much of the Nototheniidae family. Results: Specimens of the emerald notothen, Trematomus bernacchii, were acclimated for 28 days in flow-through seawater tanks maintained near ambient seawater temperatures (-1.5 degrees C) or at +4 degrees C. Following acclimation, tissue specific cDNA libraries for liver, gill and brain were created by pooling RNA from n = 5 individuals per temperature treatment. The tissue specific libraries were bar-coded and used for 454 pyrosequencing, which yielded over 700 thousand sequencing reads. A de novo assembly and annotation of these reads produced a functional transcriptome library of T. bernacchii containing 30,107 unigenes, 13,003 of which possessed significant homology to a known protein product. Digital gene expression analysis of these extremely cold adapted fish reinforced the loss of an inducible heat shock response and allowed the preliminary exploration into other elements of the cellular stress response. Conclusions: Preliminary exploration of the transcriptome of T. bernacchii under elevated temperatures enabled a semi-quantitative comparison to prior studies aimed at characterizing the thermal response of this endemic fish whose size, abundance and distribution has established it as a pivotal species in polar research spanning several decades. The comparison of these findings to previous studies demonstrates the efficacy of transcriptomics and digital gene expression analysis as tools in future studies of polar organisms and has greatly increased the available genomic resources for the suborder Notothenioidei, particularly in the Trematominae subfamily.</t>
  </si>
  <si>
    <t>[Huth, Troy J.; Place, Sean P.] Univ S Carolina, Dept Biol Sci, Columbia, SC 29208 USA; [Place, Sean P.] Univ S Carolina, Environm &amp; Sustainabil Program, Columbia, SC 29208 USA</t>
  </si>
  <si>
    <t>University of South Carolina System; University of South Carolina Columbia; University of South Carolina System; University of South Carolina Columbia</t>
  </si>
  <si>
    <t>Place, SP (corresponding author), Univ S Carolina, Dept Biol Sci, Columbia, SC 29208 USA.</t>
  </si>
  <si>
    <t>places@mailbox.sc.edu</t>
  </si>
  <si>
    <t>National Science Foundation (NSF) Grant [ANT-1040945]; Office of Polar Programs (OPP); Directorate For Geosciences [1040945] Funding Source: National Science Foundation</t>
  </si>
  <si>
    <t>National Science Foundation (NSF) Grant(National Science Foundation (NSF)); Office of Polar Programs (OPP); Directorate For Geosciences(National Science Foundation (NSF)NSF - Directorate for Geosciences (GEO))</t>
  </si>
  <si>
    <t>We are indebted to many individuals who assisted us during the course of this project. In particular, we thank members of B-199, Dr. Mackenzie Zippay, Dr. Jeff Dudycha, Laura Enzor, Evan Hunter and Allison 'Sandwich' Barden for assistance in obtaining Antarctic specimens. We would also like to thank the United States Antarctic Program, Raytheon Polar Sciences and Lockheed Martin for logistical and field support at McMurdo Station as well as the anonymous reviewers that provided constructive suggestions for improving this manuscript. This research was supported by a National Science Foundation (NSF) Grant (ANT-1040945) to S. P. Place.</t>
  </si>
  <si>
    <t>1471-2164</t>
  </si>
  <si>
    <t>BMC Genomics</t>
  </si>
  <si>
    <t>NOV 20</t>
  </si>
  <si>
    <t>10.1186/1471-2164-14-805</t>
  </si>
  <si>
    <t>274YQ</t>
  </si>
  <si>
    <t>WOS:000328642500001</t>
  </si>
  <si>
    <t>Garland, EC; Gedamke, J; Rekdahl, ML; Noad, MJ; Garrigue, C; Gales, N</t>
  </si>
  <si>
    <t>Garland, Ellen C.; Gedamke, Jason; Rekdahl, Melinda L.; Noad, Michael J.; Garrigue, Claire; Gales, Nick</t>
  </si>
  <si>
    <t>Humpback Whale Song on the Southern Ocean Feeding Grounds: Implications for Cultural Transmission</t>
  </si>
  <si>
    <t>EASTERN NORTH PACIFIC; MEGAPTERA-NOVAEANGLIAE; POPULATION-STRUCTURE; ACOUSTIC DETECTIONS; WINTERING GROUNDS; ATLANTIC-OCEAN; ZEALAND WATERS; NEW-CALEDONIA; BASIN SCALE; MIGRATION</t>
  </si>
  <si>
    <t>Male humpback whales produce a long, complex, and stereotyped song on low-latitude breeding grounds; they also sing while migrating to and from these locations, and occasionally in high-latitude summer feeding areas. All males in a population sing the current version of the constantly evolving display and, within an ocean basin, populations sing similar songs; however, this sharing can be complex. In the western and central South Pacific region there is repeated cultural transmission of song types from eastern Australia to other populations eastward. Song sharing is hypothesized to occur through several possible mechanisms. Here, we present the first example of feeding ground song from the Southern Ocean Antarctic Area V and compare it to song from the two closest breeding populations. The early 2010 song contained at least four distinct themes; these matched four themes from the eastern Australian 2009 song, and the same four themes from the New Caledonian 2010 song recorded later in the year. This provides evidence for at least one of the hypothesized mechanisms of song transmission between these two populations, singing while on shared summer feeding grounds. In addition, the feeding grounds may provide a point of acoustic contact to allow the rapid horizontal cultural transmission of song within the western and central South Pacific region and the wider Southern Ocean.</t>
  </si>
  <si>
    <t>[Garland, Ellen C.] NOAA, Natl Marine Mammal Lab, Alaska Fisheries Sci Ctr, Natl Marine Fisheries Serv, Seattle, WA USA; [Gedamke, Jason] NOAA, Ocean Acoust Program, Off Sci &amp; Technol, Natl Marine Fisheries Serv, Silver Spring, MD USA; [Rekdahl, Melinda L.; Noad, Michael J.] Univ Queensland, Sch Vet Sci, Cetacean Ecol &amp; Acoust Lab, Gatton, Qld, Australia; [Garrigue, Claire] Operat Cetaces, Noumea, New Caledonia; [Gales, Nick] Australian Marine Mammal Ctr, Australian Antarctic Div, Kingston, Tas, Australia</t>
  </si>
  <si>
    <t>National Oceanic Atmospheric Admin (NOAA) - USA; National Oceanic Atmospheric Admin (NOAA) - USA; University of Queensland; Australian Antarctic Division</t>
  </si>
  <si>
    <t>Garland, EC (corresponding author), NOAA, Natl Marine Mammal Lab, Alaska Fisheries Sci Ctr, Natl Marine Fisheries Serv, Seattle, WA USA.</t>
  </si>
  <si>
    <t>Ellen.Garland@noaa.gov</t>
  </si>
  <si>
    <t>Rekdahl, Melinda/L-3866-2019; Noad, Michael/D-7975-2013; garrigue, claire/I-4704-2016</t>
  </si>
  <si>
    <t>Rekdahl, Melinda/0000-0002-0575-435X; Noad, Michael/0000-0002-2799-8320; Garland, Ellen/0000-0002-8240-1267; garrigue, claire/0000-0002-8117-3370</t>
  </si>
  <si>
    <t>Australian government; New Zealand government; E&amp;P Sound and Marine Life Joint Industry Program; US Bureau of Ocean Energy Management, Regulation and Enforcement; National Research Council Postdoctoral Fellowship</t>
  </si>
  <si>
    <t>Australian government(Australian Government); New Zealand government; E&amp;P Sound and Marine Life Joint Industry Program; US Bureau of Ocean Energy Management, Regulation and Enforcement; National Research Council Postdoctoral Fellowship</t>
  </si>
  <si>
    <t>The Antarctic Whale Expedition cruise described in the manuscript was jointly funded by the Australian and New Zealand governments. At the time of the cruise, both Nick Gales and Jason Gedamke were employees of the Australian Government, and along with the other authors, were responsible for study design, data collection and analysis, decision to publish, and preparation of this manuscript. The recording of eastern Australian song was incidental to behavioural response studies being conducted on humpback whales. These studies were funded by the Australian Government (2009) and the E&amp;P Sound and Marine Life Joint Industry Program and the US Bureau of Ocean Energy Management, Regulation and Enforcement (2010). Song collection in New Caledonia was made possible by contributions from Fondation d'Entreprise Total and the Provinces Sud. ECG was supported by a National Research Council Postdoctoral Fellowship. These funding bodies had no role in the design of the current study, nor the decision to publish.</t>
  </si>
  <si>
    <t>e79422</t>
  </si>
  <si>
    <t>10.1371/journal.pone.0079422</t>
  </si>
  <si>
    <t>256LY</t>
  </si>
  <si>
    <t>WOS:000327313100021</t>
  </si>
  <si>
    <t>Brault, EK; Goebel, ME; Geisz, HN; Canuel, EA; Dickhut, RM</t>
  </si>
  <si>
    <t>Brault, Emily K.; Goebel, Michael E.; Geisz, Heidi N.; Canuel, Elizabeth A.; Dickhut, Rebecca M.</t>
  </si>
  <si>
    <t>Inter-Annual Variation of Persistent Organic Pollutants (POPS) in an Antarctic Top Predator Arctocephalus gazella</t>
  </si>
  <si>
    <t>NORTHERN FUR-SEAL; POLYCHLORINATED-BIPHENYLS; ORGANOCHLORINE RESIDUES; REPRODUCTIVE TRANSFER; STABLE-ISOTOPES; MARINE MAMMALS; KILLER WHALES; ORCINUS-ORCA; MILK; PCB</t>
  </si>
  <si>
    <t>Persistent organic pollutants (POPs), contaminants that may bioaccumulate in upper trophic level organisms, were detected in the milk of a top predator, the Antarctic fur seal (Arctocephalus gazella). Multiparous females had significantly lower concentrations of certain POPs (trans-nonachlor, p,p'-DDE, and several PCBs) in their milk than primiparous females, likely due to the annual lactational transfer of the POP burden from mother to pup. Furthermore, there were significant interannual differences in POP concentrations in multiparous females' milk from five breeding seasons between 2000 and 2011. Decreasing trends in concentrations of certain POPs over the recent decade coincide with declining global emissions, yet atmospheric concentrations in the Antarctic are not always consistent with global trends, suggesting that additional factors may contribute to temporal trends of POPs in fur seals. Climate shifts and corresponding availability of krill over the past decade were not consistent with trends observed in POP concentrations in fur seal milk, suggesting that climate may not be a key factor. Additional mechanisms, such as variability in the geographic ranges of individual seals during overwintering migrations are discussed and should be explored further.</t>
  </si>
  <si>
    <t>[Brault, Emily K.] Univ Calif Santa Cruz, Ocean Sci Dept, Santa Cruz, CA 95064 USA; [Goebel, Michael E.] NOAA Fisheries, Antarctic Ecosyst Res Div, Southwest Fisheries Sci Ctr, La Jolla, CA 92037 USA; [Geisz, Heidi N.; Canuel, Elizabeth A.; Dickhut, Rebecca M.] Coll William &amp; Mary, Virginia Inst Marine Sci, Gloucester Point, VA 23062 USA</t>
  </si>
  <si>
    <t>University of California System; University of California Santa Cruz; National Oceanic Atmospheric Admin (NOAA) - USA; William &amp; Mary; Virginia Institute of Marine Science</t>
  </si>
  <si>
    <t>Brault, EK (corresponding author), Univ Calif Santa Cruz, Ocean Sci Dept, 1156 High St, Santa Cruz, CA 95064 USA.</t>
  </si>
  <si>
    <t>ebrault@ucsc.edu</t>
  </si>
  <si>
    <t>National Science Foundation (NSF) [0838932]</t>
  </si>
  <si>
    <t>National Science Foundation (NSF)(National Science Foundation (NSF))</t>
  </si>
  <si>
    <t>We would like to acknowledge the National Science Foundation (NSF) for the funding to conduct this research (Award No. 0838932). Additionally, we would like to thank Elizabeth MacDonald and Michele Cochran for contributions to the chemical analyses, as well as Zachary Brown, Catarina Wor, and Dr. Andrew Wozniak for valuable insights in data analyses and presentation. We are grateful to the many field assistants that helped in capture and sample collection especially G.I. McDonald, Y. Tremblay, J.J. Lyons, R. Burner, Buchheit, N. Pussini, C. Bonin, and K. Pietrzak. We are also grateful for the support of Drs. Rennie S. Holt and George Watters, directors of the US-AMLR program and to Dr. D.P. Costa, UCSC for their support of Pinniped research at Cape Shirreff. All Antarctic fur seal research and sample collection was conducted under Marine Mammal Protection Act Permit Nos. 1024, 774-1649, 774-1847, and 16472-01 granted by the Office of Protected Resources, National Marine Fisheries Service. This paper is Contribution No. 3325 of the Virginia Institute of Marine Science, College of William &amp; Mary.</t>
  </si>
  <si>
    <t>NOV 19</t>
  </si>
  <si>
    <t>10.1021/es403577f</t>
  </si>
  <si>
    <t>257CI</t>
  </si>
  <si>
    <t>WOS:000327360600018</t>
  </si>
  <si>
    <t>Gurney, GG; Melbourne-Thomas, J; Geronimo, RC; Aliño, PM; Johnson, CR</t>
  </si>
  <si>
    <t>Gurney, Georgina G.; Melbourne-Thomas, Jessica; Geronimo, Rollan C.; Alino, Perry M.; Johnson, Craig R.</t>
  </si>
  <si>
    <t>Modelling Coral Reef Futures to Inform Management: Can Reducing Local-Scale Stressors Conserve Reefs under Climate Change?</t>
  </si>
  <si>
    <t>GREAT-BARRIER-REEF; INTEGRATED COASTAL MANAGEMENT; LIMITED GROWTH; HUMAN IMPACTS; GLOVERS REEF; RESILIENCE; SIMULATION; COMMUNITY; PHOSPHORUS; INTENSITY</t>
  </si>
  <si>
    <t>Climate change has emerged as a principal threat to coral reefs, and is expected to exacerbate coral reef degradation caused by more localised stressors. Management of local stressors is widely advocated to bolster coral reef resilience, but the extent to which management of local stressors might affect future trajectories of reef state remains unclear. This is in part because of limited understanding of the cumulative impact of multiple stressors. Models are ideal tools to aid understanding of future reef state under alternative management and climatic scenarios, but to date few have been sufficiently developed to be useful as decision support tools for local management of coral reefs subject to multiple stressors. We used a simulation model of coral reefs to investigate the extent to which the management of local stressors (namely poor water quality and fishing) might influence future reef state under varying climatic scenarios relating to coral bleaching. We parameterised the model for Bolinao, the Philippines, and explored how simulation modelling can be used to provide decision support for local management. We found that management of water quality, and to a lesser extent fishing, can have a significant impact on future reef state, including coral recovery following bleaching-induced mortality. The stressors we examined interacted antagonistically to affect reef state, highlighting the importance of considering the combined impact of multiple stressors rather than considering them individually. Further, by providing explicit guidance for management of Bolinao's reef system, such as which course of management action will most likely to be effective over what time scales and at which sites, we demonstrated the utility of simulation models for supporting management. Aside from providing explicit guidance for management of Bolinao's reef system, our study offers insights which could inform reef management more broadly, as well as general understanding of reef systems.</t>
  </si>
  <si>
    <t>[Gurney, Georgina G.] James Cook Univ, Australian Res Council Ctr Excellence Coral Reef, Townsville, Qld 4811, Australia; [Gurney, Georgina G.] Univ Tasmania, Sch Zool, Hobart, Tas, Australia; [Melbourne-Thomas, Jessica] Dept Sustainabil Environm Water Populat &amp; Communi, Australian Antarctic Div, Kingston, Tas, Australia; [Melbourne-Thomas, Jessica] Univ Tasmania, Antarctic Climate &amp; Ecosyst Cooperat Res Ctr, Hobart, Tas, Australia; [Geronimo, Rollan C.] Conservat Int Philippines, Quezon City, Philippines; [Alino, Perry M.] Univ Philippines, Inst Marine Sci, Quezon City 1101, Philippines; [Johnson, Craig R.] Univ Tasmania, Inst Marine &amp; Antarctic Studies, Hobart, Tas, Australia</t>
  </si>
  <si>
    <t>James Cook University; University of Tasmania; Australian Antarctic Division; University of Tasmania; Antarctic Climate &amp; Ecosystems Cooperative Research Centre (ACE CRC); University of the Philippines System; University of the Philippines Diliman; University of Tasmania</t>
  </si>
  <si>
    <t>Gurney, GG (corresponding author), James Cook Univ, Australian Res Council Ctr Excellence Coral Reef, Townsville, Qld 4811, Australia.</t>
  </si>
  <si>
    <t>georgina.gurney@gmail.com</t>
  </si>
  <si>
    <t>Gurney, Georgina/E-1782-2017; Melbourne-Thomas, Jess/N-2437-2019; Gurney, Georgina/X-9336-2019; Johnson, Craig/E-1788-2013</t>
  </si>
  <si>
    <t>Melbourne-Thomas, Jess/0000-0001-6585-876X; Gurney, Georgina/0000-0002-4884-7468; Johnson, Craig/0000-0002-9511-905X</t>
  </si>
  <si>
    <t>Modelling and Decision (MDS) working group of the Coral Reef Targeted Research and Capacity Building for Management Program (CRTR-CBMP)</t>
  </si>
  <si>
    <t>This work was supported by the Modelling and Decision (MDS) working group of the Coral Reef Targeted Research and Capacity Building for Management Program (CRTR-CBMP). The funders had no role in study design, data collection and analysis, decision to publish, or preparation of the manuscript.</t>
  </si>
  <si>
    <t>NOV 18</t>
  </si>
  <si>
    <t>e80137</t>
  </si>
  <si>
    <t>10.1371/journal.pone.0080137</t>
  </si>
  <si>
    <t>256KH</t>
  </si>
  <si>
    <t>Green Accepted, Green Published, gold</t>
  </si>
  <si>
    <t>WOS:000327308500117</t>
  </si>
  <si>
    <t>Corney, S; Grose, M; Bennett, JC; White, C; Katzfey, J; McGregor, J; Holz, G; Bindoff, NL</t>
  </si>
  <si>
    <t>Corney, Stuart; Grose, Michael; Bennett, James C.; White, Christopher; Katzfey, Jack; McGregor, John; Holz, Greg; Bindoff, Nathaniel L.</t>
  </si>
  <si>
    <t>Performance of downscaled regional climate simulations using a variable-resolution regional climate model: Tasmania as a test case</t>
  </si>
  <si>
    <t>RAINFALL VARIABILITY; AUSTRALIA; PRECIPITATION; TEMPERATURE; PROJECTIONS; UNCERTAINTY; CIRCULATION; VALIDATION; EXTREMES; TRENDS</t>
  </si>
  <si>
    <t>In this study we develop methods for dynamically downscaling output from six general circulation models (GCMs) for two emissions scenarios using a variable-resolution atmospheric climate model. The use of multiple GCMs and emissions scenarios gives an estimate of model range in projected changes to the mean climate across the region. By modeling the atmosphere at a very fine scale, the simulations capture processes that are important to regional weather and climate at length scales that are subgrid scale for the host GCM. We find that with a multistaged process of increased resolution and the application of bias adjustment methods, the ability of the simulation to reproduce observed conditions improves, with greater than 95% of the spatial variance explained for temperature and about 90% for rainfall. Furthermore, downscaling leads to a significant improvement for the temporal distribution of variables commonly used in applied analyses, reproducing seasonal variability in line with observations. This seasonal signal is not evident in the GCMs. This multistaged approach allows progressive improvement in the skill of the simulations in order to resolve key processes over the region with quantifiable improvements in the correlations with observations.</t>
  </si>
  <si>
    <t>[Corney, Stuart; Grose, Michael; White, Christopher; Holz, Greg; Bindoff, Nathaniel L.] Univ Tasmania, Antarctic Climate &amp; Ecosyst Cooperat Res Ctr, Hobart, Tas 7001, Australia; [Grose, Michael] CSIRO Marine &amp; Atmospher Res, Aspendale, Vic, Australia; [Bennett, James C.; Bindoff, Nathaniel L.] Univ Tasmania, Inst Marine &amp; Antarctic Studies, Hobart, Tas, Australia; [Bennett, James C.] CSIRO Land &amp; Water, Highett, Vic, Australia; [Katzfey, Jack; McGregor, John; Bindoff, Nathaniel L.] CSIRO Marine &amp; Atmospher Res, Ctr Australian Weather &amp; Climate Res, Aspendale, Vic, Australia</t>
  </si>
  <si>
    <t>University of Tasmania; Antarctic Climate &amp; Ecosystems Cooperative Research Centre (ACE CRC); Commonwealth Scientific &amp; Industrial Research Organisation (CSIRO); University of Tasmania; Commonwealth Scientific &amp; Industrial Research Organisation (CSIRO); Commonwealth Scientific &amp; Industrial Research Organisation (CSIRO)</t>
  </si>
  <si>
    <t>Corney, S (corresponding author), Univ Tasmania, Antarctic Climate &amp; Ecosyst Cooperat Res Ctr, Private Bag 80, Hobart, Tas 7001, Australia.</t>
  </si>
  <si>
    <t>Stuart.Corney@acecrc.org.au</t>
  </si>
  <si>
    <t>McGregor, John L/C-6646-2012; Bennett, James/C-8456-2013; Bindoff, Nathaniel Lee/C-8050-2011; Katzfey, Jack/AAQ-9845-2020; Katzfey, Jack J/K-1231-2012; Bindoff, Nathaniel Lee/IVV-0333-2023; Grose, Michael/AAV-1119-2021</t>
  </si>
  <si>
    <t>Bennett, James/0000-0002-4930-2638; Bindoff, Nathaniel Lee/0000-0001-5662-9519; Katzfey, Jack J/0000-0002-0604-8860; Bindoff, Nathaniel Lee/0000-0001-5662-9519; McGregor, John/0000-0003-2529-9849</t>
  </si>
  <si>
    <t>Australian government's Cooperative Research Centres Program through the ACE CRC; Office of Science, U.S. Department of Energy</t>
  </si>
  <si>
    <t>Australian government's Cooperative Research Centres Program through the ACE CRC(Australian GovernmentDepartment of Industry, Innovation and ScienceCooperative Research Centres (CRC) Programme); Office of Science, U.S. Department of Energy(United States Department of Energy (DOE))</t>
  </si>
  <si>
    <t>This work was part of the Climate Futures for Tasmania project (CFT) (http://www.acecrc.org.au/Research/Climate% 20Futures). CFT was made possible through funding and research support from a consortium of state and national partners. The work was supported by the Australian government's Cooperative Research Centres Program through the ACE CRC. We acknowledge the modeling groups, the Program for Climate Model Diagnosis and Intercomparison (PCMDI) and the WCRP's Working Group on Coupled Modeling (WGCM), for their roles in making available the WCRP CMIP3 multimodel data set. Support for this data set is provided by the Office of Science, U.S. Department of Energy. The contribution of ARC Centre of Excellence for Climate Systems Science is acknowledged by NLB (CE11E0098). We thank W. F. Budd (ACE CRC) for comments and discussion. Finally, we acknowledge the three anonymous reviewers whose comments have improved this paper.</t>
  </si>
  <si>
    <t>NOV 16</t>
  </si>
  <si>
    <t>10.1002/2013JD020087</t>
  </si>
  <si>
    <t>302NS</t>
  </si>
  <si>
    <t>Green Published, hybrid, Green Accepted</t>
  </si>
  <si>
    <t>WOS:000330611800003</t>
  </si>
  <si>
    <t>Verhulst, KR; Aydin, M; Saltzman, ES</t>
  </si>
  <si>
    <t>Verhulst, Kristal R.; Aydin, Murat; Saltzman, Eric S.</t>
  </si>
  <si>
    <t>Methyl chloride variability in the Taylor Dome ice core during the Holocene</t>
  </si>
  <si>
    <t>ATMOSPHERIC CH4 GRADIENT; HIGH-RESOLUTION; FIRN AIR; CLIMATE; METHANE; ANTARCTICA; GREENLAND; EMISSIONS; RECORD; CO2</t>
  </si>
  <si>
    <t>Methyl chloride (CH3Cl) is a naturally occurring, ozone-depleting trace gas and one of the most abundant chlorinated compounds in the atmosphere. CH3Cl was measured in air from the Taylor Dome ice core in East Antarctica to reconstruct an atmospheric record for the Holocene (11-0 kyr B. P.) and part of the last glacial period (50-30 kyr B. P.). CH3Cl variability throughout the Holocene is strikingly similar to that of atmospheric methane (CH4), with higher levels in the early and late Holocene, and a well-defined minimum during mid-Holocene. The sources and sinks of atmospheric CH3Cl and CH4 are located primarily in the tropics, and variations in their atmospheric levels likely reflect changes in tropical conditions. CH3Cl also appears to correlate with atmospheric CH4 during the last glacial period (50-30 kyr B. P.), although the temporal resolution of sampling is limited. The Taylor Dome data provide information about the range of natural variability of atmospheric CH3Cl and place a new constraint on the causes of past CH4 variability.</t>
  </si>
  <si>
    <t>[Verhulst, Kristal R.; Aydin, Murat; Saltzman, Eric S.] Univ Calif Irvine, Dept Earth Syst Sci, Irvine, CA 92697 USA</t>
  </si>
  <si>
    <t>University of California System; University of California Irvine</t>
  </si>
  <si>
    <t>Verhulst, KR (corresponding author), Univ Calif Irvine, Dept Earth Syst Sci, 1212 Croul Hall, Irvine, CA 92697 USA.</t>
  </si>
  <si>
    <t>k.verhulst@uci.edu</t>
  </si>
  <si>
    <t>National Science Foundation Antarctic Glaciology program [ANT-0636953, 1043780, 0839122]; UCI Libraries Open Access Publishing Fund; Directorate For Geosciences [1043780] Funding Source: National Science Foundation; Directorate For Geosciences; Office of Polar Programs (OPP) [0839122] Funding Source: National Science Foundation; Office of Polar Programs (OPP) [1043780] Funding Source: National Science Foundation</t>
  </si>
  <si>
    <t>National Science Foundation Antarctic Glaciology program(National Science Foundation (NSF)NSF - Directorate for Geosciences (GEO)); UCI Libraries Open Access Publishing Fund; Directorate For Geosciences(National Science Foundation (NSF)NSF - Directorate for Geosciences (GEO)); Directorate For Geosciences; Office of Polar Programs (OPP)(National Science Foundation (NSF)NSF - Directorate for Geosciences (GEO)); Office of Polar Programs (OPP)(National Science Foundation (NSF)NSF - Directorate for Geosciences (GEO))</t>
  </si>
  <si>
    <t>We thank the National Ice Core Laboratory for assistance in sampling the Taylor Dome ice core, P. Mayewski for calcium data, and Ed Brook for providing methane data, assistance with the Taylor Dome chronology, and helpful discussions which improved the manuscript. We would also like to thank two anonymous reviewers for their insightful comments which helped improve the manuscript. This research was funded by the National Science Foundation Antarctic Glaciology program under grants ANT-0636953, 1043780, 0839122. Partial funding for Open Access provided by the UCI Libraries Open Access Publishing Fund.</t>
  </si>
  <si>
    <t>10.1002/2013JD020197</t>
  </si>
  <si>
    <t>WOS:000330611800024</t>
  </si>
  <si>
    <t>Hofton, MA; Luthcke, SB; Blair, JB</t>
  </si>
  <si>
    <t>Hofton, M. A.; Luthcke, S. B.; Blair, J. B.</t>
  </si>
  <si>
    <t>Estimation of ICESat intercampaign elevation biases from comparison of lidar data in East Antarctica</t>
  </si>
  <si>
    <t>ICESat; elevation biases; mass balance</t>
  </si>
  <si>
    <t>SHEET MASS-BALANCE</t>
  </si>
  <si>
    <t>The Ice, Cloud, and land Elevation Satellite (ICESat) laser campaign elevation biases are estimated from an analysis of ICESat and airborne Land, Vegetation, and Ice Sensor lidar intrasensor and intersensor elevation differences from two regions of the Antarctic ice sheet that experienced minimal surface elevation change. Elevation observations are corrected for a combination of accumulation, melting, and firn densification processes and glacial isostatic adjustment. ICESat elevations are adjusted for the saturation and Gaussian-Centroid corrections. Relative to laser campaign L3I, biases are found to be less than approximate to 8cm, except for campaign L2E at 14.72cm corresponding to the time of a significant accumulation anomaly in East Antarctica. The intercampaign bias trend estimated from intersensor elevation differences computed over campaigns L2A to L2F (September 2003 to October 2009) excluding L2E is 1.040.48cm/yr. The intercampaign bias trend represents a correction to ICESat derived Antarctica mass balance of 11753Gt/yr.</t>
  </si>
  <si>
    <t>[Hofton, M. A.] Univ Maryland, Dept Geog Sci, College Pk, MD 20741 USA; [Luthcke, S. B.; Blair, J. B.] NASA, Goddard Space Flight Ctr, Greenbelt, MD 20771 USA</t>
  </si>
  <si>
    <t>University System of Maryland; University of Maryland College Park; National Aeronautics &amp; Space Administration (NASA); NASA Goddard Space Flight Center</t>
  </si>
  <si>
    <t>Hofton, MA (corresponding author), Univ Maryland, Dept Geog Sci, Lefrak Hall, College Pk, MD 20741 USA.</t>
  </si>
  <si>
    <t>mhofton@umd.edu</t>
  </si>
  <si>
    <t>Blair, James B/D-3881-2013; Hofton, Michelle/A-1186-2019; Beckley, Matthew/D-4547-2013; Luthcke, Scott B/D-6283-2012</t>
  </si>
  <si>
    <t>[NNX11AH69G]</t>
  </si>
  <si>
    <t>The authors would like to thank S. Ligtenberg, E. Ivins, M. Beckley, C. Shuman, an anonymous reviewer, and J. Stroeve for their input and reviews. M.H. was supported by grant NNX11AH69G.</t>
  </si>
  <si>
    <t>10.1002/2013GL057652</t>
  </si>
  <si>
    <t>263LT</t>
  </si>
  <si>
    <t>WOS:000327810800025</t>
  </si>
  <si>
    <t>Frankcombe, LM; Spence, P; Hogg, AM; England, MH; Griffies, SM</t>
  </si>
  <si>
    <t>Frankcombe, Leela M.; Spence, Paul; Hogg, Andrew McC.; England, Matthew H.; Griffies, Stephen M.</t>
  </si>
  <si>
    <t>Sea level changes forced by Southern Ocean winds</t>
  </si>
  <si>
    <t>sea level; Southern Ocean; Southern Annular Mode; regional sea level</t>
  </si>
  <si>
    <t>CLIMATE-CHANGE; MODEL; CIRCULATION</t>
  </si>
  <si>
    <t>On regional scales, changes in sea level are significantly affected by local dynamical changes. Westerly winds over the Southern Ocean have been strengthening and shifting southward in recent decades, and this change is projected to continue in the future. This study applies wind forcing anomalies to an eddy-permitting ocean model to study the dynamical response to a Southern Hemisphere westerly wind increase and/or southward shift. It is shown that the applied wind anomalies result in a change in sea surface slope across the Antarctic Circumpolar Current such that a fall in sea level occurs around the Antarctic continental margin. The Antarctic Circumpolar Current transport and regional sea level are particularly sensitive to latitudinal shifts in the wind, with a much more muted response found when only wind strengthening is applied. In addition to the local sea level changes, Southern Ocean winds also have a global effect through changing ocean heat content and the global overturning circulation.</t>
  </si>
  <si>
    <t>[Frankcombe, Leela M.; Spence, Paul; England, Matthew H.] Univ New S Wales, Climate Change Res Ctr, Sydney, NSW 2052, Australia; [Hogg, Andrew McC.] Australian Natl Univ, Res Sch Earth Sci, Canberra, ACT, Australia; [Griffies, Stephen M.] NOAA, Geophys Fluid Dynam Lab, Princeton, NJ USA</t>
  </si>
  <si>
    <t>University of New South Wales Sydney; Australian National University; National Oceanic Atmospheric Admin (NOAA) - USA</t>
  </si>
  <si>
    <t>Frankcombe, LM (corresponding author), Univ New S Wales, Climate Change Res Ctr, Level 4 Mathews Bldg, Sydney, NSW 2052, Australia.</t>
  </si>
  <si>
    <t>l.frankcombe@unsw.edu.au</t>
  </si>
  <si>
    <t>Hogg, Andy/AAZ-8733-2021; Frankcombe, Leela M/C-7003-2012; England, Matthew/A-7539-2011; Spence, Paul/IZE-7366-2023; Griffies, Stephen Matthew/N-9144-2019; Hogg, Andy McC./A-7553-2011</t>
  </si>
  <si>
    <t>Hogg, Andy/0000-0001-5898-7635; England, Matthew/0000-0001-9696-2930; Spence, Paul/0000-0001-5156-2204; Griffies, Stephen Matthew/0000-0002-3711-236X; Hogg, Andy McC./0000-0001-5898-7635; Frankcombe, Leela/0000-0001-6578-3200</t>
  </si>
  <si>
    <t>Australian Research Council; ARC Centre of Excellence for Climate System Science; Merit Allocation Scheme on the NCI National Facility at the ANU</t>
  </si>
  <si>
    <t>Australian Research Council(Australian Research Council); ARC Centre of Excellence for Climate System Science(Australian Research Council); Merit Allocation Scheme on the NCI National Facility at the ANU</t>
  </si>
  <si>
    <t>We thank W. Anderson, T. Delworth, and M. Winton at GFDL for support during this project, H.-C. Lee and W. Anderson for help running the interannual CORE simulation, and M. Ward for help running the perturbed NYF simulations. This work was supported by the Australian Research Council, including the ARC Centre of Excellence for Climate System Science, and an award under the Merit Allocation Scheme on the NCI National Facility at the ANU.</t>
  </si>
  <si>
    <t>10.1002/2013GL058104</t>
  </si>
  <si>
    <t>WOS:000327810800027</t>
  </si>
  <si>
    <t>Wang, Q; Danilov, S; Hellmer, H; Sidorenko, D; Schröter, J; Jung, T</t>
  </si>
  <si>
    <t>Wang, Q.; Danilov, S.; Hellmer, H.; Sidorenko, D.; Schroeter, J.; Jung, T.</t>
  </si>
  <si>
    <t>Enhanced cross-shelf exchange by tides in the western Ross Sea</t>
  </si>
  <si>
    <t>Ross Sea; cross-shelf exchange; tides; warm water intrusion; AABW; HSSW</t>
  </si>
  <si>
    <t>ANTARCTIC BOTTOM WATER; ICE SHELF; BAROTROPIC TIDES; CIRCULATION; OCEAN; VARIABILITY; BREAK</t>
  </si>
  <si>
    <t>The western Ross Sea is one of the key sites for cross-shelf water exchange around Antarctica. The mechanism through which tides affect the cross-shelf exchange in the northwestern Ross Sea is investigated using numerical simulations. Tides are found to increase the high-salinity shelf water (HSSW) outflow through the impact on the warm water intrusion of open ocean origin. The residual tidal currents are onshore along the Modified Circumpolar Deep Water pathway and therefore enhance its intrusion. Lighter ambient water adjacent to the HSSW increases the cross-flow density gradient, thus strengthening the HSSW export. At the same time, the onshore residual current and increased dilution of the HSSW have the potential to reduce the export rate. Owing to the existence of opposite tidal effects, the strongest HSSW export happens at the intermediate tidal forcing strength. The amplification of tides on cross-shelf exchange indicates that the relevant dynamical processes should be simulated or parameterized in climate models in order to adequately predict the ocean.</t>
  </si>
  <si>
    <t>[Wang, Q.; Danilov, S.; Hellmer, H.; Sidorenko, D.; Schroeter, J.; Jung, T.] Alfred Wegener Inst Polar &amp; Marine Res, D-27570 Bremerhaven, Germany</t>
  </si>
  <si>
    <t>Wang, Q (corresponding author), Alfred Wegener Inst Polar &amp; Marine Res, D-27570 Bremerhaven, Germany.</t>
  </si>
  <si>
    <t>qiang.wang@awi.de</t>
  </si>
  <si>
    <t>Schröter, Jens G/H-8806-2016; Jung, Thomas/J-5239-2012; Danilov, Sergey/S-6184-2016</t>
  </si>
  <si>
    <t>Schröter, Jens G/0000-0002-9240-5798; Jung, Thomas/0000-0002-2651-1293; Danilov, Sergey/0000-0001-8098-182X; Sidorenko, Dmitry/0000-0001-8579-6068; Hellmer, Hartmut/0000-0002-9357-9853; Wang, Qiang/0000-0002-2704-5394</t>
  </si>
  <si>
    <t>REKLIM initiative</t>
  </si>
  <si>
    <t>The authors thank the two anonymous reviewers for their helpful comments. The computational resources for this work were provided through the North-German Supercomputing Alliance (HLRN). Part of the financial support is provided by the REKLIM initiative.</t>
  </si>
  <si>
    <t>10.1002/2013GL058207</t>
  </si>
  <si>
    <t>WOS:000327810800031</t>
  </si>
  <si>
    <t>Tegtmeier, S; Hegglin, MI; Anderson, J; Bourassa, A; Brohede, S; Degenstein, D; Froidevaux, L; Fuller, R; Funke, B; Gille, J; Jones, A; Kasai, Y; Krüger, K; Kyrölä, E; Lingenfelser, G; Lumpe, J; Nardi, B; Neu, J; Pendlebury, D; Remsberg, E; Rozanov, A; Smith, L; Toohey, M; Urban, J; von Clarmann, T; Walker, KA; Wang, RHJ</t>
  </si>
  <si>
    <t>Tegtmeier, S.; Hegglin, M. I.; Anderson, J.; Bourassa, A.; Brohede, S.; Degenstein, D.; Froidevaux, L.; Fuller, R.; Funke, B.; Gille, J.; Jones, A.; Kasai, Y.; Krueger, K.; Kyrola, E.; Lingenfelser, G.; Lumpe, J.; Nardi, B.; Neu, J.; Pendlebury, D.; Remsberg, E.; Rozanov, A.; Smith, L.; Toohey, M.; Urban, J.; von Clarmann, T.; Walker, K. A.; Wang, R. H. J.</t>
  </si>
  <si>
    <t>SPARC Data Initiative: A comparison of ozone climatologies from international satellite limb sounders</t>
  </si>
  <si>
    <t>QUASI-BIENNIAL OSCILLATION; TECHNICAL NOTE; STRATOSPHERIC AEROSOL; RETRIEVAL ALGORITHM; ANTARCTIC OZONE; ERROR ANALYSIS; WATER-VAPOR; DATA SET; VALIDATION; O-3</t>
  </si>
  <si>
    <t>A comprehensive quality assessment of the ozone products from 18 limb-viewing satellite instruments is provided by means of a detailed intercomparison. The ozone climatologies in form of monthly zonal mean time series covering the upper troposphere to lower mesosphere are obtained from LIMS, SAGE I/II/III, UARS-MLS, HALOE, POAM II/III, SMR, OSIRIS, MIPAS, GOMOS, SCIAMACHY, ACE-FTS, ACE-MAESTRO, Aura-MLS, HIRDLS, and SMILES within 1978-2010. The intercomparisons focus on mean biases of annual zonal mean fields, interannual variability, and seasonal cycles. Additionally, the physical consistency of the data is tested through diagnostics of the quasi-biennial oscillation and Antarctic ozone hole. The comprehensive evaluations reveal that the uncertainty in our knowledge of the atmospheric ozone mean state is smallest in the tropical and midlatitude middle stratosphere with a 1 sigma multi-instrument spread of less than +/-5%. While the overall agreement among the climatological data sets is very good for large parts of the stratosphere, individual discrepancies have been identified, including unrealistic month-to-month fluctuations, large biases in particular atmospheric regions, or inconsistencies in the seasonal cycle. Notable differences between the data sets exist in the tropical lower stratosphere (with a spread of +/-30%) and at high latitudes (+/-15%). In particular, large relative differences are identified in the Antarctic during the time of the ozone hole, with a spread between the monthly zonal mean fields of +/-50%. The evaluations provide guidance on what data sets are the most reliable for applications such as studies of ozone variability, model-measurement comparisons, detection of long-term trends, and data-merging activities.</t>
  </si>
  <si>
    <t>[Tegtmeier, S.; Krueger, K.; Toohey, M.] GEOMAR Helmholtz Ctr Ocean Res Kiel, D-24105 Kiel, Germany; [Hegglin, M. I.] Univ Reading, Reading, Berks, England; [Anderson, J.] Hampton Univ, Hampton, VA 23668 USA; [Bourassa, A.; Degenstein, D.] Univ Saskatchewan, Saskatoon, SK, Canada; [Brohede, S.; Urban, J.] Chalmers, S-41296 Gothenburg, Sweden; [Froidevaux, L.; Fuller, R.; Neu, J.] CALTECH, Jet Prop Lab, Pasadena, CA USA; [Funke, B.] Inst Astrofis Andalucia, E-18080 Granada, Spain; [Gille, J.] Univ Colorado, Boulder, CO 80309 USA; [Jones, A.; Pendlebury, D.; Walker, K. A.] Univ Toronto, Toronto, ON, Canada; [Kasai, Y.] NICT, Koganei, Tokyo, Japan; [Kyrola, E.] Finnish Meteorol Inst, FIN-00101 Helsinki, Finland; [Lingenfelser, G.; Remsberg, E.] NASA, Langley Res Ctr, Hampton, VA 23665 USA; [Lumpe, J.] Computat Phys Inc, Boulder, CO USA; [Nardi, B.; Smith, L.] Natl Ctr Atmospher Res, Boulder, CO 80307 USA; [Rozanov, A.] Univ Bremen, Inst Environm Phys IUP, D-28359 Bremen, Germany; [von Clarmann, T.] Karlsruhe Inst Technol, D-76021 Karlsruhe, Germany; [Wang, R. H. J.] Georgia Inst Technol, Atlanta, GA 30332 USA</t>
  </si>
  <si>
    <t>Helmholtz Association; GEOMAR Helmholtz Center for Ocean Research Kiel; University of Reading; Hampton University; University of Saskatchewan; Chalmers University of Technology; California Institute of Technology; National Aeronautics &amp; Space Administration (NASA); NASA Jet Propulsion Laboratory (JPL); Consejo Superior de Investigaciones Cientificas (CSIC); CSIC - Instituto de Astrofisica de Andalucia (IAA); University of Colorado System; University of Colorado Boulder; University of Toronto; National Institute of Information &amp; Communications Technology (NICT) - Japan; Finnish Meteorological Institute; National Aeronautics &amp; Space Administration (NASA); NASA Langley Research Center; National Center Atmospheric Research (NCAR) - USA; University of Bremen; Helmholtz Association; Karlsruhe Institute of Technology; University System of Georgia; Georgia Institute of Technology</t>
  </si>
  <si>
    <t>Tegtmeier, S (corresponding author), GEOMAR Helmholtz Ctr Ocean Res Kiel, Dusternbrooker Weg 20, D-24105 Kiel, Germany.</t>
  </si>
  <si>
    <t>stegtmeier@geomar.de</t>
  </si>
  <si>
    <t>Toohey, Matthew/G-3129-2010; Fuller, Ryan/AGQ-9633-2022; Toohey, Matthew/AAL-1896-2021; Kyrölä, Erkki T/E-1835-2014; Hegglin, Michaela/D-7528-2017; Urban, Jo/F-9172-2010; Tegtmeier, Susann/HIA-0554-2022; KASAI, Yasuko/Q-3103-2018; Hegglin, Michaela/ABC-2799-2021; Funke, Bernd/C-2162-2008</t>
  </si>
  <si>
    <t>Toohey, Matthew/0000-0002-7070-405X; Hegglin, Michaela/0000-0003-2820-9044; Urban, Jo/0000-0001-7026-793X; Hegglin, Michaela/0000-0003-2820-9044; Rozanov, Alexei/0000-0003-4525-3223; Kyrola, Erkki/0000-0001-9197-9549; Funke, Bernd/0000-0003-0462-4702; SMITH, LESLEY/0000-0003-1141-8720</t>
  </si>
  <si>
    <t>WGL project TransBrom; European Union [226224-SHIVA]; National Aeronautics and Space Administration; CSA; Canadian Foundation for Climate and Atmospheric Sciences; Swedish National Space Board (SNSB); National Technology Agency of Finland (Tekes); Centre National d'Etudes Spatiales (CNES) in France; ESA; Academy of Finland [MIDAT (134325)]; German Aerospace Agency (DLR) within the project SADOS [50EE1105]; State and University of Bremen; National Oceanic and Atmospheric Administration's Educational Partnership Program Cooperative Remote Sensing Science and Technology Center (NOAA EPP CREST)</t>
  </si>
  <si>
    <t>WGL project TransBrom; European Union(European Union (EU)); National Aeronautics and Space Administration(National Aeronautics &amp; Space Administration (NASA)); CSA; Canadian Foundation for Climate and Atmospheric Sciences; Swedish National Space Board (SNSB); National Technology Agency of Finland (Tekes)(Finnish Funding Agency for Technology &amp; Innovation (TEKES)); Centre National d'Etudes Spatiales (CNES) in France(Centre National D'etudes Spatiales); ESA(European Space Agency); Academy of Finland(Research Council of Finland); German Aerospace Agency (DLR) within the project SADOS(Helmholtz AssociationGerman Aerospace Centre (DLR)); State and University of Bremen; National Oceanic and Atmospheric Administration's Educational Partnership Program Cooperative Remote Sensing Science and Technology Center (NOAA EPP CREST)</t>
  </si>
  <si>
    <t>These climatological comparisons have resulted from the work of the SPARC Data Initiative team which has been ongoing since 2009. The authors thank the relevant instrument teams, the various space agencies (CSA, ESA, NASA, JAXA and other national space agencies), and organizations such as CEOS-ACC and IGACO. We particularly thank the ISSI in Bern for facilitating two successful team meetings in Bern as part of the ISSI International Team activity program and SPARC and WCRP for travel support. The work from S. T. was funded from the WGL project TransBrom and the European Union's Seventh Framework Programme FP7/2007-2013 under grant agreement no 226224-SHIVA. M. I. H. thanks the CSA and ESA for supporting her work for the SPARC Data Initiative. Work at the Jet Propulsion Laboratory, California Institute of Technology, was performed under contract with the National Aeronautics and Space Administration. The ACE is a Canadian-led mission mainly supported by the CSA. Development of the ACE climatologies was supported by grants from the Canadian Foundation for Climate and Atmospheric Sciences and the CSA. Odin is a Swedish-led satellite project funded jointly by the Swedish National Space Board (SNSB), the CSA, the National Technology Agency of Finland (Tekes), the Centre National d'Etudes Spatiales (CNES) in France, and the third party mission programme of ESA. The work of E. K. was supported by the Academy of Finland through the project MIDAT (134325). The work of the University Bremen team was funded in part by the German Aerospace Agency (DLR) within the project SADOS (50EE1105) and by the State and University of Bremen. The work from Hampton University was partially funded under the National Oceanic and Atmospheric Administration's Educational Partnership Program Cooperative Remote Sensing Science and Technology Center (NOAA EPP CREST). We thank ECMWF for service and support and the German Weather Service (DWD) for providing access to the ECMWF data base.</t>
  </si>
  <si>
    <t>10.1002/2013JD019877</t>
  </si>
  <si>
    <t>WOS:000330611800025</t>
  </si>
  <si>
    <t>Fastook, JL; Hughes, TJ</t>
  </si>
  <si>
    <t>Fastook, J. L.; Hughes, T. J.</t>
  </si>
  <si>
    <t>New perspectives on paleoglaciology</t>
  </si>
  <si>
    <t>Quaternary Ice Age; Glaciation cycles; Sea ice; Ice shelves; Ice sheets; Glacial geology; Marine geology; Arctic Ocean; White Hole; Megafloods</t>
  </si>
  <si>
    <t>LAURENTIDE ICE-SHEET; LAST GLACIAL MAXIMUM; CENTRAL ARCTIC-OCEAN; NORTHERN BARENTS; FRESH-WATER; KARA SEA; SHELF; DEGLACIATION; GREENLAND; CLIMATE</t>
  </si>
  <si>
    <t>Paleoglaciology deals with glaciation cycles of the Quaternary Ice Age. It combines the dynamics of present-day ice sheets deduced from glaciology with the history of former ice sheets deduced from glacial geology. Cosmogenic dating now makes a detailed chronology of a cycle possible. Radiocarbon dating has provided a detailed chronology for Termination of the last cycle, but cannot date how the cycle began. Here we identify the central challenge in applying paleoglaciology to Quaternary glaciation cycles in general, and initiation of these cycles in particular. The challenge is the role of thickening sea ice in the Arctic Ocean, possibly becoming thick ice shelves floating over deep Arctic basins and high marine ice sheets grounded on shallow Arctic continental shelves. In that case, an Arctic Ice Sheet existed that was larger and less stable than the Antarctic Ice Sheet is now or in the past. Two approaches to this problem are presented as Part 1 and Part 2. In Part 1, the height of these former ice sheets is linked primarily to the strength of ice-bed coupling, which is deduced from glacial geology. It provides snapshots of ice sheets that give ice elevations independent of the past history and largely independent of ice-surface conditions, temperatures and the mass balance in particular. In Part 2, heights of former ice sheets depend on both their past history, particularly initial conditions, and changing surface conditions during the glaciation cycle. This provides a motion picture of ice sheets during the full cycle. The challenge is to establish a mind meld of these two approaches. They allow new perspectives on paleoglaciology. (C) 2013 Elsevier Ltd. All rights reserved.</t>
  </si>
  <si>
    <t>[Fastook, J. L.] Univ Maine, Climate Change Inst, Dept Comp Sci, Orono, ME USA; [Hughes, T. J.] Univ Maine, Climate Change Inst, Sch Earth &amp; Climate Sci, Ft Pierre, SD USA</t>
  </si>
  <si>
    <t>University of Maine System; University of Maine Orono</t>
  </si>
  <si>
    <t>Hughes, TJ (corresponding author), Univ Maine, Climate Change Inst, Sch Earth &amp; Climate Sci, 404 North 6th St, Ft Pierre, SD USA.</t>
  </si>
  <si>
    <t>terry.hughes@maine.edu</t>
  </si>
  <si>
    <t>Fastook, James L./J-1465-2019; Hughes, Thomas J. R./AAL-8013-2020</t>
  </si>
  <si>
    <t>Fastook, James L./0000-0003-3900-671X; Hughes, Thomas J. R./0000-0001-7024-8368</t>
  </si>
  <si>
    <t>Center for Remote Sensing of Ice Sheets (CReSIS) at the University of Kansas; U.S. National Science Foundation (NSF); National Aeronautics and Space Administration (NASA); University of Maine</t>
  </si>
  <si>
    <t>Center for Remote Sensing of Ice Sheets (CReSIS) at the University of Kansas; U.S. National Science Foundation (NSF)(National Science Foundation (NSF)); National Aeronautics and Space Administration (NASA)(National Aeronautics &amp; Space Administration (NASA)); University of Maine</t>
  </si>
  <si>
    <t>This work was supported by the Center for Remote Sensing of Ice Sheets (CReSIS) at the University of Kansas, on a subcontract to the University of Maine. CReSIS receives support from the U.S. National Science Foundation (NSF) and the National Aeronautics and Space Administration (NASA). We thank Shawn Marshall and an anonymous reviewer for many constructive observations that required substantial revisions. Beverly Hughes assisted in producing and submitting this paper.</t>
  </si>
  <si>
    <t>NOV 15</t>
  </si>
  <si>
    <t>10.1016/j.quascirev.2013.08.023</t>
  </si>
  <si>
    <t>273FR</t>
  </si>
  <si>
    <t>WOS:000328521100011</t>
  </si>
  <si>
    <t>Xue, ZC; Rehkämper, M; Horner, TJ; Abouchami, W; Middag, R; van de Flierdt, T; de Baar, HJW</t>
  </si>
  <si>
    <t>Xue, Zichen; Rehkaemper, Mark; Horner, Tristan J.; Abouchami, Wafa; Middag, Rob; van de Flierdt, Tina; de Baar, Hein J. W.</t>
  </si>
  <si>
    <t>Cadmium isotope variations in the Southern Ocean</t>
  </si>
  <si>
    <t>stable isotopes; isotope fractionation; marine geochemistry; chemical oceanography; HNLC; cadmium</t>
  </si>
  <si>
    <t>ANTARCTIC INTERMEDIATE WATER; IRON LIMITATION; PHYTOPLANKTON GROWTH; PHOSPHORUS RATIO; CARBON-DIOXIDE; DRAKE PASSAGE; ZINC; CIRCULATION; MANGANESE; SEAWATER</t>
  </si>
  <si>
    <t>Cadmium concentrations and isotope compositions were determined for 47 seawater samples from the high nutrient low chlorophyll (HNLC) zone of the Atlantic sector of the Southern Ocean. The samples include 13 surface waters from a transect of the Weddell Gyre and 3 depth profiles from the Weddell Sea and Drake Passage. The Southern Ocean mixed layer samples from this study and Abouchami et al. (2011) define a clear but broad 'HNLC trend' in a plot of epsilon Cd-114/110 versus [Cd], which is primarily a consequence of isotopic fractionation associated with biological uptake (epsilon Cd-114/110 is the deviation of the Cd-114/Cd-110 ratio of a sample from NIST SRM 3108 Cd in parts per 10,000). The trend is especially apparent in comparison to the large range of values shown by a global set of seawater Cd data for shallow depths. The Southern Ocean samples are also distinguished by their relatively high Cd concentrations (typically 0.2 to 0.6 nmol/kg) and moderately fractionated epsilon Cd-114/110 (generally between +4 and +8) that reflect the limited biological productivity of this region. Detailed assessment reveals fine structure within the 'HNLC trend', which may record differences in the biological fractionation factor, different scenarios of closed and open system isotope fractionation, and/or distinct source water compositions. Southern Ocean seawater from depths &gt;= 1000 m has an average epsilon Cd-114/110 of +2.5 +/- 0.2 (2se, n = 16), and together with previous results this establishes a relatively constant epsilon Cd-114/110 value of +3.0 +/- 0.3 (2se, n = 27) for global deep waters. Significant isotopic variability was observed at intermediate depths in the Southern Ocean. Seawater from 200 m to 400 m in Weddell Sea has high Cd concentrations and epsilon Cd-114/110 as low as +1, presumably due to remineralization of Cd from biomass that records incomplete nutrient utilization. Antarctic Intermediate Water, which was sampled at 150 to 750 m depth in the, Drake Passage, features a distinct Cd isotope signature of epsilon Cd-114/110 approximate to +4, which reflects biological isotope fractionation at the surface and subsequent mixing into the ocean interior. Taken together, our results demonstrate that coupled Cd isotope and concentration data provide valuable insights into the distribution and biological cycling of Cd in the water column. The highly systematic nature of Cd isotope signatures may furthermore prove to be of utility for future research in marine geochemistry and paleoceanography. (C) 2013 Elsevier B.V. All rights reserved.</t>
  </si>
  <si>
    <t>[Xue, Zichen; Rehkaemper, Mark; van de Flierdt, Tina] Univ London Imperial Coll Sci Technol &amp; Med, Dept Earth Sci &amp; Engn, London SW7 2AZ, England; [Horner, Tristan J.] Univ Oxford, Dept Earth Sci, Oxford OX1 3AN, England; [Horner, Tristan J.] Woods Hole Oceanog Inst, Dept Marine Chem &amp; Geochem, Woods Hole, MA 02543 USA; [Abouchami, Wafa] WWU Munster, Inst Mineral, D-48149 Munster, Germany; [Abouchami, Wafa] Max Planck Inst Chem, D-55020 Mainz, Germany; [Middag, Rob; de Baar, Hein J. W.] Royal Netherlands Inst Sea Res, NL-1790 AB Den Burg, Netherlands; [Middag, Rob] Univ Otago, Dept Chem, Dunedin 9054, New Zealand</t>
  </si>
  <si>
    <t>Imperial College London; University of Oxford; Woods Hole Oceanographic Institution; University of Munster; Max Planck Society; Utrecht University; Royal Netherlands Institute for Sea Research (NIOZ); University of Otago</t>
  </si>
  <si>
    <t>Rehkämper, M (corresponding author), Univ London Imperial Coll Sci Technol &amp; Med, Dept Earth Sci &amp; Engn, London SW7 2AZ, England.</t>
  </si>
  <si>
    <t>markrehk@imperial.ac.uk</t>
  </si>
  <si>
    <t>; Middag, Rob/D-6423-2013</t>
  </si>
  <si>
    <t>Horner, Tristan/0000-0003-1784-0391; Middag, Rob/0000-0002-3326-530X; Rehkamper, Mark/0000-0002-0075-9872</t>
  </si>
  <si>
    <t>NERC [NE/G008973/1]; NERC [NE/J021636/1, NE/G008973/1] Funding Source: UKRI; Natural Environment Research Council [NE/G008973/1, NE/J021636/1] Funding Source: researchfish</t>
  </si>
  <si>
    <t>NERC(UK Research &amp; Innovation (UKRI)Natural Environment Research Council (NERC)); NERC(UK Research &amp; Innovation (UKRI)Natural Environment Research Council (NERC)); Natural Environment Research Council(UK Research &amp; Innovation (UKRI)Natural Environment Research Council (NERC))</t>
  </si>
  <si>
    <t>The authors thank Barry Coles, Katharina Kreissig, Rasmus Andreasen, Roz Coggon and the other members of the MAGIC team for their help in keeping the mass spec and clean lab functioning. Steve Galer, Gideon Henderson, Claudine Stirling, Myriam Lambelet, Andy Ridgwell and Jorn Bruggeman are thanked for discussions. We are also grateful to an anonymous referee for helpful comments, Greg de Souza for a particularly insightful review, which helped to significantly reshape and improve the manuscript, and Jean Lynch-Stieglitz for patient editorial handling. This research was supported by NERC grant NE/G008973/1.</t>
  </si>
  <si>
    <t>10.1016/j.epsl.2013.09.014</t>
  </si>
  <si>
    <t>255HD</t>
  </si>
  <si>
    <t>WOS:000327229100018</t>
  </si>
  <si>
    <t>Lee, MR; Sofe, MR; Lindgren, P; Starkey, NA; Franchi, IA</t>
  </si>
  <si>
    <t>Lee, M. R.; Sofe, M. R.; Lindgren, P.; Starkey, N. A.; Franchi, I. A.</t>
  </si>
  <si>
    <t>The oxygen isotope evolution of parent body aqueous solutions as recorded by multiple carbonate generations in the Lonewolf Nunataks 94101 CM2 carbonaceous chondrite</t>
  </si>
  <si>
    <t>REPLACEMENT REACTIONS; ARAGONITE; BODIES; CALCITE; TEMPERATURE; MATRIX</t>
  </si>
  <si>
    <t>The CM2 carbonaceous chondrite LON 94101 contains aragonite and two generations of calcite that provide snapshots of the chemical and isotopic evolution of aqueous solutions during parent body alteration. Aragonite was the first carbonate to crystallize. It is rare, heterogeneously distributed within the meteorite matrix, and its mean oxygen isotope values are delta O-18 39.9 +/- 0.6 parts per thousand, Delta O-17 -0.3 +/- 1.0 parts per thousand (1 sigma). Calcite precipitated soon afterwards, and following a fall in solution Mg/Ca ratios, to produce small equant grains with a mean oxygen isotope value of delta O-18 37.5 +/- 0.7 parts per thousand, Delta O-17 1.4 +/- 1.1 parts per thousand (1 sigma). These grains were partially or completely replaced by serpentine and tochilinite prior to precipitation of the second generation of calcite, which occluded an open fracture to form a millimetre-sized vein, and replaced anhydrous silicates within chondrules and the matrix. The vein calcite has a mean composition of delta O-18 18.4 +/- 0.3 parts per thousand, Delta O-17 -0.5 +/- 0.5 parts per thousand (1 sigma). Petrographic and isotopic results therefore reveal two discrete episodes of mineralisation that produced calcite generations with contrasting delta O-18, and mean Delta O-17 values. The aragonite and equant calcite crystallized over a relatively brief period early in the aqueous alteration history of the parent body, and from static fluids that were evolving chemically in response to mineral dissolution and precipitation. The second calcite generation crystallized from solutions of a lower Delta O-17, and a lower delta O-18 and/or higher temperature. As two generations of calcite whose petrographic characteristics and oxygen isotopic compositions are similar to those in LON 94101 occur in at least one other CM2, multiphase carbonate mineralisation could be the typical outcome of the sequence of chemical reactions during parent body aqueous alteration. It is equally possible however that the second generation of calcite formed in response to an event such as impact fracturing and concomitant fluid mobilisation that affected a large region of the common parent body of several CM2 meteorites. These findings show that integrated petrographic, chemical and isotopic studies can provide new insights into the mechanisms of parent body alteration including the spatial and temporal dynamics of the aqueous system. (c) 2013 Published by Elsevier Ltd.</t>
  </si>
  <si>
    <t>[Lee, M. R.; Sofe, M. R.; Lindgren, P.] Univ Glasgow, Sch Geog &amp; Earth Sci, Glasgow G12 8QQ, Lanark, Scotland; [Starkey, N. A.; Franchi, I. A.] Open Univ, Milton Keynes MK7 6AA, Bucks, England</t>
  </si>
  <si>
    <t>University of Glasgow; Open University - UK</t>
  </si>
  <si>
    <t>Lindgren, P (corresponding author), Univ Glasgow, Sch Geog &amp; Earth Sci, Gregory Bldg, Glasgow G12 8QQ, Lanark, Scotland.</t>
  </si>
  <si>
    <t>paula.lindgren@glasgow.ac.uk</t>
  </si>
  <si>
    <t>Lee, Martin/Q-1040-2019</t>
  </si>
  <si>
    <t>Lee, Martin/0000-0002-6004-3622</t>
  </si>
  <si>
    <t>STFC; STFC [ST/G001693/1, ST/K000942/1, ST/I001964/1] Funding Source: UKRI; Science and Technology Facilities Council [ST/G001693/1, ST/K000942/1, ST/I001964/1] Funding Source: researchfish</t>
  </si>
  <si>
    <t>STFC(UK Research &amp; Innovation (UKRI)Science &amp; Technology Facilities Council (STFC)); STFC(UK Research &amp; Innovation (UKRI)Science &amp; Technology Facilities Council (STFC)); Science and Technology Facilities Council(UK Research &amp; Innovation (UKRI)Science &amp; Technology Facilities Council (STFC))</t>
  </si>
  <si>
    <t>We are grateful to the NASA Antarctic meteorite collection for loan of the LON 94101 thin section, Peter Chung for help with the SEM work, Chris Hayward for assistance with EPMA analyses, and Nick Kamenos for statistical advice. NanoSIMS access through UKCAN is gratefully acknowledged, and we thank STFC for supporting this research. Careful and knowledgeable reviews from Kazushige Tomeoka and Mark Tyra substantially improved this manuscript.</t>
  </si>
  <si>
    <t>10.1016/j.gca.2013.07.010</t>
  </si>
  <si>
    <t>226ZR</t>
  </si>
  <si>
    <t>hybrid, Green Accepted</t>
  </si>
  <si>
    <t>WOS:000325077100028</t>
  </si>
  <si>
    <t>Alhazzaa, R; Bridle, AR; Mori, TA; Barden, AE; Nichols, PD; Carter, CG</t>
  </si>
  <si>
    <t>Alhazzaa, Ramez; Bridle, Andrew R.; Mori, Trevor A.; Barden, Anne E.; Nichols, Peter D.; Carter, Chris G.</t>
  </si>
  <si>
    <t>Echium oil is better than rapeseed oil in improving the response of barramundi to a disease challenge</t>
  </si>
  <si>
    <t>FOOD CHEMISTRY</t>
  </si>
  <si>
    <t>Eicosanoid; Fish oil; Infection; LC-PUFA; Stearidonic acid</t>
  </si>
  <si>
    <t>POLYUNSATURATED FATTY-ACIDS; STEARIDONIC ACID; LATES-CALCARIFER; TEMPERATURE-ACCLIMATION; PROSTAGLANDIN SYNTHESIS; EICOSAPENTAENOIC ACID; STREPTOCOCCUS-INIAE; ATLANTIC SALMON; N-3; METABOLISM</t>
  </si>
  <si>
    <t>Pathogen infection stimulates the fatty acid (FA) metabolism and the production of pro-inflammatory derivatives of FA. Barramundi, Lates calcarifer, was fed on a diet rich in preformed long-chain (&gt;= C-20) polyunsaturated fatty acids (LC-PUFA) from fish oil (FO), to compare with diets containing high levels of C-18 precursors for LC-PUFA - stearidonic (SDA) and gamma-linolenic acid (GLA) - from Echium plantagineum (EO), or rapeseed oil (RO) rich in alpha-linolenic acid (ALA), but a poor source of LC-PUFA and their precursors. After 6 weeks, when growth rates were similar amongst the dietary treatments, a sub-lethal dose of Streptococcus iniae was administered to half of the fish, while the other half were maintained unchallenged and were pair-fed with the infected fish. Under a disease challenge situation, the tissue FA depots depleted at 3 days post-infection (DPI) and were then restored to their previous concentrations at 7 DPI. During the infection period, EO fish had a higher content of n3 and n6 PUFA in their tissues, higher n3:n6 PUFA ratio and reduced levels of the eicosanoids, TXB2 and 6-keto-PGF(1 alpha), in their plasma compared with RO fish. Fish fed on FO and EO had a longer lasting and enduring response in their FA and eicosanoid concentrations, following a week of bacterial infection, compared with those fed on RO. EO, containing SDA and GLA and with a comparatively higher n3:n6 PUFA ratio, proved more effective than RO in compensating for immunity stress. (C) 2013 Elsevier Ltd. All rights reserved.</t>
  </si>
  <si>
    <t>[Alhazzaa, Ramez; Bridle, Andrew R.] Univ Tasmania, Natl Ctr Marine Conservat &amp; Resource Sustainabil, Launceston, Tas 7250, Australia; [Alhazzaa, Ramez; Nichols, Peter D.] CSIRO, Food Futures Flagship, Div Marine &amp; Atmospher Res, Hobart, Tas 7001, Australia; [Mori, Trevor A.; Barden, Anne E.] Univ Western Australia, Sch Med &amp; Pharmacol, Perth, WA 6000, Australia; [Carter, Chris G.] Univ Tasmania, Inst Marine &amp; Antarctic Studies, Hobart, Tas 7001, Australia</t>
  </si>
  <si>
    <t>University of Tasmania; Commonwealth Scientific &amp; Industrial Research Organisation (CSIRO); University of Western Australia; University of Tasmania</t>
  </si>
  <si>
    <t>Alhazzaa, R (corresponding author), Deakin Univ, Sch Life &amp; Environm Sci, Geelong, Vic 3217, Australia.</t>
  </si>
  <si>
    <t>ramez.alhazzaa@deakin.edu.au</t>
  </si>
  <si>
    <t>Carter, Chris Guy/A-3438-2008; Mori, Trevor Anthony/H-5485-2014; Bridle, Andrew R/B-4117-2013; Alhazzaa, Ramez/C-2307-2008; Nichols, Peter D/C-5128-2011</t>
  </si>
  <si>
    <t>Carter, Chris Guy/0000-0001-5210-1282; Mori, Trevor Anthony/0000-0002-5264-9229; Alhazzaa, Ramez/0000-0001-9762-0377; Barden, Anne/0000-0001-7631-0767; Bridle, Andrew/0000-0002-5788-1297</t>
  </si>
  <si>
    <t>EIPRS at UTas; CSIRO Food Futures Scholarship; FSBI Small Research Grant</t>
  </si>
  <si>
    <t>We are grateful to J. Carson for donating the bacteria, M.P. Mansour for laboratory assistance, D. Holdsworth for management of the GC-MS facility and M. Abeywardena for commenting on the manuscript. R. Alhazzaa was supported by EIPRS at UTas, a CSIRO Food Futures Scholarship and an FSBI Small Research Grant.</t>
  </si>
  <si>
    <t>0308-8146</t>
  </si>
  <si>
    <t>1873-7072</t>
  </si>
  <si>
    <t>FOOD CHEM</t>
  </si>
  <si>
    <t>Food Chem.</t>
  </si>
  <si>
    <t>10.1016/j.foodchem.2013.04.052</t>
  </si>
  <si>
    <t>Chemistry, Applied; Food Science &amp; Technology; Nutrition &amp; Dietetics</t>
  </si>
  <si>
    <t>Chemistry; Food Science &amp; Technology; Nutrition &amp; Dietetics</t>
  </si>
  <si>
    <t>183GW</t>
  </si>
  <si>
    <t>WOS:000321803500104</t>
  </si>
  <si>
    <t>Brand, U; Azmy, K; Bitner, MA; Logan, A; Zuschin, M; Came, R; Ruggiero, E</t>
  </si>
  <si>
    <t>Brand, Uwe; Azmy, K.; Bitner, M. A.; Logan, A.; Zuschin, M.; Came, R.; Ruggiero, E.</t>
  </si>
  <si>
    <t>Oxygen isotopes and MgCO3 in brachiopod calcite and a new paleotemperature equation</t>
  </si>
  <si>
    <t>CHEMICAL GEOLOGY</t>
  </si>
  <si>
    <t>Modern brachiopod calcite; delta O-18 equilibrium; Shell SrCO3 and MgCO3 contents; Paleotemperature equation; delta O-18(SW)-salinity habitat relationship</t>
  </si>
  <si>
    <t>LIOTHYRELLA-UVA BRODERIP; SURFACE-TEMPERATURE; CARBON; MAGNESIUM; METABOLISM; SHELL; STRONTIUM; GROWTH; VALUES; FRACTIONATION</t>
  </si>
  <si>
    <t>Modern brachiopods and their ambient seawater, compiled from 34 localities, covering shallow-waters from the poles to the tropics were analyzed for their oxygen isotopic compositions, and SrCO3 and MgCO3 contents. If the routine seawater delta O-18 composition and the 'MgCO3 effect' on oxygen isotopes are considered in calculations, calcification temperatures are concordant with measured ambient seawater temperatures. The SrCO3 contents of modern brachiopods appear to be unrelated to ambient growth temperatures, while their MgCO3 contents exhibit some relationship with temperature and growth rate, controlled, in part, by ambient productivity or clearance rates or local environment, and by taxonomic affinity such as presence or absence of caeca. Linear least-squares regression analysis yields a new oxygen isotope paleotemperature equation for brachiopod calcite, which makes adjustment for shell MgCO3 contents, and covers habitats with water temperatures ranging from -2 degrees to +32 degrees C: T degrees C = 16.192-3.468(delta(c)-delta(SW)-Mg-c) (N = 319; R-2 = 0.98). The Mg-effect adjustment is based on the change in shell-calcite delta O-18 by +0.17 parts per thousand per mol% MgCO3 (Jimenez-Lopez et al., 2004). This adjustment is critical to the determination of calcification temperatures for modern articulated brachiopods, especially the ones from cold and warmwater habitats, and/or the ones with exceptionally low or high MgCO3 contents, which otherwise may be offset (lower or higher) by as much as 7 degrees C. Furthermore, this adjustment may be critical for fossil brachiopods and other marine calcitic invertebrates with variable MgCO3 contents, and when using their delta O-18 and Delta(47) for determining ancient seawater delta O-18 compositions and temperatures. (C) 2013 Elsevier B. V. All rights reserved.</t>
  </si>
  <si>
    <t>[Brand, Uwe] Brock Univ, Dept Earth Sci, St Catharines, ON L2S 3A1, Canada; [Azmy, K.] Mem Univ Newfoundland, Dept Earth Sci, St John, NF A1B 3X5, Canada; [Bitner, M. A.] Polish Acad Sci, Inst Paleobiol, PL-00818 Warsaw, Poland; [Logan, A.] Univ New Brunswick, Ctr Coastal Studies, St John, NB E2L 4L5, Canada; [Zuschin, M.] Univ Vienna, Dept Paleontol, A-1090 Vienna, Austria; [Came, R.] Univ New Hampshire, Dept Earth Sci, Durham, NH 03824 USA; [Ruggiero, E.] Univ Naples Federico II, Dipartimento Sci Terra, I-801380 Naples, Italy</t>
  </si>
  <si>
    <t>Brock University; Memorial University Newfoundland; Polish Academy of Sciences; Institute of Paleobiology of the Polish Academy of Sciences; University of New Brunswick; University of Vienna; University System Of New Hampshire; University of New Hampshire; University of Naples Federico II</t>
  </si>
  <si>
    <t>Brand, U (corresponding author), Brock Univ, Dept Earth Sci, St Catharines, ON L2S 3A1, Canada.</t>
  </si>
  <si>
    <t>uwe.brand@brocku.ca</t>
  </si>
  <si>
    <t>Zuschin, Martin/M-9951-2016; Bitner, Maria/ABF-5623-2020</t>
  </si>
  <si>
    <t>Zuschin, Martin/0000-0002-5235-0198; Bitner, Maria/0000-0002-2864-2967; Wang, yonghui/0000-0001-8120-2584</t>
  </si>
  <si>
    <t>Brock University; NSERC [7961]</t>
  </si>
  <si>
    <t>Brock University; NSERC(Natural Sciences and Engineering Research Council of Canada (NSERC))</t>
  </si>
  <si>
    <t>We thank E. Grossman and an anonymous reviewer for their incisive comments that greatly improved the manuscript. Also, thanks to M. Ouellette for technical assistance and M. Lozon for drafting services. Thank you to: B. Durzi, T. Durzi and N. Buckles (Cayman Islands), G. Maddock (Bermuda), S. Thomas (Barbados), M. Lamare and R. Major (New Zealand), D. Duggins, D. Willows and W. Krieger (Friday Harbor), G. Lundie, K. Layton, J. Batstone and C. Basler (Hudson Bay, and the Churchill Studies Centre for their hospitality), M. Ouellette (Jamaica), M. Strong and M. Ines-Buzeta (Bay of Fundy), R. Donnel (OSC-MUN), and A. Zaky (Egypt) for field assistance or sample collection. Special acknowledgement to L. Colin and P. Colin (Palau) for field sampling (water and brachiopods) under license RE-12-23 issued by the Bureau of Marine Resources, Republic of Palau. The Department of Fisheries and Oceans (Canada) gave permission (under section 52) to collect brachiopods in the Bay of Fundy National Marine Park, and special thanks to L. Peck (British Antarctic Survey) for a generous supply of brachiopods from Signy Island. This work was supported by a Brock University Chancellor's Research Chair award and by a NSERC grant (7961) to UB.</t>
  </si>
  <si>
    <t>0009-2541</t>
  </si>
  <si>
    <t>1872-6836</t>
  </si>
  <si>
    <t>CHEM GEOL</t>
  </si>
  <si>
    <t>Chem. Geol.</t>
  </si>
  <si>
    <t>NOV 14</t>
  </si>
  <si>
    <t>10.1016/j.chemgeo.2013.09.014</t>
  </si>
  <si>
    <t>254QA</t>
  </si>
  <si>
    <t>WOS:000327179000003</t>
  </si>
  <si>
    <t>Borda, E; Kudenov, JD; Chevaldonné, P; Blake, JA; Desbruyères, D; Fabri, MC; Hourdez, S; Pleijel, F; Shank, TM; Wilson, NG; Schulze, A; Rouse, GW</t>
  </si>
  <si>
    <t>Borda, Elizabeth; Kudenov, Jerry D.; Chevaldonne, Pierre; Blake, James A.; Desbruyeres, Daniel; Fabri, Marie-Claire; Hourdez, Stephane; Pleijel, Fredrik; Shank, Timothy M.; Wilson, Nerida G.; Schulze, Anja; Rouse, Greg W.</t>
  </si>
  <si>
    <t>Cryptic species of Archinome (Annelida: Amphinomida) from vents and seeps</t>
  </si>
  <si>
    <t>deep sea; hydrothermal vents; cold methane seeps; cryptic species; polychaete</t>
  </si>
  <si>
    <t>SEA HYDROTHERMAL VENTS; EAST PACIFIC RISE; RIFTIA-PACHYPTILA; GENETIC DIFFERENTIATION; MOLECULAR SYSTEMATICS; MITOCHONDRIAL-DNA; BIOGEOGRAPHY; BRESILIIDAE; POLYCHAETA; DISPERSAL</t>
  </si>
  <si>
    <t>Since its description from the Galapagos Rift in the mid-1980s, Archinome rosacea has been recorded at hydrothermal vents in the Pacific, Atlantic and Indian Oceans. Only recently was a second species described from the Pacific Antarctic Ridge. We inferred the identities and evolutionary relationships of Archinome representatives sampled from across the hydrothermal vent range of the genus, which is now extended to cold methane seeps. Species delimitation using mitochondrial cytochrome c oxidase subunit I (COI) recovered up to six lineages, whereas concatenated datasets (COI, 16S, 28S and ITS1) supported only four or five of these as clades. Morphological approaches alone were inconclusive to verify the identities of species owing to the lack of discrete diagnostic characters. We recognize five Archinome species, with three that are new to science. The new species, designated based on molecular evidence alone, include: Archinome levinae n. sp., which occurs at both vents and seeps in the east Pacific, Archinome tethyana n. sp., which inhabits Atlantic vents and Archinome jasoni n. sp., also present in the Atlantic, and whose distribution extends to the Indian and southwest Pacific Oceans. Biogeographic connections between vents and seeps are highlighted, as are potential evolutionary links among populations from vent fields located in the east Pacific and Atlantic Oceans, and Atlantic and Indian Oceans; the latter presented for the first time.</t>
  </si>
  <si>
    <t>[Borda, Elizabeth; Wilson, Nerida G.; Rouse, Greg W.] Univ Calif San Diego, Scripps Inst Oceanog, La Jolla, CA 93093 USA; [Kudenov, Jerry D.] Univ Alaska Anchorage, Dept Biol Sci, Anchorage, AK 99508 USA; [Chevaldonne, Pierre] Aix Marseille Univ, CNRS, Inst Mediterrane Biodiversite &amp; Ecol Marine &amp; Con, IMBE,UMR 7263,Stn Marine Endoume, F-13007 Marseille, France; [Blake, James A.] AECOM Marine &amp; Coastal Ctr, Woods Hole, MA 02543 USA; [Shank, Timothy M.] Woods Hole Oceanog Inst, Woods Hole, MA 02543 USA; [Desbruyeres, Daniel; Fabri, Marie-Claire] IFREMER, Ctr Brest, Dept Etud Ecosyst Profonds, F-29280 Plouzane, France; [Hourdez, Stephane] UPMC, CNRS, Stn Biol Roscoff, UMR 7127, F-29682 Roscoff, France; [Pleijel, Fredrik] Univ Gothenburg, Dept Marine Ecol, Stromstad, Sweden; [Borda, Elizabeth; Schulze, Anja] Texas A&amp;M Univ, Dept Marine Biol, Galveston, TX 77553 USA</t>
  </si>
  <si>
    <t>University of California System; University of California San Diego; Scripps Institution of Oceanography; University of Alaska System; University of Alaska Anchorage; Centre National de la Recherche Scientifique (CNRS); CNRS - Institute of Ecology &amp; Environment (INEE); Aix-Marseille Universite; Institut de Recherche pour le Developpement (IRD); Woods Hole Oceanographic Institution; Ifremer; Centre National de la Recherche Scientifique (CNRS); Sorbonne Universite; University of Gothenburg; Texas A&amp;M University System</t>
  </si>
  <si>
    <t>Borda, E (corresponding author), Univ Calif San Diego, Scripps Inst Oceanog, La Jolla, CA 93093 USA.</t>
  </si>
  <si>
    <t>lizborda@gmail.com; grouse@ucsd.edu</t>
  </si>
  <si>
    <t>Wilson, Nerida/G-8433-2011; Schulze, Anja/I-4215-2012; Rouse, Gregory/AAW-1494-2021; Wilson, Nerida G./AAC-1456-2019; Rouse, Greg W/F-2611-2010</t>
  </si>
  <si>
    <t>Wilson, Nerida/0000-0002-0784-0200; Rouse, Gregory/0000-0001-9036-9263; Rouse, Greg W/0000-0001-9036-9263; Borda, Elizabeth/0000-0003-1179-163X; FABRI, Marie-Claire/0000-0002-3505-7627; Chevaldonne, Pierre/0000-0003-0507-7747</t>
  </si>
  <si>
    <t>NSF [DBI-0706856]; Census of Marine Life TAWNI; SSB Mini-PEET; EOL Rubenstein Fellowship; [DBI-1036186]; [OCE-1029160]; Direct For Biological Sciences; Division Of Environmental Biology [1036186] Funding Source: National Science Foundation</t>
  </si>
  <si>
    <t>NSF(National Science Foundation (NSF)); Census of Marine Life TAWNI; SSB Mini-PEET; EOL Rubenstein Fellowship; ; ; Direct For Biological Sciences; Division Of Environmental Biology(National Science Foundation (NSF)NSF - Directorate for Biological Sciences (BIO))</t>
  </si>
  <si>
    <t>Financial support for this study was provided by NSF DBI-0706856, Census of Marine Life TAWNI, SSB Mini-PEET and EOL Rubenstein Fellowship (E.B.), with additional support from DBI-1036186 (A.S.) and OCE-1029160 (G.W.R.).</t>
  </si>
  <si>
    <t>NOV 7</t>
  </si>
  <si>
    <t>10.1098/rspb.2013.1876</t>
  </si>
  <si>
    <t>298KR</t>
  </si>
  <si>
    <t>WOS:000330323300012</t>
  </si>
  <si>
    <t>Harris, RMB; McQuillan, P; Hughes, L</t>
  </si>
  <si>
    <t>Harris, Rebecca M. B.; McQuillan, Peter; Hughes, Lesley</t>
  </si>
  <si>
    <t>Experimental Manipulation of Melanism Demonstrates the Plasticity of Preferred Temperature in an Agricultural Pest (Phaulacridium vittatum)</t>
  </si>
  <si>
    <t>CLIMATE-CHANGE; PHENOTYPIC PLASTICITY; BODY TEMPERATURES; WINGLESS GRASSHOPPER; THERMAL TOLERANCE; ORTHOPTERA; THERMOREGULATION; RESPONSES; ACRIDIDAE; INVASION</t>
  </si>
  <si>
    <t>Phenotypic plasticity is a key trait of successful pest species, and may increase the ability to cope with higher, more variable temperatures under climate change. We investigate the plasticity of preferred temperature in a widespread agricultural pest, the wingless grasshopper (Phaulacridium vittatum). Preferred temperature is a measure of thermoregulatory behaviour through habitat selection. It is influenced by melanism, which affects body temperature by determining the amount of radiation absorbed by the body. First we demonstrate that body temperature and preferred temperature in P. vittatum is influenced by melanism, by comparing the preferred temperature of the colour morphs in laboratory thermal gradients and field body temperatures in natural populations. We then test whether preferred temperature changes in response to changes in body temperature, by determining preferred temperature before and after manipulation of melanism by painting. When melanism was manipulated experimentally in live grasshoppers, preferred temperature changed to reflect the thermal qualities of the new colour. The preferred temperature of light grasshoppers increased after they were painted black, and decreased after being painted white. Similarly, dark individuals that were painted white behaved like a light individual, maintaining a lower body temperature. Preferred temperature in P. vittatum is a plastic thermoregulatory response to ambient temperature, mediated by the influence of melanism on body temperature.</t>
  </si>
  <si>
    <t>[Harris, Rebecca M. B.] Univ Tasmania, Antarctic Climate Ecosyst Cooperat Res Ctr, Hobart, Tas, Australia; [McQuillan, Peter] Univ Tasmania, Sch Geog &amp; Environm Studies, Hobart, Tas, Australia; [Hughes, Lesley] Macquarie Univ, Dept Biol Sci, N Ryde, NSW, Australia</t>
  </si>
  <si>
    <t>University of Tasmania; Antarctic Climate &amp; Ecosystems Cooperative Research Centre (ACE CRC); University of Tasmania; Macquarie University</t>
  </si>
  <si>
    <t>Harris, RMB (corresponding author), Univ Tasmania, Antarctic Climate Ecosyst Cooperat Res Ctr, Hobart, Tas, Australia.</t>
  </si>
  <si>
    <t>R.M.B.Harris@acecrc.org.au</t>
  </si>
  <si>
    <t>McQuillan, Peter B/C-2373-2014; Harris, Rebecca/N-2790-2013</t>
  </si>
  <si>
    <t>Harris, Rebecca/0000-0002-6426-2179; McQuillan, Peter/0000-0001-6334-372X; Hughes, Lesley/0000-0003-0313-9780</t>
  </si>
  <si>
    <t>Australian Postgraduate Award; ANZ (Australia and New Zealand Banking Group) Holsworth Wildlife Research Endowment</t>
  </si>
  <si>
    <t>Australian Postgraduate Award(Australian Government); ANZ (Australia and New Zealand Banking Group) Holsworth Wildlife Research Endowment</t>
  </si>
  <si>
    <t>RMH was the recipient of an Australian Postgraduate Award, and the study was partially funded by an ANZ (Australia and New Zealand Banking Group) Holsworth Wildlife Research Endowment. The funders had no role in study design, data collection and analysis, decision to publish, or preparation of the manuscript.</t>
  </si>
  <si>
    <t>NOV 6</t>
  </si>
  <si>
    <t>e80243</t>
  </si>
  <si>
    <t>10.1371/journal.pone.0080243</t>
  </si>
  <si>
    <t>247XD</t>
  </si>
  <si>
    <t>gold, Green Published, Green Submitted, Green Accepted</t>
  </si>
  <si>
    <t>WOS:000326656200116</t>
  </si>
  <si>
    <t>Zhou, MY; Wang, GL; Li, D; Zhao, DL; Qin, QL; Chen, XL; Chen, B; Zhou, BC; Zhang, XY; Zhang, YZ</t>
  </si>
  <si>
    <t>Zhou, Ming-Yang; Wang, Guang-Long; Li, Dan; Zhao, Dian-Li; Qin, Qi-Long; Chen, Xiu-Lan; Chen, Bo; Zhou, Bai-Cheng; Zhang, Xi-Ying; Zhang, Yu-Zhong</t>
  </si>
  <si>
    <t>Diversity of Both the Cultivable Protease-Producing Bacteria and Bacterial Extracellular Proteases in the Coastal Sediments of King George Island, Antarctica</t>
  </si>
  <si>
    <t>DEEP-SEA; COMMUNITIES; ENZYMES</t>
  </si>
  <si>
    <t>Protease-producing bacteria play a vital role in degrading sedimentary organic nitrogen. However, the diversity of these bacteria and their extracellular proteases in most regions remain unknown. In this paper, the diversity of the cultivable protease-producing bacteria and of bacterial extracellular proteases in the sediments of Maxwell Bay, King George Island, Antarctica was investigated. The cultivable protease-producing bacteria reached 10(5) cells/g in all 8 sediment samples. The cultivated protease-producing bacteria were mainly affiliated with the phyla Actinobacteria, Firmicutes, Bacteroidetes, and Proteobacteria, and the predominant genera were Bacillus (22.9%), Flavobacterium (21.0%) and Lacinutrix (16.2%). Among these strains, Pseudoalteromonas and Flavobacteria showed relatively high protease production. Inhibitor analysis showed that nearly all the extracellular proteases from the bacteria were serine proteases or metalloproteases. These results begin to address the diversity of protease-producing bacteria and bacterial extracellular proteases in the sediments of the Antarctic Sea.</t>
  </si>
  <si>
    <t>[Zhou, Ming-Yang; Wang, Guang-Long; Li, Dan; Zhao, Dian-Li; Qin, Qi-Long; Chen, Xiu-Lan; Zhou, Bai-Cheng; Zhang, Xi-Ying; Zhang, Yu-Zhong] Shandong Univ, State Key Lab Microbial Technol, Jinan 250100, Peoples R China; [Zhou, Ming-Yang; Wang, Guang-Long; Li, Dan; Zhao, Dian-Li; Qin, Qi-Long; Chen, Xiu-Lan; Zhou, Bai-Cheng; Zhang, Xi-Ying; Zhang, Yu-Zhong] Shandong Univ, Marine Biotechnol Res Ctr, Jinan 250100, Peoples R China; [Chen, Bo] Polar Res Inst China, SOA Key Lab Polar Sci, Shanghai, Peoples R China</t>
  </si>
  <si>
    <t>Shandong University; Shandong University; Polar Research Institute of China</t>
  </si>
  <si>
    <t>Zhang, XY (corresponding author), Shandong Univ, State Key Lab Microbial Technol, Jinan 250100, Peoples R China.</t>
  </si>
  <si>
    <t>zhangxiying@sdu.edu.cn</t>
  </si>
  <si>
    <t>Li, Huizhen/JPX-2563-2023; Zhang, Xi/HJH-1211-2023; Guo, yongqing/KDS-5864-2024; Zhou, Mingyang/IUP-4675-2023</t>
  </si>
  <si>
    <t>Hi-Tech Research and Development program of China [2012AA092105, 2012AA092103, 2011AA09070303]; National Natural Science Foundation of China [31025001, 31290231, 41106161, 31070061]; COMRA Program [DY125-15-T-05]; Special Fund of China for Marine-scientific Research in the Public Interest [201005032-6]; Independent Innovation Foundation of Shandong University [2009TS079]; Program of Shandong for Taishan Scholars [2008BS02019]; Foundation for Young Excellent Scientists in Shandong Province [BS2010SW015]</t>
  </si>
  <si>
    <t>Hi-Tech Research and Development program of China(National High Technology Research and Development Program of China); National Natural Science Foundation of China(National Natural Science Foundation of China (NSFC)); COMRA Program; Special Fund of China for Marine-scientific Research in the Public Interest; Independent Innovation Foundation of Shandong University; Program of Shandong for Taishan Scholars; Foundation for Young Excellent Scientists in Shandong Province</t>
  </si>
  <si>
    <t>The work was supported by Hi-Tech Research and Development program of China (2012AA092105, 2012AA092103, 2011AA09070303), National Natural Science Foundation of China (31025001, 31290231, 41106161, 31070061), COMRA Program (DY125-15-T-05), Special Fund of China for Marine-scientific Research in the Public Interest (201005032-6), Independent Innovation Foundation of Shandong University (2009TS079), Program of Shandong for Taishan Scholars, (2008BS02019), and Foundation for Young Excellent Scientists in Shandong Province (BS2010SW015). The funders had no role in study design, data collection and analysis, decision to publish, or preparation of the manuscript.</t>
  </si>
  <si>
    <t>NOV 4</t>
  </si>
  <si>
    <t>e79668</t>
  </si>
  <si>
    <t>10.1371/journal.pone.0079668</t>
  </si>
  <si>
    <t>245ZC</t>
  </si>
  <si>
    <t>WOS:000326503400135</t>
  </si>
  <si>
    <t>Henry, LV; Torres, JJ</t>
  </si>
  <si>
    <t>Henry, Lara V.; Torres, Joseph J.</t>
  </si>
  <si>
    <t>Metabolism of an Antarctic solitary coral, Flabellum impensum</t>
  </si>
  <si>
    <t>Antarctic; Flabellum impensum; Growth; Metabolism; Oxygen consumption; Solitary coral</t>
  </si>
  <si>
    <t>OXYGEN-CONSUMPTION; REEF CORALS; RESPIRATION; GROWTH; SCLERACTINIA; ZOOPLANKTON; ALABASTRUM; BEHAVIOR; DEPTH; RATES</t>
  </si>
  <si>
    <t>Few physiological or behavioral studies have been undertaken on the genus Flabellum, particularly on Antarctic species. The present study characterizes the metabolism of the endemic Antarctic coral F. impensum, one of the world's largest solitary corals, with measurements of oxygen consumption rate and metabolic enzyme activity. F. impensum had a low rate of oxygen consumption at 0 degrees C, ranging from 0.06 to 0.64 mu mol O-2 g(-1) h(-1) and averaging 0.31 mu mol O-2 g(-1) h(-1), calculated using tissue wet mass. Ammonium excretion averaged 421 nmol NH4+ g(wm)(-1) h(-1) (range: 0.54-13.99 nmol NH4+ g(wm)(-1) h(-1)). The activity values of the metabolic enzymes citrate synthase (CS), malate dehydrogenase (MDH), and lactate dehydrogenase (LDH) fell within the normal range expected for a cnidarian, averaging 0.13 (range: 0.04-032), 1.01(range: 0-3.51), and 0.42 (range: 0.18-0.99) activity units (U) g(wm)(-1) respectively. Skeletal density averaged 22% more than the density of pure aragonite and a count of the growth bands on the calyx suggests that this species has a linear extension rate of approximately 1 mm per year. F. impensum is a long-lived, slow-growing coral, with a low metabolic rate. (C) 2013 Elsevier B.V. All rights reserved.</t>
  </si>
  <si>
    <t>[Henry, Lara V.; Torres, Joseph J.] Univ S Florida, Coll Marine Sci, St Petersburg, FL 33701 USA</t>
  </si>
  <si>
    <t>State University System of Florida; University of South Florida</t>
  </si>
  <si>
    <t>Henry, LV (corresponding author), Univ S Florida, Coll Marine Sci, 140 7th Ave S, St Petersburg, FL 33701 USA.</t>
  </si>
  <si>
    <t>lvhenry@mail.usf.edu; jjtorres@usf.edu</t>
  </si>
  <si>
    <t>NSF [OCE0727883, OPP 0741348]; Office of Polar Programs (OPP); Directorate For Geosciences [0741348] Funding Source: National Science Foundation</t>
  </si>
  <si>
    <t>NSF(National Science Foundation (NSF)); Office of Polar Programs (OPP); Directorate For Geosciences(National Science Foundation (NSF)NSF - Directorate for Geosciences (GEO))</t>
  </si>
  <si>
    <t>We would like to thank the United States Antarctic Program, the crew and technicians aboard the RN Nathaniel B. Palmer, and all the hard-working scientists and graduate students who helped recover samples from the trawls. We would also like to thank Matthew Potter, Robert Masserini, and Tony Greco for help with data collection and the reviewers that helped to improve this manuscript. This study was conducted under NSF grants OCE0727883 and OPP 0741348 to J.J. Torres. [SS]</t>
  </si>
  <si>
    <t>NOV</t>
  </si>
  <si>
    <t>10.1016/j.jembe.2013.08.010</t>
  </si>
  <si>
    <t>AF3YB</t>
  </si>
  <si>
    <t>WOS:000334647500003</t>
  </si>
  <si>
    <t>Schoenrock, KM; Amsler, CD; McClintock, JB; Baker, BJ</t>
  </si>
  <si>
    <t>Schoenrock, Kathryn M.; Amsler, Charles D.; McClintock, James B.; Baker, Bill J.</t>
  </si>
  <si>
    <t>Endophyte presence as a potential stressor on growth and survival in Antarctic macroalgal hosts</t>
  </si>
  <si>
    <t>Algal symbioses; Growth; Pathogenic; Western Antarctic Peninsula</t>
  </si>
  <si>
    <t>MARINE MACROALGAE; ALGAL ENDOPHYTES; MESOGRAZERS; PENINSULA; EPIPHYTE</t>
  </si>
  <si>
    <t>Filamentous algal endophytes are common in many species of macroalgae along the Antarctic Peninsula, but their influence on host physiology is unknown. However, worldwide endophyte-macroalgae symbioses are known to be detrimental to vital functions of a host. The growth and survival of four Antarctic rhodophyte species were examined in situ under varying loads of endophyte infection. Growth was measured through relative growth rate and surface-area-corrected growth rate, and survivorship of individuals was documented throughout the experiment. The relationship between hosts and their endophytes was best described as innocuous in Myriogramme manginii, mildly pathogenic in Gymnogongrus turquetii and Trematocarpus antarcticus, and pathogenic in Iridaea cordata. Deterioration of thalli and decreased growth rates may be natural in the late austral summer when this experiment took place; however, the effects of increased infection probably expedited deterioration of the host. Endophytes in this study were pigmented green and brown filamentous algae, most of which are never seen as free-living thalli, and some of which may be obligate endophytes.</t>
  </si>
  <si>
    <t>[Schoenrock, Kathryn M.; Amsler, Charles D.; McClintock, James B.] Univ Alabama Birmingham, Birmingham, AL 35294 USA; [Baker, Bill J.] Univ S Florida, Tampa, FL 33620 USA</t>
  </si>
  <si>
    <t>University of Alabama System; University of Alabama Birmingham; State University System of Florida; University of South Florida</t>
  </si>
  <si>
    <t>Schoenrock, KM (corresponding author), Univ Alabama Birmingham, 1300 Univ Blvd,Rm 464, Birmingham, AL 35294 USA.</t>
  </si>
  <si>
    <t>ksrock@uab.edu</t>
  </si>
  <si>
    <t>Baker, Bill/N-4312-2019; Schoenrock, Kathryn/B-9082-2018</t>
  </si>
  <si>
    <t>Schoenrock, Kathryn/0000-0002-0407-3173; Amsler, Charles/0000-0002-4843-3759</t>
  </si>
  <si>
    <t>National Science Foundation from the Antarctic Organisms and Ecosystems program [ANT-0838773, ANT-0828776]</t>
  </si>
  <si>
    <t>National Science Foundation from the Antarctic Organisms and Ecosystems program(National Science Foundation (NSF)NSF - Directorate for Geosciences (GEO))</t>
  </si>
  <si>
    <t>This work would not be possible without the Raytheon Polar Services staff of Palmer Station and the University of Alabama at Birmingham/University of South Florida field teams including Maggie Amsler, Alan Maschek, Jason Cuce, Julie Schram, Bill Dent, Jackie Salm, and Ruth McDowell. Support for this work was provided by National Science Foundation awards ANT-0838773 (CDA, JBM) and ANT-0828776 (BJB) from the Antarctic Organisms and Ecosystems program.</t>
  </si>
  <si>
    <t>10.2216/13-188.1</t>
  </si>
  <si>
    <t>AD2WQ</t>
  </si>
  <si>
    <t>WOS:000333097500014</t>
  </si>
  <si>
    <t>Harrison, MF; Anderson, P; Miller, A; O'Malley, K; Richert, M; Johnson, J; Johnson, BD</t>
  </si>
  <si>
    <t>Harrison, Michael F.; Anderson, Paul; Miller, Andrew; O'Malley, Kathy; Richert, Maille; Johnson, Jacob; Johnson, Bruce D.</t>
  </si>
  <si>
    <t>Oral Contraceptive Use and Acute Mountain Sickness in South Pole Workers</t>
  </si>
  <si>
    <t>AVIATION SPACE AND ENVIRONMENTAL MEDICINE</t>
  </si>
  <si>
    <t>acute mountain sickness; oral contraceptive; progesterone; altitude; acetazolamide; Antarctica</t>
  </si>
  <si>
    <t>HIGH-ALTITUDE ILLNESS; MENSTRUAL-CYCLE; PROGESTERONE; HYPOXIA; MECHANISMS; BLOOD; ACETAZOLAMIDE; PRESSURE; RECEPTOR; GENDER</t>
  </si>
  <si>
    <t>Introduction: Progesterone has a number of properties that could influence the development of acute mountain sickness (AMS), including anti-inflammation, respiratory smooth muscle relaxation, ventilatory stimulation, and antidiuretic characteristics. Oral contraceptive (OC) use decreases levels of circulating progesterone by preventing ovulation. We hypothesized rates of AMS development would be significantly higher in OC users as compared to Non-OC users in a population traveling rapidly to the South Pole. Methods: There were 50 female subjects (OC N = 13, no OC N = 37) who traveled by airplane from Sea Level (SL) to Altitude (ALTD) (similar to 3200 m) in &lt; 4 h and were monitored for the development of AMS. SL and ALTD measurements of anthropometrics, vital signs, hematologic variables, blood chemistries, electrolytes, endocrine responses, and pulmonary function were assessed with t-test and Chi-square analyses, P &lt; 0.05. Results: As compared to Non-OC users, OC users had lower progesterone levels (ng center dot ml(-1)) at SL (0.7 +/- 0.5 vs. 3.2 +/- 4.6) and at ALTD (0.7 +/- 0.7 vs. 3.1 +/- 4.6). AMS was significantly more prevalent in OC users (85%) as compared to Non-OC users (51%). Acetazolamide prophylaxis was not protective, with a greater proportion of OC users (100%) developing AMS despite its use as compared to Non-OC users (50%). Blood pressure responses also differed significantly, with OC users displaying higher mean arterial pressures at ALTD vs. Non-OC users. Conclusion: OC use at ALTD is associated with an increased risk for the development of AMS. Acetazolamide prophylaxis with OC use was also associated with an increased rate of AMS development.</t>
  </si>
  <si>
    <t>[Johnson, Bruce D.] Mayo Clin, Div Cardiovasc Dis, Rochester, MN 55905 USA; Henry Ford Hosp, Dept Emergency Med, Detroit, MI 48202 USA</t>
  </si>
  <si>
    <t>Mayo Clinic; Henry Ford Health System; Henry Ford Hospital</t>
  </si>
  <si>
    <t>Johnson, BD (corresponding author), Mayo Clin, Div Cardiovasc Dis, 200 Pt St SW, Rochester, MN 55905 USA.</t>
  </si>
  <si>
    <t>johnson.bruce@mayo.edu</t>
  </si>
  <si>
    <t>Bin, Alex100/B-2729-2016; Harrison, Michael/GYD-8608-2022</t>
  </si>
  <si>
    <t>National Science Foundation [B-179-M]; Mayo Clinic Center for Translational Science Activity (CTSA); Clinical Research Unit; National Center for Research Resources [1 UL1 RR024150]</t>
  </si>
  <si>
    <t>National Science Foundation(National Science Foundation (NSF)); Mayo Clinic Center for Translational Science Activity (CTSA); Clinical Research Unit; National Center for Research Resources(United States Department of Health &amp; Human ServicesNational Institutes of Health (NIH) - USANIH National Center for Research Resources (NCRR))</t>
  </si>
  <si>
    <t>We would like to thank the employees of the U.S. Antarctic Program. This includes general science support, station management and cargo crew at South Pole, Crary Lab, medical team and transportation/shipping at both McMurdo and South Pole. We would also like to thank Dr. Kenneth Beck, Jay O'Brien, Kent Bailey, and Josh Mueller for assistance with the many aspects of data collection and analysis. This study was supported by a grant from the National Science Foundation, B-179-M, as well as funding through the Mayo Clinic Center for Translational Science Activity (CTSA), Clinical Research Unit, Grant Number 1 UL1 RR024150 from the National Center for Research Resources.</t>
  </si>
  <si>
    <t>AEROSPACE MEDICAL ASSOC</t>
  </si>
  <si>
    <t>ALEXANDRIA</t>
  </si>
  <si>
    <t>320 S HENRY ST, ALEXANDRIA, VA 22314-3579 USA</t>
  </si>
  <si>
    <t>0095-6562</t>
  </si>
  <si>
    <t>1943-4448</t>
  </si>
  <si>
    <t>AVIAT SPACE ENVIR MD</t>
  </si>
  <si>
    <t>Aviat. Space Environ. Med.</t>
  </si>
  <si>
    <t>10.3357/ASEM.3717.2013</t>
  </si>
  <si>
    <t>Public, Environmental &amp; Occupational Health; Medicine, General &amp; Internal; Sport Sciences</t>
  </si>
  <si>
    <t>Public, Environmental &amp; Occupational Health; General &amp; Internal Medicine; Sport Sciences</t>
  </si>
  <si>
    <t>AD1LY</t>
  </si>
  <si>
    <t>WOS:000332996700007</t>
  </si>
  <si>
    <t>Addis, EA; Clark, AD; Vasquez, RA; Wingfield, JC</t>
  </si>
  <si>
    <t>Addis, Elizabeth A.; Clark, Aaron D.; Vasquez, Rodrigo A.; Wingfield, John C.</t>
  </si>
  <si>
    <t>Seasonal Modulation of Testosterone during Breeding of the Rufous-Collared Sparrow (Zonotrichia capensis australis) in Southern Patagonia</t>
  </si>
  <si>
    <t>PHYSIOLOGICAL AND BIOCHEMICAL ZOOLOGY</t>
  </si>
  <si>
    <t>WHITE-CROWNED SPARROW; GONADOTROPIN-RELEASING-HORMONE; MALE ANDROGEN RESPONSIVENESS; BEHAVIORAL INSENSITIVITY; TERRITORIAL BEHAVIOR; STEROID-HORMONES; ANNUAL CYCLE; SOCIAL MODULATION; SONG; PATTERNS</t>
  </si>
  <si>
    <t>The roles of testosterone (T) during reproduction are often complex and vary among and within vertebrate taxa and locations, making general hypotheses relating T to breeding behavior and success difficult to integrate. In birds, T is thought to influence degrees of territoriality and associated aggression in males to maximize breeding success. Importantly, most work supporting these ideas has been conducted in the Northern Hemisphere. However, accumulating work on tropical species has shown divergent patterns of T in association with breeding behavior. The compilation of work from northern temperate and tropical species suggests that the function of T in relation to breeding behavior varies across latitude and environmental conditions. We investigate the patterns of T in relation to breeding behavior in a subspecies of the rufous-collared sparrow Zonotrichia capensis australis breeding at high latitude in the Southern Hemisphere (55 degrees degrees S). We then compare the T profiles and breeding behaviors of male Z. c. australis to conspecifics breeding in the tropics and congeners in North America to test the hypothesis that environments with breeding seasons of similar lengths will drive similar patterns of T in relation to breeding behavior. We found that Z. c. australis have high levels of T during the early-breeding periods when territories are being established and low levels of T during the parental phase of breeding, similar to temperate and Arctic birds in the Northern Hemisphere but unlike tropical Zonotrichia capensis costaricensis. In contrast, we found that Z. c. australis also exhibit similar aggressive behaviors in early breeding and midbreeding, unlike many birds in the Northern Hemisphere.</t>
  </si>
  <si>
    <t>[Addis, Elizabeth A.] Gonzaga Univ, Dept Biol, Spokane, WA 99258 USA; [Clark, Aaron D.] Univ Washington, Dept Biol, Seattle, WA 98195 USA; [Vasquez, Rodrigo A.] Univ Chile, Fac Ciencias, Dept Ciencias Ecol, Inst Ecol &amp; Biodiversidad, Santiago 7800024, Chile; [Wingfield, John C.] Univ Calif Davis, Dept Neurobiol Physiol &amp; Behav, Davis, CA 95616 USA</t>
  </si>
  <si>
    <t>Gonzaga University; University of Washington; University of Washington Seattle; Universidad de Chile; University of California System; University of California Davis</t>
  </si>
  <si>
    <t>Addis, EA (corresponding author), Gonzaga Univ, Dept Biol, Spokane, WA 99258 USA.</t>
  </si>
  <si>
    <t>addis@gonzaga.edu</t>
  </si>
  <si>
    <t>Addis, Elizabeth/IWU-5866-2023</t>
  </si>
  <si>
    <t>Vasquez, Rodrigo A/0000-0003-4309-6789</t>
  </si>
  <si>
    <t>National Science Foundation [IBN-0317141]; Fondo Nacional de Desarrollo Cientifico y Tecnologico-Chile [1090794]; Institute of Ecology and Biodiversity [ICM-P05-002, PFB-23-CONICYT]; Directorate For Geosciences [0750540] Funding Source: National Science Foundation; Office of Polar Programs (OPP) [0750540] Funding Source: National Science Foundation</t>
  </si>
  <si>
    <t>National Science Foundation(National Science Foundation (NSF)); Fondo Nacional de Desarrollo Cientifico y Tecnologico-Chile(Comision Nacional de Investigacion Cientifica y Tecnologica (CONICYT)CONICYT FONDECYT); Institute of Ecology and Biodiversity; Directorate For Geosciences(National Science Foundation (NSF)NSF - Directorate for Geosciences (GEO)); Office of Polar Programs (OPP)(National Science Foundation (NSF)NSF - Directorate for Geosciences (GEO))</t>
  </si>
  <si>
    <t>We would like to thank Steve McGhee of Omora Ethnobotanical Park and the Omora Sub-Antarctic Research Alliance for logistical support as well as help in the field. Cristobal Venegas also provided valuable field assistance. Research was supervised by the Ethics Committee of the Faculty of Sciences, Universidad de Chile, under a permit issued by the Servicio Agricola y Ganadero (permit 5193), Chile. This work was funded by National Science Foundation grant IBN-0317141 to J.C.W. and by Fondo Nacional de Desarrollo Cientifico y Tecnologico-Chile grant 1090794 and the Institute of Ecology and Biodiversity grants ICM-P05-002 and PFB-23-CONICYT to R.A.V.</t>
  </si>
  <si>
    <t>1522-2152</t>
  </si>
  <si>
    <t>1537-5293</t>
  </si>
  <si>
    <t>PHYSIOL BIOCHEM ZOOL</t>
  </si>
  <si>
    <t>Physiol. Biochem. Zool.</t>
  </si>
  <si>
    <t>NOV 1</t>
  </si>
  <si>
    <t>10.1086/673868</t>
  </si>
  <si>
    <t>294CI</t>
  </si>
  <si>
    <t>WOS:000330019600016</t>
  </si>
  <si>
    <t>Aalto, J; le Roux, PC; Luoto, M</t>
  </si>
  <si>
    <t>Aalto, Juha; le Roux, Peter C.; Luoto, Miska</t>
  </si>
  <si>
    <t>Vegetation Mediates Soil Temperature and Moisture in Arctic-Alpine Environments</t>
  </si>
  <si>
    <t>ARCTIC ANTARCTIC AND ALPINE RESEARCH</t>
  </si>
  <si>
    <t>SURFACE TEMPERATURE; SHRUB EXPANSION; CLIMATE; TUNDRA; COVER; DYNAMICS; HABITAT; PLANTS; MICROCLIMATE; VARIABILITY</t>
  </si>
  <si>
    <t>Soil temperature and moisture are key determinants of abiotic and biotic processes in arctic-alpine regions. They are important links to understanding complex ecosystem dynamics under changing climate. The aims of this study were to (1) quantify fine-scale soil temperature and soil moisture variation, and (2) assess the influence of vegetation on soil temperature and moisture patterns in a northern European arctic-alpine environment. Inclusion of vegetation variables significantly improved models of soil temperature and moisture, despite abiotic variables (local topography and soil properties) being the most influential predictors. Temperature varied by &gt;= 5 degrees C and moisture by &gt;= 50% (volumetric water content) over very short distances (&gt;= 1 m), reflecting the extreme spatial heterogeneity of thermal and hydrological conditions in these systems. These results thus highlight the biotic mediation of changes in abiotic conditions, showing how vegetation can strongly affect local habitat conditions at fine spatial scales in arctic-alpine environments.</t>
  </si>
  <si>
    <t>[Aalto, Juha; le Roux, Peter C.; Luoto, Miska] Univ Helsinki, Dept Geosci &amp; Geog, FIN-00014 Helsinki, Finland</t>
  </si>
  <si>
    <t>University of Helsinki</t>
  </si>
  <si>
    <t>Aalto, J (corresponding author), Univ Helsinki, Dept Geosci &amp; Geog, POB 64,Gustaf Hallstromin Katu 2A, FIN-00014 Helsinki, Finland.</t>
  </si>
  <si>
    <t>juha.aalto@helsinki.fi</t>
  </si>
  <si>
    <t>Aalto, Juha/O-1472-2019; le Roux, Peter Christiaan/E-7784-2011; Luoto, Miska/E-6693-2014</t>
  </si>
  <si>
    <t>Aalto, Juha/0000-0001-6819-4911; le Roux, Peter Christiaan/0000-0002-7941-7444; Luoto, Miska/0000-0001-6203-5143</t>
  </si>
  <si>
    <t>Geography Graduate School of the Academy of Finland; University of Helsinki grant; Societas pro Fauna et Flora Fennica grant; Academy of Finland [1140873]</t>
  </si>
  <si>
    <t>Geography Graduate School of the Academy of Finland; University of Helsinki grant; Societas pro Fauna et Flora Fennica grant; Academy of Finland(Research Council of Finland)</t>
  </si>
  <si>
    <t>We thank A. Niskanen, S. Suvanto, H. Mod, S. Jaaskelainen, and A. Kulonen for helping collect the data. We also thank Dr. Christophe Randin and one anonymous reviewer for their constructive comments and suggestions. Aalto was funded by the Geography Graduate School of the Academy of Finland, a University of Helsinki grant, and a Societas pro Fauna et Flora Fennica grant. Le Roux and Luoto were funded by the Academy of Finland (Project Number 1140873).</t>
  </si>
  <si>
    <t>1523-0430</t>
  </si>
  <si>
    <t>1938-4246</t>
  </si>
  <si>
    <t>ARCT ANTARCT ALP RES</t>
  </si>
  <si>
    <t>Arct. Antarct. Alp. Res.</t>
  </si>
  <si>
    <t>10.1657/1938-4246-45.4.429</t>
  </si>
  <si>
    <t>Environmental Sciences; Geography, Physical</t>
  </si>
  <si>
    <t>287HT</t>
  </si>
  <si>
    <t>WOS:000329533400001</t>
  </si>
  <si>
    <t>Dziallas, C; Grossart, HP; Tang, KW; Nielsen, TG</t>
  </si>
  <si>
    <t>Dziallas, Claudia; Grossart, Hans-Peter; Tang, Kam W.; Nielsen, Torkel Gissel</t>
  </si>
  <si>
    <t>Distinct Communities of Free-Living and Copepod-Associated Microorganisms along a Salinity Gradient in Godthabsfjord, West Greenland</t>
  </si>
  <si>
    <t>16S RIBOSOMAL-RNA; ICE-SHEET; PHYLOGENETIC COMPOSITION; HETEROTROPHIC PRODUCTION; GEL-ELECTROPHORESIS; BACTERIA; DIVERSITY; ZOOPLANKTON; ASSEMBLAGES; ARCHAEAL</t>
  </si>
  <si>
    <t>Microorganisms such as Bacteria and Archaea play important roles in the Arctic food web and biogeochemical cycles. Nevertheless, knowledge of microbial community composition in Greenland waters is scarce, and information on microorganisms associated with Arctic zooplankton species is virtually non-existent. We compared free-living microbial communities with those associated with two key copepod species (Calanus finmarchicus and Metridia longa) along a salinity gradient from the deep waters beyond Fyllas Banke to the inner part of Godthabsfjord, West Greenland, in summer 2008. Using genetic fingerprinting we found that free-living Bacteria (in particular Alphaproteobacteria) and Archaea varied with environmental factors and formed different communities along the fjord. Microbial communities associated with the two copepod species were clearly different from those in the ambient water. Surprisingly, Archaea could not be detected on the copepods. Our results show that zooplankton form microbial islands in the Arctic pelagic realm with a distinctive community composition and presumably functionality different from the free-living Bacteria. Changes in intensity and timing of meltwater runoff due to global warming are expected to affect these microbial assemblages differently, with potentially significant ramifications for Arctic food webs and biogeochemistry.</t>
  </si>
  <si>
    <t>[Dziallas, Claudia; Grossart, Hans-Peter] Leibniz Inst Freshwater Ecol &amp; Inland Fisheries, Dept Expt Limnol, D-16775 Stechlin, Germany; [Dziallas, Claudia] Univ Copenhagen, Marine Biol Sect, DK-3000 Helsingor, Denmark; [Grossart, Hans-Peter] Univ Potsdam, Inst Biochem &amp; Biol, D-14469 Potsdam, Germany; [Tang, Kam W.] Virginia Inst Marine Sci, Coll William &amp; Mary, Gloucester Point, VA 23062 USA; [Nielsen, Torkel Gissel] Tech Univ Denmark, Natl Inst Aquat Resources, DTU Aqua, Sect Oceanog &amp; Climate, DK-2920 Charlottenlund, Denmark; [Nielsen, Torkel Gissel] Greenland Inst Nat Resources, Greenland Climate Res Ctr, Nuuk 3900, Greenland</t>
  </si>
  <si>
    <t>Leibniz Institut fur Gewasserokologie und Binnenfischerei (IGB); University of Copenhagen; University of Potsdam; William &amp; Mary; Virginia Institute of Marine Science; Technical University of Denmark; Greenland Institute of Natural Resources</t>
  </si>
  <si>
    <t>Dziallas, C (corresponding author), Univ Copenhagen, Marine Biol Sect, Strandpromenaden 5, DK-3000 Helsingor, Denmark.</t>
  </si>
  <si>
    <t>cdziallas@bio.ku.dk</t>
  </si>
  <si>
    <t>Nielsen, Torkel Gissel/HLQ-4981-2023</t>
  </si>
  <si>
    <t>Nielsen, Torkel Gissel/0000-0003-1057-158X</t>
  </si>
  <si>
    <t>Commission for Scientific Research in Greenland (ECOGREEN); Danish Natural Sciences Research Council; Greenland Climate Research Center [6505]; German Science foundation [DFG GR1540/12-2, DFG GR1540/20-1]; Humboldt Fellowship for Experienced Researchers</t>
  </si>
  <si>
    <t>Commission for Scientific Research in Greenland (ECOGREEN); Danish Natural Sciences Research Council(Danish Natural Science Research Council); Greenland Climate Research Center; German Science foundation(German Research Foundation (DFG)); Humboldt Fellowship for Experienced Researchers</t>
  </si>
  <si>
    <t>This study was funded by a grant from the Commission for Scientific Research in Greenland (ECOGREEN), the Danish Natural Sciences Research Council, and is a contribution of the Greenland Climate Research Center grant 6505. We thank the captain and the crew of the R/V Dana. We also thank Soren Rysgaard for constructive comments on the manuscript and Solvig Pinnow and Birgit Soborg for technical assistance. Dziallas, Grossart, and Pinnow were funded by two projects of the German Science foundation (DFG GR1540/12-2 and /20-1, respectively). Tang was funded by a Humboldt Fellowship for Experienced Researchers.</t>
  </si>
  <si>
    <t>10.1657/1938-4246.45.4.471</t>
  </si>
  <si>
    <t>WOS:000329533400004</t>
  </si>
  <si>
    <t>Flo, D; Hågvar, S</t>
  </si>
  <si>
    <t>Flo, Daniel; Hagvar, Sigmund</t>
  </si>
  <si>
    <t>Aerial Dispersal of Invertebrates and Mosses Close to a Receding Alpine Glacier in Southern Norway</t>
  </si>
  <si>
    <t>PRIMARY SUCCESSION; GROUND BEETLES; MITES ACARI; FORELAND; COLONIZATION; PHYTOSEIIDAE; COMMUNITIES; ASSEMBLAGES; SPRINGTAILS; COLEOPTERA</t>
  </si>
  <si>
    <t>The 73 km(2) large Hardangerjokulen glacier in alpine, south Norway is receding. By using sticky and fallout traps, we studied the aerial transport of invertebrates in a foreland with a well-documented succession of mites, springtails, spiders, and beetles. Since mosses are pioneer plants and also food for certain pioneer invertebrates, airborne fragments of mosses were also included in the study. Sampling on 3- to 6-year-old ground revealed aerial transport of several species of mites and springtails. During 4 weeks, the fallout of microarthropods was calculated at around 1000 specimens per m(2). This number may depend strongly on local variations in climate and must be treated with care. Besides typical pioneer species, some species assumed to depend on older soil were also trapped. This indicates that the ability to survive is more limiting than the ability to disperse. A few spiders assumed to have the capability for aerial ballooning were trapped. Moss fragments, including bulbil diaspores, were common in both trap types. Diptera were sometimes taken numerously, and in sticky traps mainly in those facing away from the glacier. Most aerial transport occurred below 0.5 m height, and the presence of sand grains in sticky traps up to this level illustrated the mechanical force of wind transport. We conclude that aerial transport helps colonization of several non-flying pioneer organisms like mites, springtails, aphids, and mosses.</t>
  </si>
  <si>
    <t>[Flo, Daniel] Norwegian Forest &amp; Landscape Inst, N-1431 As, Norway</t>
  </si>
  <si>
    <t>The Norwegian Forest &amp; Landscape Institute</t>
  </si>
  <si>
    <t>Hågvar, S (corresponding author), Norwegian Univ Life Sci, Dept Ecol &amp; Nat Resource Management, Box 5003, N-1432 As, Norway.</t>
  </si>
  <si>
    <t>sigmund.hagvar@umb.no</t>
  </si>
  <si>
    <t>Flø, Daniel/B-6831-2016</t>
  </si>
  <si>
    <t>Flø, Daniel/0000-0002-0129-7227</t>
  </si>
  <si>
    <t>10.1657/1938-4246-45.4.481</t>
  </si>
  <si>
    <t>WOS:000329533400005</t>
  </si>
  <si>
    <t>Gao, LL; Gou, XH; Deng, Y; Yang, MX; Zhao, ZQ; Cao, ZY</t>
  </si>
  <si>
    <t>Gao, LinLin; Gou, XiaoHua; Deng, Yang; Yang, MeiXue; Zhao, ZhiQian; Cao, ZongYing</t>
  </si>
  <si>
    <t>Dendroclimatic Response of Picea crassifolia along an Altitudinal Gradient in the Eastern Qilian Mountains, Northwest China</t>
  </si>
  <si>
    <t>TREE-RING WIDTH; CAMBIAL ACTIVITY; VARIABILITY; GROWTH; MOISTURE; JUNIPER</t>
  </si>
  <si>
    <t>Using tree-ring data collected from five stands of Qinghai spruce (Picea crassifolia) along an altitudinal gradient in the eastern Qilian Mountains, northwest China, we investigate the differences of the chronologies' statistical parameters and climatic-growth relationships along the gradient. Our results indicate that the radial growth-climate patterns are similar at all studied elevations, and tree growth in this region is strongly related to drought conditions. Growth-temperature and precipitation correlations reveal very coherent patterns for the four lowest sites, showing significant (p &lt; 0.05) correlation with July-August temperatures and August precipitation in the previous year and March temperatures in the current year. For the upper treeline site, the chronology is negatively and significantly (p &lt; 0.05) correlated with August temperature and December precipitation in the previous year. In addition, individual chronologies are significantly (p &lt; 0.05) correlated with the Self-calibrated Palmer Drought Severity Index for many months. The cross-correlation matrix of the individual chronologies indicates all the correlation coefficients are significant (p &lt; 0.01), confirmation that tree growth is predominantly influenced by common climate factors. The outstanding drought periods recorded by the five chronologies took place during A.D. 1860-1875, the 1880s, and 1905-1935. Pluvial periods took place during A.D. 1800-1810 and 1975-1990.</t>
  </si>
  <si>
    <t>[Gao, LinLin; Gou, XiaoHua; Deng, Yang; Zhao, ZhiQian; Cao, ZongYing] Lanzhou Univ, MOE Key Lab Western Chinas Environm Syst, Collaborat Innovat Ctr Arid Environm &amp; Climate Ch, Lanzhou 73000, Peoples R China; [Yang, MeiXue] Chinese Acad Sci, Cold &amp; Arid Reg Environm &amp; Engn Res Inst, State Key Lab Cryospher Sci, Lanzhou 730000, Peoples R China</t>
  </si>
  <si>
    <t>Lanzhou University; Chinese Academy of Sciences; Cold &amp; Arid Regions Environmental &amp; Engineering Research Institute, CAS</t>
  </si>
  <si>
    <t>Gou, XH (corresponding author), Lanzhou Univ, Key Lab West Chinas Environm Syst, Minist Educ, 222 South Tianshui Rd, Lanzhou 730000, Peoples R China.</t>
  </si>
  <si>
    <t>xhgou@lzu.edu.cn</t>
  </si>
  <si>
    <t>Deng, Yang/GXF-6737-2022; Deng, Yang/HLG-9800-2023</t>
  </si>
  <si>
    <t>Deng, Yang/0000-0002-0473-447X; Gao, Linlin/0000-0003-1805-5440</t>
  </si>
  <si>
    <t>National Basic Research Program of China (973 Program) [2009CB421306]; National Science Foundation of China [41171039, 41021091]; Fundamental Research Funds for the Central Universities [lzujbky-2013-250]</t>
  </si>
  <si>
    <t>National Basic Research Program of China (973 Program)(National Basic Research Program of China); National Science Foundation of China(National Natural Science Foundation of China (NSFC)); Fundamental Research Funds for the Central Universities(Fundamental Research Funds for the Central Universities)</t>
  </si>
  <si>
    <t>The authors thank Emily Derbyshire for her kind help in editing the English writing. The authors also thank Editor William D. Bowman, Associate Editor Paul J. Krusic, and the anonymous reviewer for their valuable comments and suggestions. This research was supported by the National Basic Research Program of China (973 Program) (No. 2009CB421306), the National Science Foundation of China (41171039 and 41021091), and the Fundamental Research Funds for the Central Universities (lzujbky-2013-250).</t>
  </si>
  <si>
    <t>10.1657/1938-4246-45.4.491</t>
  </si>
  <si>
    <t>WOS:000329533400006</t>
  </si>
  <si>
    <t>Jorgensen, RH; Meilby, H; Kollmann, J</t>
  </si>
  <si>
    <t>Jorgensen, Rasmus H.; Meilby, Henrik; Kollmann, Johannes</t>
  </si>
  <si>
    <t>Shrub Expansion in SW Greenland under Modest Regional Warming: Disentangling Effects of Human Disturbance and Grazing</t>
  </si>
  <si>
    <t>PLANT COMMUNITY RESPONSES; VEGETATION; MUSKOXEN; TUNDRA; TEMPERATURE; CARIBOU; NORTH; LAND</t>
  </si>
  <si>
    <t>Shrub expansion has been observed widely in tundra areas across the Arctic. This phenomenon has been partially attributed to increasing temperatures over the past century. However, relationships among shrub expansion, grazing, and human disturbance have been studied little. SW Greenland is a subarctic to low-arctic region with a long and complex land-use history and only modest temperature increases over the past 50 years (0.2 degrees C decade(-1)), but changes in shrub cover have not previously been studied in this region. We compiled historical photographs of vegetation in SW Greenland (1898-1974) and repeated the photos in 2010 and 2011. Sixty-four photo pairs were cropped into 133 smaller units and classified by aspect, substrate stability, muskoxen grazing, and human disturbance. The photo material was evaluated by 22 experts with respect to changes in shrub cover, revealing a general increase across the whole data set, and in a subset including only undisturbed sites. Shrub cover increased most on E and SE slopes, in sites with stable substrate, and in areas characterized by human disturbance and without muskoxen grazing. The general shrub cover increase could be caused mainly by changed land-use intensity, but effects of the moderately increased temperatures cannot be ruled out.</t>
  </si>
  <si>
    <t>[Jorgensen, Rasmus H.; Kollmann, Johannes] Univ Copenhagen, Dept Plant &amp; Environm Sci, DK-1958 Frederiksberg C, Denmark; [Meilby, Henrik] Univ Copenhagen, DK-1958 Frederiksberg C, Denmark; [Jorgensen, Rasmus H.] Tech Univ Munich, Ctr Life &amp; Food Sci Weihenstephan, D-85350 Freising Weihenstephan, Germany</t>
  </si>
  <si>
    <t>University of Copenhagen; University of Copenhagen; Technical University of Munich</t>
  </si>
  <si>
    <t>Jorgensen, RH (corresponding author), Univ Copenhagen, Dept Plant &amp; Environm Sci, Rolighedsvej 21, DK-1958 Frederiksberg C, Denmark.</t>
  </si>
  <si>
    <t>rhj@life.ku.dk</t>
  </si>
  <si>
    <t>Kollmann, Johannes Christian/B-4255-2012; Meilby, Henrik/E-1404-2015</t>
  </si>
  <si>
    <t>Meilby, Henrik/0000-0002-3770-3880</t>
  </si>
  <si>
    <t>10.1657/1938-4246-45.4.515</t>
  </si>
  <si>
    <t>WOS:000329533400008</t>
  </si>
  <si>
    <t>Nishimura, D; Sugiyama, S; Bauder, A; Funk, M</t>
  </si>
  <si>
    <t>Nishimura, Daisuke; Sugiyama, Shin; Bauder, Andreas; Funk, Martin</t>
  </si>
  <si>
    <t>Changes in Ice-Flow Velocity and Surface Elevation from 1874 to 2006 in Rhonegletscher, Switzerland</t>
  </si>
  <si>
    <t>SEA-LEVEL RISE; MASS-BALANCE; ALPINE GLACIER; NEW-ZEALAND; ALPS; FUTURE</t>
  </si>
  <si>
    <t>We have studied changes in the ice-flow velocity and ice thickness in Rhonegletscher, Switzerland, over the period 1874-2006. The flow velocity field and surface elevation were analyzed in the lower half of the glacier using aerial photograph pairs taken in 1970/ 1971, 1981/1982, 1999/2000, and 2005/2006. We also digitized velocities measured by Mercanton (1916) in 1874-1910 by tracking stones distributed on the glacier. The results showed that the ice-flow velocity and ice straining conditions were strongly influenced by changes in the glacier geometry over the last 100 years. For example, the longitudinal strain rate near the current terminus has changed from tensile to compressive since the retreat of the glacier over a steep bedrock slope to a relatively flat region. The velocity decreased over the studied region from 1981 to 2006, which is in agreement with the ice thinning during the same period. However, the rate of the velocity change was smaller in the post-1990 period, because the effect of the thinning on ice flow speed was partly canceled out by the effect of steepening of the ice surface. The velocity change also implied that the magnitude of basal ice motion was influenced by changing subglacial drainage conditions and proglacial lake formation. Our unique data set contributes to a better understanding of ice dynamics under changing glacier geometry.</t>
  </si>
  <si>
    <t>[Nishimura, Daisuke; Sugiyama, Shin] Hokkaido Univ, Inst Low Temp Sci, Sapporo, Hokkaido 060, Japan; [Nishimura, Daisuke] Hokkaido Univ, Grad Sch Environm Sci, Sapporo, Hokkaido 060, Japan; [Bauder, Andreas; Funk, Martin] ETH, Sect Glaciol Versuchsanstalt Wasserbau Hydrol &amp; G, CH-8092 Zurich, Switzerland</t>
  </si>
  <si>
    <t>Hokkaido University; Hokkaido University; Swiss Federal Institutes of Technology Domain; ETH Zurich</t>
  </si>
  <si>
    <t>Nishimura, D (corresponding author), Hokkaido Univ, Inst Low Temp Sci, Nishi 8 Kita 19, Sapporo, Hokkaido 060, Japan.</t>
  </si>
  <si>
    <t>ndaisuke@lowtem.hokudai.ac.jp</t>
  </si>
  <si>
    <t>Sugiyama, Shin/C-2511-2012</t>
  </si>
  <si>
    <t>Japanese Ministry of Education, Science, Sports and Culture [18840002, 20540418]; Global COE Program (Establishment of Center for Integrated Field Environmental Science), MEXT, Japan; Grants-in-Aid for Scientific Research [20540418, 23403006, 18840002] Funding Source: KAKEN</t>
  </si>
  <si>
    <t>Japanese Ministry of Education, Science, Sports and Culture(Ministry of Education, Culture, Sports, Science and Technology, Japan (MEXT)); Global COE Program (Establishment of Center for Integrated Field Environmental Science), MEXT, Japan(Ministry of Education, Culture, Sports, Science and Technology, Japan (MEXT)); Grants-in-Aid for Scientific Research(Ministry of Education, Culture, Sports, Science and Technology, Japan (MEXT)Japan Society for the Promotion of ScienceGrants-in-Aid for Scientific Research (KAKENHI))</t>
  </si>
  <si>
    <t>We thank H. Bosch for his kind support with the aerial photograph analysis. T. Sawagaki provided useful comments on the manuscript. The manuscript was substantially improved by constructive suggestions from two anonymous referees and the associate editor. This research was funded by the Japanese Ministry of Education, Science, Sports and Culture through a Grant-in-Aid, 18840002, 2006-2007, and 20540418, 2008-2010. Additional funding was provided by the Global COE Program (Establishment of Center for Integrated Field Environmental Science), MEXT, Japan.</t>
  </si>
  <si>
    <t>10.1657/1938-4246-45.4.552</t>
  </si>
  <si>
    <t>WOS:000329533400011</t>
  </si>
  <si>
    <t>Peterson, SL; Rockwell, RF; Witte, CR; Koons, DN</t>
  </si>
  <si>
    <t>Peterson, Stephen L.; Rockwell, Robert F.; Witte, Christopher R.; Koons, David N.</t>
  </si>
  <si>
    <t>The Legacy of Destructive Snow Goose Foraging on Supratidal Marsh Habitat in the Hudson Bay Lowlands</t>
  </si>
  <si>
    <t>VEGETATION CHANGE; COASTAL MARSHES; GEESE; SALINITY; HERBIVORY; SYSTEM; COVER</t>
  </si>
  <si>
    <t>Ecological succession and climate change are pushing tundra as well as Arctic and subarctic lowland plant communities toward increased woody vegetation cover. However, areas along the Hudson Bay Lowlands that are over-grazed by hyper-abundant lesser snow geese are experiencing drastic losses of grass, sedge, and woody cover. We assessed longterm changes in proportional ground cover and habitat patch characteristic at a subarctic supratidal marsh that was largely vacated by breeding snow geese over a decade ago. We found no evidence of habitat recovery. Rather, snow geese leave a legacy on the land that propagates degradation of habitat long after their direct removal of vegetation through foraging. Over a 35 year period, we documented a 46% reduction in graminoid cover and an 84% reduction in shrub cover, which led to smaller and more isolated patches of shrubs that many avian species depend upon for foraging and nesting. Recent experimental goose exclosures suggest that recovery of degraded habitat is possible, but habitat management at a large scale will require drastic reductions in lesser snow goose numbers.</t>
  </si>
  <si>
    <t>[Peterson, Stephen L.; Koons, David N.] Utah State Univ, Dept Wildland Resources, Logan, UT 84322 USA; [Rockwell, Robert F.; Witte, Christopher R.] Amer Museum Nat Hist, New York, NY 10024 USA</t>
  </si>
  <si>
    <t>Utah System of Higher Education; Utah State University; American Museum of Natural History (AMNH)</t>
  </si>
  <si>
    <t>Koons, DN (corresponding author), Utah State Univ, Dept Wildland Resources, 5230 Old Main Hill, Logan, UT 84322 USA.</t>
  </si>
  <si>
    <t>david.koons@usu.edu</t>
  </si>
  <si>
    <t>Central and Mississippi Flyways; Arctic Goose Joint Venture; American Museum of Natural History Chapman Fund; Wapusk National Park; Utah State University; NSF [DEB 1019613]</t>
  </si>
  <si>
    <t>Central and Mississippi Flyways; Arctic Goose Joint Venture; American Museum of Natural History Chapman Fund; Wapusk National Park; Utah State University; NSF(National Science Foundation (NSF))</t>
  </si>
  <si>
    <t>We would like to thank the Central and Mississippi Flyways, the Arctic Goose Joint Venture, the American Museum of Natural History Chapman Fund, Wapusk National Park, and Utah State University for funding. Koons was supported by NSF (DEB 1019613). We thank the late R. L. Jefferies for his contributions to our understanding of goose-plant interactions, P. J. Weatherhead for beginning this study, and D. Iles, who provided critical assistance in the field and with Figure 1.</t>
  </si>
  <si>
    <t>10.1657/1938-4246.45.4.575</t>
  </si>
  <si>
    <t>WOS:000329533400013</t>
  </si>
  <si>
    <t>Speed, JDM; Austrheim, G; Hester, AJ; Mysterud, A</t>
  </si>
  <si>
    <t>Speed, James D. M.; Austrheim, Gunnar; Hester, Alison J.; Mysterud, Atle</t>
  </si>
  <si>
    <t>The Response of Alpine Salix Shrubs to Long-Term Browsing Varies with Elevation and Herbivore Density</t>
  </si>
  <si>
    <t>LANDSCAPE SCALE; CLIMATE; VEGETATION; EXPANSION; IMPACTS; TUNDRA; REGENERATION</t>
  </si>
  <si>
    <t>The widespread expansion of shrubs into arctic and alpine regions has frequently been linked to climatic warming, but herbivory can play a role in addition to, or in interaction with, climate. Willow (Salix spp.) shrubs are important constituents of alpine ecosystems, influencing community structure and providing habitat and forage for many species. We investigate the impact of browsing by domestic sheep (Ovis aries), the dominant herbivore in Norwegian mountains, on Salix stem density, height, and radial growth. We used a field experiment, replicated along an elevational gradient, with manipulated densities of sheep (no sheep, low density, and high density at 0, 25, and 80 sheep km(-2)). We found that Salix shoot density and radial growth were greatest at high sheep density but only at low elevations, indicating that competition from field-layer vegetation at lower sheep densities reduced Salix performance. At higher elevations Salix shoot density and radial growth were lower at high sheep density than at low sheep density and in the absence of sheep. Thus at high elevations sheep browsing is likely to slow the expansion of Salix shrubs, whilst the removal of browsing is likely to constrain Salix expansion at lower elevations.</t>
  </si>
  <si>
    <t>[Speed, James D. M.; Austrheim, Gunnar] Norwegian Univ Sci &amp; Technol, Museum Nat Hist &amp; Archaeol, NO-7491 Trondheim, Norway; [Hester, Alison J.] James Hutton Inst, Aberdeen AB15 8QH, Scotland; [Mysterud, Atle] Univ Oslo, Dept Biol, Ctr Ecol &amp; Evolutionary Synth, NO-0316 Oslo, Norway</t>
  </si>
  <si>
    <t>Norwegian University of Science &amp; Technology (NTNU); James Hutton Institute; University of Oslo</t>
  </si>
  <si>
    <t>Speed, JDM (corresponding author), Norwegian Univ Sci &amp; Technol, Museum Nat Hist &amp; Archaeol, NO-7491 Trondheim, Norway.</t>
  </si>
  <si>
    <t>james.speed@vm.ntnu.no</t>
  </si>
  <si>
    <t>Mysterud, Atle/AAQ-2864-2020; Speed, James D. M./C-1099-2009; Mysterud, Atle/AFL-1958-2022; austrheim, gunnar/KHC-8698-2024</t>
  </si>
  <si>
    <t>Mysterud, Atle/0000-0001-8993-7382; Speed, James D. M./0000-0002-0633-5595; Hester, Alison/0000-0002-2407-1474</t>
  </si>
  <si>
    <t>Research Council of Norway [183268/S30]; Norwegian Directorate for Nature Management</t>
  </si>
  <si>
    <t>Research Council of Norway(Research Council of Norway); Norwegian Directorate for Nature Management</t>
  </si>
  <si>
    <t>The study was funded by the Research Council of Norway, Miljo 2015 program (Project 183268/S30) and the Norwegian Directorate for Nature Management. We are also very grateful to Varinia Lietsch for laboratory assistance and to two anonymous referees for very helpful comments on a previous draft.</t>
  </si>
  <si>
    <t>10.1657/1938-4246-45.4.584</t>
  </si>
  <si>
    <t>Green Submitted, Green Accepted, Bronze</t>
  </si>
  <si>
    <t>WOS:000329533400014</t>
  </si>
  <si>
    <t>Tondu, JME; Turner, KW; Wolfe, BB; Hall, RI; Edwards, TWD; McDonald, I</t>
  </si>
  <si>
    <t>Tondu, J. M. E.; Turner, K. W.; Wolfe, B. B.; Hall, R. I.; Edwards, T. W. D.; McDonald, I.</t>
  </si>
  <si>
    <t>Using Water Isotope Tracers to Develop the Hydrological Component of a Long-Term Aquatic Ecosystem Monitoring Program for a Northern Lake-Rich Landscape</t>
  </si>
  <si>
    <t>OLD CROW FLATS; MACKENZIE DELTA REGION; SLAVE RIVER DELTA; CLIMATE-CHANGE; FRESH-WATER; THERMOKARST LAKE; AREAL EXTENT; CANADA; PERMAFROST; YUKON</t>
  </si>
  <si>
    <t>Arctic lake-rich landscapes are vulnerable to climate change, but their remote locations present a challenge to develop effective approaches for monitoring hydroecological status and trends. Here, we structure the hydrological component of an aquatic ecosystem monitoring program that addresses concerns of Parks Canada (Vuntut National Park) and the Vuntut Gwitchin First Nation about changing water levels of Old Crow Flats (OCF), Yukon, Canada, a 5600-km(2) thermokarst landscape recognized nationally and internationally for its ecological, historical, and cultural significance. The foundation of the monitoring program is 5 years (2007-2011) of water isotope data from 14 lakes situated in catchments that are representative of the land-cover and hydrological diversity of OCF. Isotopic compositions of input water (B) and evaporation-to-inflow (E/I) ratios, calculated using the coupled-isotope tracer method, provide key hydrological metrics for each lake over the 5-year sampling interval. From these time series, we identify monitoring lakes that are sensitive to changes in snowmelt, rainfall, and evaporation, and demonstrate the use of the Mann-Kendall test for determining statistically significant trends in the roles of these hydrological processes on lake-water balances. These approaches will serve to identify lake hydrological responses to climate change and variability from ongoing water isotope monitoring by Parks Canada, in partnership with the Vuntut Gwitchin Government, Wilfrid Laurier University, and the University of Waterloo.</t>
  </si>
  <si>
    <t>[Tondu, J. M. E.; Hall, R. I.] Univ Waterloo, Dept Biol, Waterloo, ON N2L 3G1, Canada; [Turner, K. W.; Wolfe, B. B.] Wilfrid Laurier Univ, Dept Geog &amp; Environm Studies, Waterloo, ON N2L 3C5, Canada; [Edwards, T. W. D.] Univ Waterloo, Dept Earth &amp; Environm Sci, Waterloo, ON N2L 3G1, Canada; [McDonald, I.] Yukon Field Unit, Whitehorse, YT Y1A 2B5, Canada</t>
  </si>
  <si>
    <t>University of Waterloo; Wilfrid Laurier University; University of Waterloo</t>
  </si>
  <si>
    <t>Tondu, JME (corresponding author), Univ Waterloo, Dept Biol, 200 Univ Ave West, Waterloo, ON N2L 3G1, Canada.</t>
  </si>
  <si>
    <t>janatondu@gmail.com</t>
  </si>
  <si>
    <t>Hall, Roland/AAO-2164-2020; Hall, Roland I/K-3165-2019</t>
  </si>
  <si>
    <t>Hall, Roland/0000-0002-0314-6449; Turner, Kevin/0000-0002-3183-6092</t>
  </si>
  <si>
    <t>Natural Sciences and Engineering Council of Canada Northern Research Chair Program; Government of Canada International Polar Year Program; Polar Continental Shelf Program of Natural Resources Canada; Northern Scientific Training Program of Aboriginal Affairs and Northern Development Canada; Parks Canada; Natural Sciences and Engineering Research Council of Canada Canadian Graduate Scholarship; Northern Research Internship to Tondu</t>
  </si>
  <si>
    <t>Natural Sciences and Engineering Council of Canada Northern Research Chair Program(Natural Sciences and Engineering Research Council of Canada (NSERC)); Government of Canada International Polar Year Program; Polar Continental Shelf Program of Natural Resources Canada(Natural Resources Canada); Northern Scientific Training Program of Aboriginal Affairs and Northern Development Canada; Parks Canada; Natural Sciences and Engineering Research Council of Canada Canadian Graduate Scholarship(Natural Sciences and Engineering Research Council of Canada (NSERC)); Northern Research Internship to Tondu</t>
  </si>
  <si>
    <t>We would like to thank the community of Old Crow, the Vuntut Gwitchin Government (VGG), and the North Yukon Renewable Resource Council for accommodating and supporting this research project, and the community and VGG members who have provided logistical support in the field, including Shel Graupe, Lance Nagwon, James Itsi, Megan Williams, Edna Kyikavichik, Dick Mahoney, Joel Peter, Danny Kassi, Mary-Jane Moses, and William Josie. We are grateful to Parks Canada staff (Leila Sumi, David Frost, Esau Schafer, and Jeffrey Peter) for supporting and participating in sample collection as well as organizing the spring boat sampling campaign. Ann Balasubramaniam, Nicholas Sidhu, and Katie Thomas provided field assistance. We appreciate the diligence of University of Waterloo EIL staff members for isotope analysis. Financial support for this research was provided by the Natural Sciences and Engineering Council of Canada Northern Research Chair Program, the Government of Canada International Polar Year Program, the Polar Continental Shelf Program of Natural Resources Canada, the Northern Scientific Training Program of Aboriginal Affairs and Northern Development Canada, Parks Canada, and a Natural Sciences and Engineering Research Council of Canada Canadian Graduate Scholarship and Northern Research Internship to Tondu.</t>
  </si>
  <si>
    <t>10.1657/1938-4246-45.4.594</t>
  </si>
  <si>
    <t>WOS:000329533400015</t>
  </si>
  <si>
    <t>del Río, CJ; Griffin, M; McArthur, JM; Martínez, S; Thirlwall, MF</t>
  </si>
  <si>
    <t>del Rio, Claudia J.; Griffin, Miguel; McArthur, John M.; Martinez, Sergio; Thirlwall, Matthew F.</t>
  </si>
  <si>
    <t>Evidence for early Pliocene and late Miocene transgressions in southern Patagonia (Argentina): 87Sr/86Sr ages of the pectinid Chlamys actinodes (Sowerby)</t>
  </si>
  <si>
    <t>JOURNAL OF SOUTH AMERICAN EARTH SCIENCES</t>
  </si>
  <si>
    <t>Tortonian; Late Miocene; Zanclean; Early Pliocene; Patagonia; Argentina; Sr-87/Sr-86</t>
  </si>
  <si>
    <t>ANTARCTIC PENINSULA; INTERGLACIAL EVENTS; NEOGENE; OLIGOCENE; MOLLUSKS; RECORD; CHILE; BEDS</t>
  </si>
  <si>
    <t>Numerical ages based on Sr-87/Sr-86 dating of calcitic shells belonging to the pectinid Chlamys actinodes (Sowerby) document the only late Miocene (Tortonian) sea flooding event in the Austral Basin at Cabo Buentiempo (8.95 +/- 0.82 Ma, 2 s.e.), and provide evidence of the first documented early Pliocene (Zanclean) transgression in Argentina recorded at Canadon Darwin (5.15 +/- 0.18 Ma, 2 s.e., Austral Basin) and at Terraces of Cerro Laciar (5.10 +/- 0.21 Ma, 2 s.e.), southern San Jorge Basin). The sedimentary rocks deposited during the Tortonian are correlated with the youngest beds deposited by the Entrerriense Sea that covered northern Patagonia. The Zanclean marine episode is correlated with the long-term cycle represented in the Southern Hemisphere by the flooding events recorded in Cockburn and James Ross Islands (Antarctica) and in North-Central Chile. (C) 2013 Elsevier Ltd. All rights reserved.</t>
  </si>
  <si>
    <t>[del Rio, Claudia J.] Museo Argentina Ciencias Nat, Div Paleoinvertebrados, RA-1405 Buenos Aires, DF, Argentina; [Griffin, Miguel] Museo La Plata, RA-1900 La Plata, Buenos Aires, Argentina; [McArthur, John M.; Thirlwall, Matthew F.] UCL, London WC1E 6BT, England; [Martinez, Sergio] Univ Republica, Fac Ciencias, Montevideo 11400, Uruguay</t>
  </si>
  <si>
    <t>Museo Argentino de Ciencias Naturales Bernardino Rivadavia (MACN); National University of La Plata; Museo La Plata; University of London; University College London; Universidad de la Republica, Uruguay</t>
  </si>
  <si>
    <t>del Río, CJ (corresponding author), Museo Argentina Ciencias Nat, Div Paleoinvertebrados, A Gallardo 470, RA-1405 Buenos Aires, DF, Argentina.</t>
  </si>
  <si>
    <t>claudiajdelrio@gmail.com</t>
  </si>
  <si>
    <t>McArthur, John/C-2705-2008; McArthur, John/AAL-6354-2020; Martínez, SERGIO/AAI-4675-2020</t>
  </si>
  <si>
    <t>McArthur, John/0000-0003-1461-7805; McArthur, John/0000-0003-1461-7805; Martínez, SERGIO/0000-0002-5684-606X</t>
  </si>
  <si>
    <t>ANPCyT (Agencia Nacional de Promocion Cientifica y Tecnologica) [PICT RAICES 1839]; CONICET (Consejo Nacional de Investigaciones Cientificas y Tecnologicas) [PIP 1649]</t>
  </si>
  <si>
    <t>ANPCyT (Agencia Nacional de Promocion Cientifica y Tecnologica)(ANPCyT); CONICET (Consejo Nacional de Investigaciones Cientificas y Tecnologicas)(Consejo Nacional de Investigaciones Cientificas y Tecnicas (CONICET))</t>
  </si>
  <si>
    <t>We greatly appreciate to the Base Naval in Puerto Deseado and to J. and M. Rudd for their hospitality, and to L. Diaz for her help. The present paper has been supported by the Research Projects PICT RAICES 1839 funded by the ANPCyT (Agencia Nacional de Promocion Cientifica y Tecnologica) and PIP 1649 by CONICET (Consejo Nacional de Investigaciones Cientificas y Tecnologicas).</t>
  </si>
  <si>
    <t>0895-9811</t>
  </si>
  <si>
    <t>J S AM EARTH SCI</t>
  </si>
  <si>
    <t>J. South Am. Earth Sci.</t>
  </si>
  <si>
    <t>10.1016/j.jsames.2013.08.004</t>
  </si>
  <si>
    <t>242BO</t>
  </si>
  <si>
    <t>WOS:000326212600017</t>
  </si>
  <si>
    <t>Scott, FJ; Saunders, GW; Kraft, GT</t>
  </si>
  <si>
    <t>Scott, Fiona J.; Saunders, Gary W.; Kraft, Gerald T.</t>
  </si>
  <si>
    <t>Entwisleia bella, gen. et sp. nov., a novel marine 'batrachospermaceous' red alga from southeastern Tasmania representing a new family and order in the Nemaliophycidae</t>
  </si>
  <si>
    <t>EUROPEAN JOURNAL OF PHYCOLOGY</t>
  </si>
  <si>
    <t>anatomy; Batrachospermum; Colaconematales; Entwisleia; Entwisleiaceae; Entwisleiales; molecular phylogenetics; morphology; Nemaliophycidae; new taxa; Rhodophyta; Tasmania; taxonomy</t>
  </si>
  <si>
    <t>SMALL-SUBUNIT; RHODOPHYTA; FLORIDEOPHYCEAE; DNA; MORPHOLOGY; ALGORITHM; RDNA</t>
  </si>
  <si>
    <t>A new family, genus and species in the new order Entwisleiales of the subclass Nemaliophycidae are described for a subtidal marine red alga (Entwisleia bella F.J. Scott, G.W. Saunders &amp; Kraft) from Tasmania in Australia's cool-temperate southeast. Thalli are uniaxial, the stout cells of the single central-axial filament bearing varying numbers of whorled periaxial cells and fascicles of determinant cortical filaments at their distal poles, as well as dense aggregates of secondary internodal filaments arising perpendicularly on basipetal rhizoids that issue from periaxial cells. Plants are dioecious, the spermatangia sessile on distal bearing cells of primary and secondary cortical filaments. Carpogonial branches are four- to eight-celled and directed outwardly from the thallus, and produce simple to highly branched laterals from subhypogynous cells. Presumed fertilization results in several gonimoblast initials being cut from the lateral surface of the carpogonium by vertical cross walls, the ensuing gonimoblasts forming a compact carposporophyte subtended by, but not mixed with, the sterile filaments on the carpogonial branch. Terminal carposporangia form across the surface layer of the gonimoblasts and a fusion cell is not produced. The thalli are particularly batrachospermaceous in vegetative and reproductive morphology, a highly anomalous phenomenon considering that the Batrachospermales is an order totally confined to freshwater habitats. Despite the morphological and anatomical similarities to Batrachospermum and closely related genera, the consensus of multigene sequence analyses indicates that the new genus forms a sister clade to the Colaconematales, even though the members of that group differ in virtually every aspect of habit and anatomy from the gametophytic thalli of Entwisleia.</t>
  </si>
  <si>
    <t>[Scott, Fiona J.] Univ Tasmania, Inst Marine &amp; Antarctic Studies, Hobart, Tas 7005, Australia; [Saunders, Gary W.] Univ New Brunswick, Dept Biol, Fredericton, NB E3B 5A3, Canada; [Kraft, Gerald T.] Univ Melbourne, Sch Bot, Parkville, Vic 3010, Australia</t>
  </si>
  <si>
    <t>University of Tasmania; University of New Brunswick; University of Melbourne</t>
  </si>
  <si>
    <t>Scott, FJ (corresponding author), Univ Tasmania, Inst Marine &amp; Antarctic Studies, Hobart, Tas 7005, Australia.</t>
  </si>
  <si>
    <t>scottfj@utas.edu.au</t>
  </si>
  <si>
    <t>Saunders, Gary/D-8767-2014</t>
  </si>
  <si>
    <t>Saunders, Gary/0000-0003-4813-6831</t>
  </si>
  <si>
    <t>Australian Commonwealth Environmental Research Facilities (CERF/NERP, Marine Biodiversity Hub); Winifred Violet Scott Trust; Canadian Barcode of Life Network from Genome Canada through the Ontario Genomics Institute; Natural Sciences and Engineering Research Council of Canada; Canada Research Chair Program; Canada Foundation for Innovation; New Brunswick Innovation Foundation; NSF through the RedToL project</t>
  </si>
  <si>
    <t>Australian Commonwealth Environmental Research Facilities (CERF/NERP, Marine Biodiversity Hub); Winifred Violet Scott Trust; Canadian Barcode of Life Network from Genome Canada through the Ontario Genomics Institute(Genome Canada); Natural Sciences and Engineering Research Council of Canada(Natural Sciences and Engineering Research Council of Canada (NSERC)CGIAR); Canada Research Chair Program(Canada Research Chairs); Canada Foundation for Innovation(Canada Foundation for InnovationCGIARSpanish Government); New Brunswick Innovation Foundation; NSF through the RedToL project</t>
  </si>
  <si>
    <t>The first author wishes to thank her PhD supervisors, Prof. James Kirkpatrick, Prof. Graham Edgar and Dr Neville Barrett, for their generous encouragement of her ecological research in the subtidal marine habitats of southeastern Tasmania, and to her diving partners and field team Iona Mitchell, Amelia Fowles and Robert Wills for dedicated assistance throughout the years. Logistic support was provided by University of Tasmania and the Australian Antarctic Division (Electron Microscope Unit). Financial support to FJS was provided by the Australian Commonwealth Environmental Research Facilities (CERF/NERP, Marine Biodiversity Hub) and the Winifred Violet Scott Trust, and to G. Edgar through an Australian Research Council (ARC) linkage project. GWS thanks Tanya Moore for generating most of the sequence data used in this project, Drs Daryl Lam and Heroen Verbruggen for assistance with the program gDam, and Kyatt Dixon for the introduction to RAxML. Bridgette Clarkson, Susan Clayden, Kyatt Dixon, Suzanne Fredericq, David Garbary, Susan Loiseaux de Goer, Katy Hind, Robert Hooper, John Huisman, Lesleigh Kraft, Line Le Gall, Enrique Martinez, Dan McDevit, Iona Mitchell, Ruth Nielsen, D. Pascoaloto, Curt Pueschel, Brian Rudolph, Hector Ruiz, Robin Sheath, Anne Stewart, Melissa Tesche, Jose Utge, Heroen Verbruggen, Morgan Vis and John West all contributed to the collection of samples used in the molecular aspects of this project. The research was supported through funding to GWS from the Canadian Barcode of Life Network from Genome Canada through the Ontario Genomics Institute, Natural Sciences and Engineering Research Council of Canada and other sponsors listed at www.BOLNET.ca. Additional support to GWS was provided by the Canada Research Chair Program, the Canada Foundation for Innovation and the New Brunswick Innovation Foundation, as well as NSF through the RedToL project. GTK gratefully acknowledges the Australian Biological Resources Study for longstanding research support, Ms Rebecca Herrington for vital organization of fieldwork logistics, and the Botany Departments of the Universities of Melbourne and Hawaii for major financial assistance. We thank Dr Tom Schils and an anonymous referee for many helpful suggestions for improving the manuscript.</t>
  </si>
  <si>
    <t>0967-0262</t>
  </si>
  <si>
    <t>1469-4433</t>
  </si>
  <si>
    <t>EUR J PHYCOL</t>
  </si>
  <si>
    <t>Eur. J. Phycol.</t>
  </si>
  <si>
    <t>10.1080/09670262.2013.849359</t>
  </si>
  <si>
    <t>270KU</t>
  </si>
  <si>
    <t>WOS:000328318100005</t>
  </si>
  <si>
    <t>Lanci, L; Delmonte, B</t>
  </si>
  <si>
    <t>Lanci, L.; Delmonte, B.</t>
  </si>
  <si>
    <t>Magnetic properties of aerosol dust in peripheral and inner Antarctic ice cores as a proxy for dust provenance</t>
  </si>
  <si>
    <t>Rock magnetism; Talos Dome; ice cores; Quaternary climate; aerosol dust</t>
  </si>
  <si>
    <t>EAST ANTARCTICA; AEOLIAN DUST; DOME-C; GREENLAND ICE; VICTORIA LAND; CLIMATE; VOSTOK</t>
  </si>
  <si>
    <t>We use laboratory-induced remanent magnetization of polar ice to measure the rock-magnetic properties of the aerosol dust directly in ice samples. Former studies on Vostok and EPICA-Dome C ice core, recovered on the inner East Antarctic ice sheet, revealed that glacial and interglacial periods of the latter are characterized by distinct magnetic mineralogies at Dome C, which might reflect different dust source areas. In this work we present the first results on glacial and Holocene samples from the TALDICE ice core, collected at the peripheral site of Tabs Dome located at high-elevation on the ice sheet close to some ice-free areas of the Transantarctic mountains. Magnetic properties of interglacial samples from both Dome-C and Tabs Dome ice cores turned out to have peculiar characteristics that suggest an enhanced concentration of Fe-rich minerals in the aerosol dust, compared to Vostok. The most likely explanation for the extremely high dust magnetization measured in interglacial samples is the presence of volcanic material, although occasional occurrence of meteoritic material (micrometeorites) cannot be ruled out. The volcanic nature of the Holocene aerosol dust and its variability between sites provides further constrains on dust geographic provenance that are complementary to geochemical and physical evidences. Moreover, the calculations of the flux of the highly magnetic dust provide information on wind transport toward the continent interior during the Holocene. (C) 2013 Elsevier B.V. All rights reserved.</t>
  </si>
  <si>
    <t>[Lanci, L.] Univ Urbino Carlo Bo, Dept Base Sci &amp; Fundamentals, Urbino, Italy; [Delmonte, B.] Univ Milano Bicocca, Dept Earth &amp; Environm Sci, Milan, Italy</t>
  </si>
  <si>
    <t>University of Urbino; University of Milano-Bicocca</t>
  </si>
  <si>
    <t>Lanci, L (corresponding author), Univ Urbino Carlo Bo, Dept Base Sci &amp; Fundamentals, Urbino, Italy.</t>
  </si>
  <si>
    <t>luca.lanci@uniurb.it</t>
  </si>
  <si>
    <t>Delmonte, Barbara/L-2555-2015; Lanci, Luca/J-8823-2015</t>
  </si>
  <si>
    <t>Delmonte, Barbara/0000-0002-9074-2061; Lanci, Luca/0000-0002-3389-6371</t>
  </si>
  <si>
    <t>10.1016/j.gloplacha.2013.05.003</t>
  </si>
  <si>
    <t>284PW</t>
  </si>
  <si>
    <t>WOS:000329333400014</t>
  </si>
  <si>
    <t>Brachfeld, S; Pinzon, J; Darley, J; Sagnotti, L; Kuhn, G; Florindo, F; Wilson, G; Ohneiser, C; Monien, D; Joseph, L</t>
  </si>
  <si>
    <t>Brachfeld, Stefanie; Pinzon, Juliana; Darley, Jason; Sagnotti, Leonardo; Kuhn, Gerhard; Florindo, Fabio; Wilson, Gary; Ohneiser, Christian; Monien, Donata; Joseph, Leah</t>
  </si>
  <si>
    <t>Iron oxide tracers of ice sheet extent and sediment provenance in the ANDRILL AND-1B drill core, Ross Sea, Antarctica</t>
  </si>
  <si>
    <t>ANDRILL; Antarctic Ice Sheet; rock magnetism; sediment provenance; electron microscopy</t>
  </si>
  <si>
    <t>VICTORIA LAND; VOLCANISM; FERRAR; TITANOMAGNETITES; EMPLACEMENT; EMBAYMENT; EVOLUTION; CLIMATE; BREAKUP; RECORD</t>
  </si>
  <si>
    <t>The AND-1B drill core recovered a 13.57 million year Miocene through Pleistocene record from beneath the McMurdo Ice Shelf in Antarctica (77.9 degrees S, 167.1 degrees E). Varying sedimentary fades in the 1285 m core indicate glacial-interglacial cyclicity with the proximity of ice at the site ranging from grounding of ice in 917 m of water to ice free marine conditions. Broader interpretation of climatic conditions of the wider Ross Sea Embayment is deduced from provenance studies. Here we present an analysis of the iron oxide assemblages in the AND-1B core and interpret their variability with respect to wider paleoclimatic conditions. The core is naturally divided into an upper and lower succession by an expanded 170 m thick volcanic interval between 590 and 760 m. Above 590 m the Plio-Pleistocene glacial cycles are diatom rich and below 760 m late Miocene glacial cycles are terrigenous. Electron microscopy and rock magnetic parameters confirm the subdivision with biogenic silica diluting the terrigenous input (fine pseudo-single domain and stable single domain titanomagnetite from the McMurdo Volcanic Group with a variety of textures and compositions) above 590 m. Below 760 m, the Miocene section consists of coarse-grained ilmenite and multidomain magnetite derived from Transantarctic Mountain lithologies. This may reflect ice flow patterns and the absence of McMurdo Volcanic Group volcanic centers or indicate that volcanic centers had not yet grown to a significant size. The combined rock magnetic and electron microscopy signatures of magnetic minerals serve as provenance tracers in both ice proximal and distal sedimentary units, aiding in the study of ice sheet extent and dynamics, and the identification of ice rafted debris sources and dispersal patterns in the Ross Sea sector of Antarctica. (C) 2013 Elsevier B.V. All rights reserved.</t>
  </si>
  <si>
    <t>[Brachfeld, Stefanie; Pinzon, Juliana; Darley, Jason] Montclair State Univ, Dept Earth &amp; Environm Studies, Montclair, NJ 07043 USA; [Pinzon, Juliana] Montclair State Univ, Dept Biol &amp; Mol Biol, Montclair, NJ 07043 USA; [Sagnotti, Leonardo; Florindo, Fabio] Ist Nazl Geofis &amp; Vulcanol, I-00143 Rome, Italy; [Kuhn, Gerhard; Monien, Donata] Alfred Wegener Inst, Helmholtz Zentrum Polar &amp; Meeresforschung, D-27568 Bremerhaven, Germany; [Wilson, Gary] Univ Otago, Dept Marine Sci, Dunedin, New Zealand; [Ohneiser, Christian] Univ Otago, Dept Geol, Dunedin, New Zealand; [Monien, Donata] Carl von Ossietzlcy Univ Oldenburg, Inst Chem &amp; Biol Marine Environm, D-26111 Oldenburg, Germany; [Joseph, Leah] Ursinus Coll, Dept Environm Studies, Collegeville, PA 19426 USA</t>
  </si>
  <si>
    <t>Montclair State University; Montclair State University; Istituto Nazionale Geofisica e Vulcanologia (INGV); Helmholtz Association; Alfred Wegener Institute, Helmholtz Centre for Polar &amp; Marine Research; University of Otago; University of Otago</t>
  </si>
  <si>
    <t>Brachfeld, S (corresponding author), Montclair State Univ, Dept Earth &amp; Environm Studies, Montclair, NJ 07043 USA.</t>
  </si>
  <si>
    <t>brachfelds@mail.montclair.edu</t>
  </si>
  <si>
    <t>Sagnotti, Leonardo/AFM-3916-2022; Florindo, Fabio/M-1459-2019; Ohneiser, Christian/B-5797-2018; Wilson, Gary S/B-3803-2010; Florindo, Fabio/F-4119-2010; Florindo, Fabio/AAU-2548-2021</t>
  </si>
  <si>
    <t>Sagnotti, Leonardo/0000-0003-3944-201X; Florindo, Fabio/0000-0002-6058-9748; Florindo, Fabio/0000-0002-6058-9748; Wilson, Gary/0000-0003-0025-3641; Ohneiser, Christian/0000-0002-2781-2522; Kuhn, Gerhard/0000-0001-6069-7485; Brachfeld, Stefanie/0000-0003-4612-2866</t>
  </si>
  <si>
    <t>U.S. National Science Foundation via ANDRILL Management Office; U.S. National Science Foundation; NZ Foundation for Research Science and Technology; Royal Society of New Zealand Marsden Fund; Italian Antarctic Research Programme (PNRA); German Research Foundation (DFG) [KU 683/8]; Alfred-Wegener-Institut Helmholtz-Zentrum fur Polar- und Meeresforschung; Directorate For Geosciences; Office of Polar Programs (OPP) [1141906] Funding Source: National Science Foundation</t>
  </si>
  <si>
    <t>U.S. National Science Foundation via ANDRILL Management Office(National Science Foundation (NSF)); U.S. National Science Foundation(National Science Foundation (NSF)); NZ Foundation for Research Science and Technology(New Zealand Foundation for Research, Science and Technology); Royal Society of New Zealand Marsden Fund(Royal Society of New ZealandMarsden Fund (NZ)); Italian Antarctic Research Programme (PNRA); German Research Foundation (DFG)(German Research Foundation (DFG)); Alfred-Wegener-Institut Helmholtz-Zentrum fur Polar- und Meeresforschung; Directorate For Geosciences; Office of Polar Programs (OPP)(National Science Foundation (NSF)NSF - Directorate for Geosciences (GEO))</t>
  </si>
  <si>
    <t>We thank the ANDRILL MIS Science Team, drillers, curators, Raytheon Polar Services staff, and the ANDRILL Science Management Office for their efforts and assistance during the ANDRILL Program. This work was supported by a grant from the U.S. National Science Foundation via subcontract from the ANDRILL Management Office. We thank Luisa Bouhot for laboratory assistance, U.S. Polar Rock Repository curator Anne Grunow for providing guidance and samples, and Stan Jacobs for access to sediment samples from NBP07-02. The ANDRILL Program is a multinational collaboration between the Antarctic Programs of Germany, Italy, New Zealand, and the United States. Antarctica New Zealand is the project operator, and has developed the drilling system in collaboration with Alex Pyne at Victoria University of Wellington and Webster Drilling and Enterprises Ltd. Scientific studies are jointly supported by the U.S. National Science Foundation, NZ Foundation for Research Science and Technology, Royal Society of New Zealand Marsden Fund, the Italian Antarctic Research Programme (PNRA), the German Research Foundation (DFG, Project KU 683/8), and the Alfred-Wegener-Institut Helmholtz-Zentrum fur Polar- und Meeresforschung. Antarctica New Zealand supported the drilling team at Scott Base; Raytheon Polar Services supported the science team at McMurdo Station and the Crary Science and Engineering Laboratory. The ANDRILL Science Management Office at the University of Nebraska-Lincoln provided science planning and operational support. This manuscript was improved by the thoughtful comments provided by two anonymous reviewers and the GPC editorial staff.</t>
  </si>
  <si>
    <t>10.1016/j.gloplacha.2013.09.015</t>
  </si>
  <si>
    <t>WOS:000329333400015</t>
  </si>
  <si>
    <t>Florindo, F; Farmer, RK; Harwood, DM; Cody, RD; Levy, R; Bohaty, SM; Carter, L; Winkler, A</t>
  </si>
  <si>
    <t>Florindo, Fabio; Farmer, Ryan K.; Harwood, David M.; Cody, Rosemary D.; Levy, Richard; Bohaty, Steven M.; Carter, Lionel; Winkler, Aldo</t>
  </si>
  <si>
    <t>Paleomagnetism and biostratigraphy of sediments from Southern Ocean ODP Site 744 (southern Kerguelen Plateau): Implications for early-to-middle Miocene climate in Antarctica</t>
  </si>
  <si>
    <t>Antarctica; Paleoclimate; Miocene; Diatom biostratigraphy; Paleomagnetism; CONOP; Kerguelen Plateau</t>
  </si>
  <si>
    <t>CARBON-DIOXIDE CONCENTRATIONS; CIRCUMPOLAR CURRENT; EOCENE-OLIGOCENE; EVOLUTION; GLACIATION; EAST; PALEOTEMPERATURES; CIRCULATION; TRANSITION; CHRONOLOGY</t>
  </si>
  <si>
    <t>New paleomagnetic results from lower-to-middle Miocene samples from Ocean Drilling Program (ODP) Holes 744A and 744B, cored during ODP Leg 119 on the southern Kerguelen Plateau (Indian Ocean sector; Southern Ocean), provide a chronostratigraphic framework for an existing and under-utilized paleoclimate archive during a key period of Antarctic climate and ice sheet evolution. Site 744 is strategically positioned for high-latitude paleoceanographic and paleoclimatic studies because it lies within the southern domain of the Antarctic Circumpolar Current (ACC) and in proximity to the large and active Lambert Glacier-Amery Ice Shelf drainage system of the East Antarctic Ice Sheet. Magnetostratigraphic results were reported previously for this site, but technical difficulties and limited sampling prevented confident correlation of the magnetic polarity record with the geomagnetic polarity timescale. Our results, which are constrained by new semi-quantitative analyses of diatom assemblages and radiolarian first and last appearance events that are evaluated within a regional Southern Ocean biostratigraphic dataset through Constrained Optimization (CONOP) model runs, permit significant refinement of previous age models for the lower-to-middle Miocene sequence recovered at Site 744 (spanning the interval from similar to 21 to 13.7 Ma). An extended record of sediment accumulation, with average sedimentation rates of similar to 0.7-0.9 cm/kyr, is interrupted by a series of hiatuses in the middle Miocene. These disruptions in sediment supply, or erosional events, could mark a local response of north-south fluctuations in the location and/or strength of the Antarctic Circumpolar Current during transient glacial events within the Mid-Miocene Climate Optimum (MMCO; similar to 17 to 14.45 Ma). With the enhanced age control provided by this study, combined with a refined chronostratigraphy for the underlying upper Eocene to Oligocene strata, Site 744 becomes a good candidate for future high-resolution stable isotope and microfossil paleoecological work, which will further elucidate the late Paleogene and early Neogene paleoenvironmental history of the Southern Ocean. (C) 2013 Elsevier B.V. All rights reserved.</t>
  </si>
  <si>
    <t>[Florindo, Fabio; Winkler, Aldo] Ist Nazl Geofis &amp; Vulcanol, I-00143 Rome, Italy; [Farmer, Ryan K.; Harwood, David M.] Univ Nebraska, Dept Earth &amp; Atmospher Sci, Lincoln, NE 68588 USA; [Cody, Rosemary D.; Levy, Richard; Carter, Lionel] Victoria Univ Wellington, Antarctic Res Ctr, Wellington 6012, New Zealand; [Cody, Rosemary D.] GNS Sci, Lower Hutt 5040, New Zealand; [Bohaty, Steven M.] Univ Southampton, Natl Oceanog Ctr, Sch Ocean &amp; Earth Sci, Southampton SO14 3ZH, Hants, England</t>
  </si>
  <si>
    <t>Istituto Nazionale Geofisica e Vulcanologia (INGV); University of Nebraska System; University of Nebraska Lincoln; Victoria University Wellington; GNS Science - New Zealand; University of Southampton; NERC National Oceanography Centre</t>
  </si>
  <si>
    <t>Florindo, F (corresponding author), Ist Nazl Geofis &amp; Vulcanol, Via Vigna Murata 605, I-00143 Rome, Italy.</t>
  </si>
  <si>
    <t>fabio.florindo@ingv.it</t>
  </si>
  <si>
    <t>Winkler, Aldo/AGG-8501-2022; Levy, Richard H/E-2477-2011; Florindo, Fabio/F-4119-2010; Florindo, Fabio/AAU-2548-2021; Florindo, Fabio/M-1459-2019</t>
  </si>
  <si>
    <t>Winkler, Aldo/0000-0002-0653-0059; Florindo, Fabio/0000-0002-6058-9748; Florindo, Fabio/0000-0002-6058-9748; Levy, Richard/0000-0002-8783-0167</t>
  </si>
  <si>
    <t>U.S. National Science Foundation (NSF); NSF [0342484]; Japan's MEXT; ECORD; People's Republic of China, Ministry of Science and Technology; University of Nebraska-Lincoln; Italian National Antarctic Research Program (PNRA); Directorate For Geosciences; Office of Polar Programs (OPP) [0342484] Funding Source: National Science Foundation</t>
  </si>
  <si>
    <t>U.S. National Science Foundation (NSF)(National Science Foundation (NSF)); NSF(National Science Foundation (NSF)); Japan's MEXT(Ministry of Education, Culture, Sports, Science and Technology, Japan (MEXT)); ECORD; People's Republic of China, Ministry of Science and Technology; University of Nebraska-Lincoln; Italian National Antarctic Research Program (PNRA)(Ministry of Education, Universities and Research (MIUR)); Directorate For Geosciences; Office of Polar Programs (OPP)(National Science Foundation (NSF)NSF - Directorate for Geosciences (GEO))</t>
  </si>
  <si>
    <t>We thank the IODP for granting permission to work on the studied cores and IODP personnel at the Gulf Coast Repository for assistance with sampling. The IODP is sponsored by the U.S. National Science Foundation (NSF) and participating countries under management of Joint Oceanographic Institutions (JOI), Inc. IODP is supported by NSF, Japan's MEXT, ECORD, and the People's Republic of China, Ministry of Science and Technology. This research was conducted in parallel with the investigation of the ANDRILL AND-2A drillcore in the western Ross Sea, which was supported by NSF through a Cooperative Agreement 0342484 with the University of Nebraska-Lincoln, which supported a portion of the graduate research of R. Farmer. Parts of this work benefitted from funding from the Italian National Antarctic Research Program (PNRA) to FF. Reviews and comments by Andrew Roberts, Matt Olney, an anonymous reviewer and the Guest Editor Ramon Egli helped to improve the manuscript .</t>
  </si>
  <si>
    <t>10.1016/j.gloplacha.2013.05.004</t>
  </si>
  <si>
    <t>WOS:000329333400016</t>
  </si>
  <si>
    <t>Tarakanov, RY; Makarenko, NI; Morozov, EG</t>
  </si>
  <si>
    <t>Tarakanov, R. Yu; Makarenko, N. I.; Morozov, E. G.</t>
  </si>
  <si>
    <t>Antarctic bottom water flow in the western part of the Romanche Fracture Zone based on the measurements in October of 2011</t>
  </si>
  <si>
    <t>OCEANOLOGY</t>
  </si>
  <si>
    <t>TRANSPORT; OCEAN</t>
  </si>
  <si>
    <t>The properties of the Antarctic Bottom Water flow in the region of its inflow to the channel of the Romanche Fracture Zone at 22A degrees 10'aEuro22A degrees 30' W are studied on the basis of CTD and LADCP profiling in the western part of the equatorial fracture zone. A deep water cataract was found at the sill over the southern wall of the fracture with a depth of approximately 4600 m, which is associated with the abyssal flow, whose potential temperature is lower than 1A degrees C. The inflow of water into the channel of the fracture in this temperature range is fully localized over this sill. The minimum potential temperature theta recorded in 2011 near the bottom was equal to 0.51A degrees C, which is lower approximately by 0.12A degrees C than the minimum temperatures ever measured in the western part of the fracture. The water transport in the cataract was estimated at 0.2 Sv (1 Sv = 10(6) m(3)/s), which is approximately 30% of the known estimates of the total transport of Antarctic Bottom Water (theta &lt; 1.9A degrees C) through the fracture. The extremely high intensity of the cross isothermal mixing in the cataract region was found. The analysis of the bottom topography data, including the historical WOD09 dataset, shows that the inflow of water with 1.00A degrees &lt; theta &lt; 1.70A degrees C into the channel of the fracture is most likely fully localized in a few passages in the region of the survey in 2011, while the water exchange with the abyssal waters with theta &gt; 1.70A degrees C through the Romanche Fracture Zone between the West and East Atlantic can also occur through the depressions in the southern and northern walls of the fracture in the region of the Vema Deep.</t>
  </si>
  <si>
    <t>[Tarakanov, R. Yu; Morozov, E. G.] Russian Acad Sci, PP Shirshov Oceanol Inst, Moscow, Russia; [Makarenko, N. I.] Russian Acad Sci, Lavrentiev Inst Hydrodynam, Siberian Branch, Novosibirsk, Russia</t>
  </si>
  <si>
    <t>Russian Academy of Sciences; Shirshov Institute of Oceanology; Russian Academy of Sciences; Lavrentyev Institute of Hydrodynamics</t>
  </si>
  <si>
    <t>Tarakanov, RY (corresponding author), Russian Acad Sci, PP Shirshov Oceanol Inst, Moscow, Russia.</t>
  </si>
  <si>
    <t>rtarakanov@gmail.com</t>
  </si>
  <si>
    <t>Morozov, Eugene G/L-3023-2018; Tarakanov, Roman/R-3325-2016; Makarenko, Nikolay/L-1713-2017</t>
  </si>
  <si>
    <t>Tarakanov, Roman/0000-0002-8711-1859; Morozov, Eugene/0000-0002-0251-3454</t>
  </si>
  <si>
    <t>0001-4370</t>
  </si>
  <si>
    <t>1531-8508</t>
  </si>
  <si>
    <t>OCEANOLOGY+</t>
  </si>
  <si>
    <t>Oceanology</t>
  </si>
  <si>
    <t>10.1134/S0001437013050147</t>
  </si>
  <si>
    <t>277WW</t>
  </si>
  <si>
    <t>WOS:000328851000002</t>
  </si>
  <si>
    <t>Levy, SB; Leonard, WR; Tarskaia, LA; Klimova, TM; Fedorova, VI; Baltakhinova, ME; Krivoshapkin, VG; Snodgrass, JJ</t>
  </si>
  <si>
    <t>Levy, Stephanie B.; Leonard, William R.; Tarskaia, Larissa A.; Klimova, Tatiana M.; Fedorova, Valentina I.; Baltakhinova, Marina E.; Krivoshapkin, Vadim G.; Snodgrass, James J.</t>
  </si>
  <si>
    <t>Seasonal and Socioeconomic Influences on Thyroid Function Among the Yakut (Sakha) of Eastern Siberia</t>
  </si>
  <si>
    <t>AMERICAN JOURNAL OF HUMAN BIOLOGY</t>
  </si>
  <si>
    <t>PROLONGED ANTARCTIC RESIDENCE; BASAL METABOLIC-RATE; INDIGENOUS SIBERIANS; BLOOD-PRESSURE; POPULATION; ADAPTATION; SERUM; THYROTROPIN; HORMONES; LEPTIN</t>
  </si>
  <si>
    <t>ObjectivesPrevious research has shown that the extreme cold and short day lengths of polar winters promote increased production and uptake of thyroid hormones, resulting in marked declines in free triiodothyronine (fT3). However, this polar T3 syndrome has been documented almost exclusively on small samples of male sojourners and little is known about seasonal changes in thyroid function among indigenous circumpolar groups. The present study addresses this gap by examining seasonal changes in thyroid hormone levels among the indigenous Yakut (Sakha) of northeastern Siberia. MethodsAnthropometric dimensions and thyroid measures (fT3, free thyroxine [fT4], thyroid-stimulating hormone [TSH]) were obtained on two occasions (July/August, 2009 and January 2011) on a sample of 134 Yakut adults (51 men, 83 women) from the village of Berdygestiakh, Sakha Republic/Yakutia, Russia. ResultsYakut men and women both displayed significant declines in fT3 and fT4, and significant increases in TSH from summer to winter despite showing only modest seasonal changes in body mass and composition. Among men, gains in fat-free mass (FFM) were associated with larger reductions in fT3 and greater increases in TSH. Men living more traditional lifeways showed larger winter declines in fT4 and greater increases in TSH. ConclusionsThe Yakut exhibited significant winter declines in fT3 levels similar to other circumpolar groups studied. However, the magnitude of seasonal change was greater in the Yakut, perhaps reflecting their distinctive metabolic physiology. Lifestyle factors play a mediating role in thyroid responses, such that men with more traditional lifeways had more exaggerated seasonal changes. Am. J. Hum. Biol. 25:814-820, 2013. (c) 2013 Wiley Periodicals, Inc.</t>
  </si>
  <si>
    <t>[Levy, Stephanie B.; Leonard, William R.] Northwestern Univ, Dept Anthropol, Evanston, IL 60208 USA; [Tarskaia, Larissa A.] Russian Acad Sci, Inst Mol Genet, Moscow 123182, Russia; [Tarskaia, Larissa A.] Univ Kansas, Dept Anthropol, Lawrence, KS 66045 USA; [Klimova, Tatiana M.; Fedorova, Valentina I.; Baltakhinova, Marina E.; Krivoshapkin, Vadim G.] MK Ammosov North Eastern Fed Univ, Res Inst Hlth, Yakutsk, Russia; [Snodgrass, James J.] Univ Oregon, Dept Anthropol, Eugene, OR 97403 USA; [Snodgrass, James J.] Univ Oregon, Inst Cognit &amp; Decis Sci, Eugene, OR 97403 USA</t>
  </si>
  <si>
    <t>Northwestern University; Russian Academy of Sciences; University of Kansas; North-Eastern Federal University in Yakutsk; University of Oregon; University of Oregon</t>
  </si>
  <si>
    <t>Levy, SB (corresponding author), Northwestern Univ, Dept Anthropol, 1810 Hinman Ave, Evanston, IL 60208 USA.</t>
  </si>
  <si>
    <t>Stephanie-Levy@u.northwestern.edu</t>
  </si>
  <si>
    <t>Klimova, Tatiana/AAO-7614-2020; Baltakhinova, Marina E/H-1491-2019; Leonard, William R./I-5981-2019; Krivoshapkin, Vadim/AAX-9511-2021; , Valentina/F-8875-2014</t>
  </si>
  <si>
    <t>Klimova, Tatiana/0000-0003-2746-0608; Krivoshapkin, Vadim/0000-0002-8960-3283; Levy, Stephanie/0000-0003-2828-2014; , Valentina/0000-0002-6147-4643; Leonard, William/0000-0002-6233-604X</t>
  </si>
  <si>
    <t>National Science Foundation [ARC-0802390]; Northwestern University, University of Oregon; FSRI Institute of Health</t>
  </si>
  <si>
    <t>National Science Foundation(National Science Foundation (NSF)); Northwestern University, University of Oregon; FSRI Institute of Health</t>
  </si>
  <si>
    <t>Contract grant sponsor: National Science Foundation; Contract grant number: ARC-0802390; Contract grant sponsor: Northwestern University, University of Oregon and FSRI Institute of Health.</t>
  </si>
  <si>
    <t>1042-0533</t>
  </si>
  <si>
    <t>1520-6300</t>
  </si>
  <si>
    <t>AM J HUM BIOL</t>
  </si>
  <si>
    <t>Am. J. Hum. Biol.</t>
  </si>
  <si>
    <t>10.1002/ajhb.22457</t>
  </si>
  <si>
    <t>Anthropology; Biology</t>
  </si>
  <si>
    <t>Anthropology; Life Sciences &amp; Biomedicine - Other Topics</t>
  </si>
  <si>
    <t>273WC</t>
  </si>
  <si>
    <t>WOS:000328566000010</t>
  </si>
  <si>
    <t>Kim, BC; Oh, HW; Kim, H; Park, DS; Hong, SG; Lee, HK; Bae, KS</t>
  </si>
  <si>
    <t>Kim, Byung-Chun; Oh, Hyun Woo; Kim, Hyangmi; Park, Doo-Sang; Hong, Soon Gyu; Lee, Hong Kum; Bae, Kyung Sook</t>
  </si>
  <si>
    <t>Polaribacter sejongensis sp nov., isolated from Antarctic soil, and emended descriptions of the genus Polaribacter, Polaribacter butkevichii and Polaribacter irgensii</t>
  </si>
  <si>
    <t>INTERNATIONAL JOURNAL OF SYSTEMATIC AND EVOLUTIONARY MICROBIOLOGY</t>
  </si>
  <si>
    <t>DEOXYRIBONUCLEIC-ACID; BACTERIA</t>
  </si>
  <si>
    <t>A Gram-staining-negative, catalase- and oxidase-positive, non-motile bacterium, designated strain KOPRI 21160(T), was isolated from Antarctic soil. Based on 16S rRNA gene sequence analysis, strain KOPRI 21160(T) was found to belong to the genus Polaribacter. Sequence similarity between strain KOPRI 21160(T) and the type strains of species of the genus Polaribacter was 94.2-98.3%. The nearest phylogenetic neighbours of strain KOPRI 21160(T) were Polaribacter butkevichii KCTC 12100(T) (98.3% similarity) and Polaribacter irgensii KCTC 23136(T) (97.5%). DNA DNA relatedness was 50.6%, between strain KOPRI 21160(T) and P. butkevichii KCTC 12100(T), and 45.2% between strain KOPRI 21160(T) and P. irgensii KCTC 23136(T). Strain KOPRI 21160(T) grew at 4-37 degrees C and at pH 7.0-8.5. It could hydrolyse DNA, starch and Tweens 20, 40, 60 and 80. Menaquinone-6 (MK-6) was the only respiratory quinone, and iso-C-15:0, iso-C-15:0 3-OH and C-15:1 omega 6c were the major cellular fatty acids. The major polar lipids were phosphatidylethanolamine, two unidentified aminolipids and one unidentified lipid. The DNA G+C content was 30.0 mol%. Based on data from our polyphasic study, the organism is considered to represent a novel species of the genus Polaribacter, for which we propose the name Polaribacter sejongensis sp. nov. The type strain is KOPRI 21160(T) (=KCTC 23670(T)=JCM 18092(T)). Emended descriptions of the genus Polaribacter, Polaribacter butkevichii Nedashkovskaya et al. 2005 and Polaribacter irgensii Gosink et aL 1998 are also proposed.</t>
  </si>
  <si>
    <t>[Kim, Byung-Chun; Oh, Hyun Woo; Kim, Hyangmi; Park, Doo-Sang; Bae, Kyung Sook] KRIBB, Microbiol Resources Ctr, Taejon 305806, South Korea; [Kim, Byung-Chun] Hanyang Univ, Seoul 133791, South Korea; [Hong, Soon Gyu; Lee, Hong Kum] Korea Polar Res Inst, Div Polar Life Sci, Inchon 406840, South Korea</t>
  </si>
  <si>
    <t>Korea Research Institute of Bioscience &amp; Biotechnology (KRIBB); Hanyang University; Korea Polar Research Institute (KOPRI); Korea Institute of Ocean Science &amp; Technology (KIOST)</t>
  </si>
  <si>
    <t>Lee, HK (corresponding author), Korea Polar Res Inst, Div Polar Life Sci, Inchon 406840, South Korea.</t>
  </si>
  <si>
    <t>hklee@kopri.re.kr; ksbae@kribb.re.kr</t>
  </si>
  <si>
    <t>Park, Doo-Sun R/H-2793-2014; Park, Doo-Sun/U-9448-2019</t>
  </si>
  <si>
    <t>Park, Doo-Sun/0000-0002-4871-1341</t>
  </si>
  <si>
    <t>KRIBB Research Initiative Program [KBM4111241]; KOPRI [PE06050]</t>
  </si>
  <si>
    <t>KRIBB Research Initiative Program; KOPRI(Korea Polar Research Institute of Marine Research Placement (KOPRI))</t>
  </si>
  <si>
    <t>We thank Dr J. P. Euzeby for advice for the naming of this microorganism. This work was supported by a grant from the KRIBB Research Initiative Program (KBM4111241) and a grant from KOPRI (PE06050).</t>
  </si>
  <si>
    <t>MICROBIOLOGY SOC</t>
  </si>
  <si>
    <t>14-16 MEREDITH ST, LONDON, ENGLAND</t>
  </si>
  <si>
    <t>1466-5026</t>
  </si>
  <si>
    <t>1466-5034</t>
  </si>
  <si>
    <t>INT J SYST EVOL MICR</t>
  </si>
  <si>
    <t>Int. J. Syst. Evol. Microbiol.</t>
  </si>
  <si>
    <t>10.1099/ijs.0.047100-0</t>
  </si>
  <si>
    <t>275HJ</t>
  </si>
  <si>
    <t>WOS:000328666600011</t>
  </si>
  <si>
    <t>Mittlefehldt, DW; Herrin, JS; Quinn, JE; Mertzman, SA; Cartwright, JA; Mertzman, KR; Peng, ZX</t>
  </si>
  <si>
    <t>Mittlefehldt, David W.; Herrin, Jason S.; Quinn, Julie E.; Mertzman, Stanley A.; Cartwright, Julia A.; Mertzman, Karen R.; Peng, Zhan X.</t>
  </si>
  <si>
    <t>Composition and petrology of HED polymict breccias: The regolith of (4) Vesta</t>
  </si>
  <si>
    <t>METEORITICS &amp; PLANETARY SCIENCE</t>
  </si>
  <si>
    <t>CARBONACEOUS CHONDRITE CLASTS; PARENT BODY; BASALTIC ACHONDRITES; ANTARCTIC EUCRITES; CUMULATE EUCRITES; KAPOETA HOWARDITE; TREND EUCRITES; IMPACT MELTS; DIOGENITES; METEORITES</t>
  </si>
  <si>
    <t>We have done petrologic and compositional studies on a suite of polymict eucrites and howardites to better understand regolith processes on their parent asteroid, which we accept is (4) Vesta. Taking into account noble gas results from companion studies, we interpret five howardites to represent breccias assembled from the true regolith: Elephant Moraine (EET) 87513, Grosvenor Mountains (GRO) 95535, GRO 95602, Lewis Cliff (LEW) 85313, and Meteorite Hills (MET) 00423. We suggest that EET 87503 is paired with EET 87513, and thus is also regolithic. Pecora Escarpment (PCA) 02066 is dominated by melt-matrix clasts, which may have been formed from true regolith by impact melting. These meteorites display a range in eucrite:diogenite mixing ratio from 55:45 to 76:24. There is no correlation between degree of regolith character and Ni content. The Ni contents of howardite, eucrite, and diogenites (HEDs) are mostly controlled by the distribution of coarse chondritic clasts and metal grains, which in some cases resulted from individual, low-velocity accretion events, rather than extensive regolith gardening. Trace element compositions indicate that the mafic component of HED polymict breccias is mostly basalt similar to main-group eucrites; Stannern-trend basaltic debris is less common. Pyroxene compositions show that some trace element-rich howardites contain abundant debris from evolved basalts, and that cumulate gabbro debris is present in some breccias. The scale of heterogeneity varies considerably; regolithic howardite EET 87513 is more homogeneous than fragmental howardite Queen Alexandra Range (QUE) 97001. Individual samples of a given howardite can have different compositions even at roughly 5g masses, indicating that obtaining representative meteorite compositions requires multiple or large samples.</t>
  </si>
  <si>
    <t>[Mittlefehldt, David W.] NASA, KR Astromat Res Off, Astromat Res &amp; Explorat Sci Directorate, Johnson Space Ctr, Houston, TX 77058 USA; [Herrin, Jason S.; Quinn, Julie E.; Peng, Zhan X.] Engn &amp; Sci Contract Grp, Houston, TX 77258 USA; [Mertzman, Stanley A.; Mertzman, Karen R.] Franklin &amp; Marshall Coll, Dept Geosci, Lancaster, PA 17604 USA; [Cartwright, Julia A.] Max Planck Inst Chem, D-55128 Mainz, Germany</t>
  </si>
  <si>
    <t>National Aeronautics &amp; Space Administration (NASA); Franklin &amp; Marshall College; Max Planck Society</t>
  </si>
  <si>
    <t>Mittlefehldt, DW (corresponding author), NASA, KR Astromat Res Off, Astromat Res &amp; Explorat Sci Directorate, Johnson Space Ctr, 2101 NASA Pkwy, Houston, TX 77058 USA.</t>
  </si>
  <si>
    <t>david.w.mittlefehldt@nasa.gov</t>
  </si>
  <si>
    <t>Cartwright, Julia A/A-8470-2013; Mittlefehldt, David/JUV-2877-2023</t>
  </si>
  <si>
    <t>Herrin, Jason/0000-0002-2452-244X</t>
  </si>
  <si>
    <t>National Science Foundation; NASA Cosmochemistry Program</t>
  </si>
  <si>
    <t>National Science Foundation(National Science Foundation (NSF)); NASA Cosmochemistry Program(National Aeronautics &amp; Space Administration (NASA))</t>
  </si>
  <si>
    <t>We thank the National Science Foundation for funding the ANSMET collecting teams that brought back the Antarctic samples studied here, and the Meteorite Working Group, NASA-Johnson Space Center and the National Museum of Natural History (Smithsonian Institution) for allocation of the samples. We thank K. M. McBride and C. E. Satterwhite for providing photodocumentation and details of sample allocations for select howardites, J. Schutt for providing the map of Elephant Moraine polymict breccia to find locations (Fig. S3), and D. K. Ross for help acquiring all BSE images except for Fig. S5a. Editorial handling by H. Y. McSween Jr., and reviews by A. W. Beck, J. S. Delaney, and R. G. Mayne resulted in considerable improvement in the article; we thank them for their efforts. Funding for this research was provided to DWM from the NASA Cosmochemistry Program.</t>
  </si>
  <si>
    <t>1086-9379</t>
  </si>
  <si>
    <t>1945-5100</t>
  </si>
  <si>
    <t>METEORIT PLANET SCI</t>
  </si>
  <si>
    <t>Meteorit. Planet. Sci.</t>
  </si>
  <si>
    <t>10.1111/maps.12182</t>
  </si>
  <si>
    <t>273NY</t>
  </si>
  <si>
    <t>WOS:000328543300004</t>
  </si>
  <si>
    <t>Beck, AW; McCoy, TJ; Sunshine, JM; Viviano, CE; Corrigan, CM; Hiroi, T; Mayne, RG</t>
  </si>
  <si>
    <t>Beck, Andrew W.; McCoy, Timothy J.; Sunshine, Jessica M.; Viviano, Christina E.; Corrigan, Catherine M.; Hiroi, Takahiro; Mayne, Rhiannon G.</t>
  </si>
  <si>
    <t>Challenges in detecting olivine on the surface of 4 Vesta</t>
  </si>
  <si>
    <t>DIOGENITES; REFLECTANCE; METEORITES; DIVERSITY; PYROXENES; MIXTURES; EUCRITE; MODEL; SIZE</t>
  </si>
  <si>
    <t>Identifying and mapping olivine on asteroid 4 Vesta are important components to understanding differentiation on that body, which is one of the objectives of the Dawn mission. Harzburgitic diogenites are the main olivine-bearing lithology in the howardite-eucrite-diogenite (HED) meteorites, a group of samples thought to originate from Vesta. Here, we examine all the Antarctic harzburgites and estimate that, on scales resolvable by Dawn, olivine abundances in putative harzburgite exposures on the surface of Vesta are likely at best in the 10-30% range, but probably lower due to impact mixing. We examine the visible/near-infrared spectra of two harzburgitic diogenites representative of the 10-30% olivine range and demonstrate that they are spectrally indistinguishable from orthopyroxenitic diogenites, the dominant diogenitic lithology in the HED group. This suggests that the visible/near-infrared spectrometer onboard Dawn (VIR) will be unable to resolve harzburgites from orthopyroxenites on the surface of Vesta, which may explain the current lack of identification of harzburgitic diogenite on Vesta.</t>
  </si>
  <si>
    <t>[Beck, Andrew W.; McCoy, Timothy J.; Corrigan, Catherine M.] Smithsonian Inst, Dept Mineral Sci, Washington, DC 20560 USA; [Sunshine, Jessica M.] Univ Maryland, Dept Astron, College Pk, MD 20742 USA; [Viviano, Christina E.] Johns Hopkins Univ, Appl Phys Lab, Laurel, MD 20723 USA; [Hiroi, Takahiro] Brown Univ, Dept Geol Sci, Providence, RI 02912 USA; [Mayne, Rhiannon G.] Texas Christian Univ, Dept Geol, Ft Worth, TX 76129 USA</t>
  </si>
  <si>
    <t>Smithsonian Institution; Smithsonian National Museum of Natural History; University System of Maryland; University of Maryland College Park; Johns Hopkins University; Johns Hopkins University Applied Physics Laboratory; Brown University; Texas Christian University</t>
  </si>
  <si>
    <t>Beck, AW (corresponding author), Smithsonian Inst, Dept Mineral Sci, Washington, DC 20560 USA.</t>
  </si>
  <si>
    <t>becka@si.edu</t>
  </si>
  <si>
    <t>Viviano, Christina E/F-3942-2015; Beck, Andrew/J-7215-2015</t>
  </si>
  <si>
    <t>Viviano, Christina E/0000-0003-1601-2105; McCoy, Timothy/0000-0002-4573-3553; Corrigan, Catherine/0000-0002-0151-1457; Mayne, Rhiannon/0000-0002-5895-1584; Sunshine, Jessica/0000-0002-9413-8785; Beck, Andrew/0000-0003-4455-2299; Hiroi, Takahiro/0000-0003-2866-9091</t>
  </si>
  <si>
    <t>NASA Dawn at Vesta Participating Scientist Grant</t>
  </si>
  <si>
    <t>We thank D. W. Mittlefehldt, B. J. Tkalcec, and K. Righter for providing images and information about harzburgitic diogenite thin sections; the Antarctic Search for Meteorites Program for recovering the samples studied here; and V. Reddy for opx/olivine mixture compositional data. This manuscript was improved by comments from the AE, D. W. Mittlefehldt, and reviews by E. Cloutis and an anonymous reviewer. Funding was provided by a NASA Dawn at Vesta Participating Scientist Grant to T. J. McCoy.</t>
  </si>
  <si>
    <t>10.1111/maps.12160</t>
  </si>
  <si>
    <t>WOS:000328543300006</t>
  </si>
  <si>
    <t>Golovin, PN; Antipov, NN; Klepikov, AV</t>
  </si>
  <si>
    <t>Golovin, P. N.; Antipov, N. N.; Klepikov, A. V.</t>
  </si>
  <si>
    <t>Studying the stability of the Antarctic slope front in the Commonwealth Sea</t>
  </si>
  <si>
    <t>RUSSIAN METEOROLOGY AND HYDROLOGY</t>
  </si>
  <si>
    <t>In 2004-2007 and 2011-2013, oceanography sections with the high spatial resolution were carried out on the shelf and continental slope of the Commonwealth Sea and in the Prydz Bay in the Antarctic. In combination with a fine vertical resolution, this provides an advanced interpretation of the obtained data. It becomes possible to analyze the local thermohaline structure of the baroclinic Antarctic slope front (the ASF) and to investigate its stability. The reliable determination of the ASF characteristics enables to apply the parameterizations and criteria obtained during laboratory experiments for analysis of its stability. The ASF instability is preceded by the local vertical dramatic intensification of the front, where the ASF approaches the pure baroclinic state. Therefore, the local baroclinic instability in the ASF area prevails over the barotropic one at the significant mutual impact of layers (delta = H (ASF)/H (b) a parts per thousand a parts per thousand 0.3-0.6, H (b) is the total depth) and accompanied with the hydrostatic instability. Instability conditions in the frontal zone with a width of similar to(1-2)Rd (L) (Rd (L) is local baroclinic deformation radius) relative to the wide ASF (L (ASF) a parts per thousand (3-5)Rd (L) ) coincide with those of the narrow (intensified) ASF (L (ASF) a parts per thousand Rd (L*) ). In the case of the runoff of dense Antarctic shelf water, on the shelf edge the realization is possible of the self-oscillatory mechanism of the ASF instability caused by the topographic beta-effect as well as the periodic generation of baroclinic vortices.</t>
  </si>
  <si>
    <t>[Golovin, P. N.; Antipov, N. N.; Klepikov, A. V.] Arctic &amp; Antarctic Res Inst, St Petersburg 199397, Russia</t>
  </si>
  <si>
    <t>Golovin, PN (corresponding author), Arctic &amp; Antarctic Res Inst, Ul Beringa 38, St Petersburg 199397, Russia.</t>
  </si>
  <si>
    <t>1068-3739</t>
  </si>
  <si>
    <t>1934-8096</t>
  </si>
  <si>
    <t>RUSS METEOROL HYDRO+</t>
  </si>
  <si>
    <t>Russ. Meteorol. Hydrol.</t>
  </si>
  <si>
    <t>10.3103/S106837391311006X</t>
  </si>
  <si>
    <t>278HG</t>
  </si>
  <si>
    <t>WOS:000328879200006</t>
  </si>
  <si>
    <t>Zvyagintsev, AM; Ivanova, NS; Kruchenitskii, GM; Kuznetsova, IN</t>
  </si>
  <si>
    <t>Zvyagintsev, A. M.; Ivanova, N. S.; Kruchenitskii, G. M.; Kuznetsova, I. N.</t>
  </si>
  <si>
    <t>Ozone content over the Russian Federation in the third quarter of 2013</t>
  </si>
  <si>
    <t>The review is compiled on the basis of the results of monitoring the total ozone (TO) in the CIS and Baltic countries that functions in the operational regime at the Central Aerological Observatory (CAO). The monitoring system uses the data from the national network with M-124 filter ozonometers under methodological supervision of the Main Geophysical Observatory. The quality of the functioning of the entire system is under operational control based on the observations obtained from the OMI satellite equipment (NASA, the United States). The basic TO observation data are generalized for each month of the first quarter of 2013 and for the quarter as a whole. The data on the development of the Antarctic spring ozone anomaly in August and September 2013 are presented as well as the results of regular observations of the surface ozone content carried out in Moscow region by GPBU Mosekomonitoring and CAO.</t>
  </si>
  <si>
    <t>[Zvyagintsev, A. M.; Ivanova, N. S.; Kruchenitskii, G. M.] Cent Aerol Observ, Dolgoprudnyi 141700, Moscow Oblast, Russia; [Kuznetsova, I. N.] Hydrometeorol Res Ctr Russian Federat, Moscow 123242, Russia</t>
  </si>
  <si>
    <t>Zvyagintsev, AM (corresponding author), Cent Aerol Observ, Ul Pervomaiskaya 3, Dolgoprudnyi 141700, Moscow Oblast, Russia.</t>
  </si>
  <si>
    <t>Russian Foundation for Basic Research [11-05-01144-a, 11-05-91061-NTsNI_a]</t>
  </si>
  <si>
    <t>Russian Foundation for Basic Research(Russian Foundation for Basic Research (RFBR)Spanish Government)</t>
  </si>
  <si>
    <t>The work was partially supported by the Russian Foundation for Basic Research (grants 11-05-01144-a and 11-05-91061-NTsNI_a).</t>
  </si>
  <si>
    <t>10.3103/S1068373913110101</t>
  </si>
  <si>
    <t>WOS:000328879200010</t>
  </si>
  <si>
    <t>Prasad, MS; Rudraswami, NG; Panda, DK</t>
  </si>
  <si>
    <t>Prasad, M. Shyam; Rudraswami, N. G.; Panda, Dipak K.</t>
  </si>
  <si>
    <t>Micrometeorite flux on Earth during the last ∼50,000 years</t>
  </si>
  <si>
    <t>JOURNAL OF GEOPHYSICAL RESEARCH-PLANETS</t>
  </si>
  <si>
    <t>micrometeorites; cosmic spherules; micrometeorite flux; chondrites; CM chondrites; carbonaceous chondrites</t>
  </si>
  <si>
    <t>DEEP-SEA SEDIMENTS; STONY COSMIC SPHERULES; PLATINUM-GROUP NUGGETS; ANTARCTIC ICE CORES; ATMOSPHERIC ENTRY; ACCRETION RATE; TRANSANTARCTIC MOUNTAINS; ELEMENTAL COMPOSITION; MASS-DISTRIBUTION; DUST</t>
  </si>
  <si>
    <t>Flux of micrometeorites is estimated by using cosmic spherule counts from a seafloor area of 2.50 m(2) from the Indian Ocean. The spherules are recovered from sediment samples in close-spaced locations from the Indian Ocean after sieving 293kg of sediment. The terrestrial age of the spherules has a range of 0-similar to 50,000years. The spherules have a size range of 57-750 mu m (average size 26592 mu m). The diameter of the spherules increases from scoriaceous-barred-cryptocrystalline-glassy types. The time-averaged flux of the spherules is 160t/yr, a sizeable mass (&gt;60%) resides in the &gt;300 mu m fraction; the slope of distribution is similar to that of Deep-Sea Spherules but significantly different from other collections which have lower average diameters. It is observed here, a significant population of cosmic dust resides in the larger sizes which can be recovered by sampling large areas in time and space. The spherule textures are similar to that of unbiased collections from the polar regions, indicating that the textural types of cosmic dust that have been raining on the Earth during the last 50 kyr have been constant regardless of size. Major element chemistry of a majority of the spherules show elemental ratios that are close to a CM or CI chondritic parent body; a single spherule (0.2% of the population) suggests an achondritic parent body. Unbiased collections spanning large areas temporally and spatially enlarge the inventory of the Earth-crossing meteoroid complex and provide valuable inputs for models on cosmic dust accretion.</t>
  </si>
  <si>
    <t>[Prasad, M. Shyam; Rudraswami, N. G.] Natl Inst Oceanog, CSIR, Panaji 403004, Goa, India; [Panda, Dipak K.] Phys Res Lab, Ahmadabad 380009, Gujarat, India</t>
  </si>
  <si>
    <t>Council of Scientific &amp; Industrial Research (CSIR) - India; CSIR - National Institute of Oceanography (NIO); Department of Space (DoS), Government of India; Physical Research Laboratory - India</t>
  </si>
  <si>
    <t>Prasad, MS (corresponding author), Natl Inst Oceanog, CSIR, Panaji 403004, Goa, India.</t>
  </si>
  <si>
    <t>shyam@nio.org</t>
  </si>
  <si>
    <t>Shyam Prasad, Mokkapati/0000-0001-6629-7482</t>
  </si>
  <si>
    <t>2169-9097</t>
  </si>
  <si>
    <t>2169-9100</t>
  </si>
  <si>
    <t>J GEOPHYS RES-PLANET</t>
  </si>
  <si>
    <t>J. Geophys. Res.-Planets</t>
  </si>
  <si>
    <t>10.1002/2013JE004460</t>
  </si>
  <si>
    <t>270YJ</t>
  </si>
  <si>
    <t>WOS:000328355300008</t>
  </si>
  <si>
    <t>Miranda, TP; Cantero, ALP; Marques, AC</t>
  </si>
  <si>
    <t>Miranda, Thais P.; Pena Cantero, Alvaro L.; Marques, Antonio C.</t>
  </si>
  <si>
    <t>Southern Ocean areas of endemism: a reanalysis using benthic hydroids (Cnidaria, Hydrozoa)</t>
  </si>
  <si>
    <t>LATIN AMERICAN JOURNAL OF AQUATIC RESEARCH</t>
  </si>
  <si>
    <t>Antarctica; barriers; biogeography; endemism; Hydrozoa; PAE; Southern Ocean</t>
  </si>
  <si>
    <t>US ANTARCTIC EXPEDITIONS; EVOLUTION; ORIGIN; FAUNA; GENUS</t>
  </si>
  <si>
    <t>The biogeographic history of the Southern Ocean (SO) fauna is complex and poorly studied, especially the areas of endemism. We reanalyzed the data of Marques &amp; Pena Cantero (2010), along with other geographical records of endemic benthic hydroids below 45 degrees S. A Parsimony Analysis of Endemicity (PAE) based on 5 degrees latitude by 5 degrees longitude matrix with 61 species resulted in eight areas of endemism. We discuss these results in the context of different hypotheses of the evolution of the SO fauna and previously proposed biogeography patterns.</t>
  </si>
  <si>
    <t>[Miranda, Thais P.; Marques, Antonio C.] Univ Sao Paulo, Inst Biociencias, Dept Zool, BR-05508090 Sao Paulo, Brazil; [Pena Cantero, Alvaro L.] Univ Valencia, Inst Cavanilles Biodiversidad &amp; Biol Evolut, Dept Zool, Valencia 46071, Spain</t>
  </si>
  <si>
    <t>Universidade de Sao Paulo; University of Valencia</t>
  </si>
  <si>
    <t>Miranda, TP (corresponding author), Univ Sao Paulo, Inst Biociencias, Dept Zool, Rua Matao Trav 14 101, BR-05508090 Sao Paulo, Brazil.</t>
  </si>
  <si>
    <t>thaispmir@ib.usp.br</t>
  </si>
  <si>
    <t>Cantero, Álvaro Luis Peña/F-7888-2016; Marques, Antonio/E-8049-2011; Fapesp, Biota/F-8655-2017; Miranda, Thais Pires/G-8617-2016</t>
  </si>
  <si>
    <t>Marques, Antonio/0000-0002-2884-0541; Fapesp, Biota/0000-0002-9887-8449; Miranda, Thais Pires/0000-0001-7786-8738; Pena Cantero, Alvaro/0000-0003-3056-6673</t>
  </si>
  <si>
    <t>CAPES [Proc. 9194/11-8]; CAPES (PROCAD); CAPES (PROTAX); CNPq [Proc. 557333/2005-9, 490348/2006-8, 304720/2009-7, 562143/2010-6, 563106/2010-7, 564945/2010-2, 477156/2011-8]; FAPESP [Proc. 2004/09961-4, 2010/06927-0, 2010/52324-6, 2011/50242-5]; Ministerio de Ciencia e Innovacion of Spain; Fondo Europeo de Desarrollo Regional (FEDER); [CTM2009-11128ANT]</t>
  </si>
  <si>
    <t>CAPES(Coordenacao de Aperfeicoamento de Pessoal de Nivel Superior (CAPES)); CAPES (PROCAD)(Coordenacao de Aperfeicoamento de Pessoal de Nivel Superior (CAPES)); CAPES (PROTAX)(Coordenacao de Aperfeicoamento de Pessoal de Nivel Superior (CAPES)); CNPq(Conselho Nacional de Desenvolvimento Cientifico e Tecnologico (CNPQ)); FAPESP(Fundacao de Amparo a Pesquisa do Estado de Sao Paulo (FAPESP)); Ministerio de Ciencia e Innovacion of Spain(Spanish Government); Fondo Europeo de Desarrollo Regional (FEDER)(European Union (EU)Spanish Government);</t>
  </si>
  <si>
    <t>This study was supported by CAPES (Proc. 9194/11-8; PROCAD and PROTAX), CNPq (Proc. 557333/2005-9; 490348/2006-8; 304720/2009-7, 562143/2010-6, 563106/2010-7, 564945/2010-2; 477156/2011-8), and FAPESP (Proc. 2004/09961-4; 2010/06927-0; 2010/52324-6; 2011/50242-5). This study is a contribution of NP-BioMar, USP. This study was also developed thanks to a research project (Ref. CTM2009-11128ANT) funded by the Ministerio de Ciencia e Innovacion of Spain and the Fondo Europeo de Desarrollo Regional (FEDER). James J. Roper revised the English in its entirety.</t>
  </si>
  <si>
    <t>UNIV CATOLICA DE VALPARAISO</t>
  </si>
  <si>
    <t>VALPARAISO</t>
  </si>
  <si>
    <t>AV BRASIL 2950, PO BOX 4059, VALPARAISO, CHILE</t>
  </si>
  <si>
    <t>0718-560X</t>
  </si>
  <si>
    <t>0717-7178</t>
  </si>
  <si>
    <t>LAT AM J AQUAT RES</t>
  </si>
  <si>
    <t>Lat. Am. J. Aquat. Res.</t>
  </si>
  <si>
    <t>10.3856/vol41-issue5-fulltext-20</t>
  </si>
  <si>
    <t>270SB</t>
  </si>
  <si>
    <t>WOS:000328337900020</t>
  </si>
  <si>
    <t>Kebelmann, K; Hornung, A; Karsten, U; Griffiths, G</t>
  </si>
  <si>
    <t>Kebelmann, Katharina; Hornung, Andreas; Karsten, Ulf; Griffiths, Gareth</t>
  </si>
  <si>
    <t>Thermo-chemical behaviour and chemical product formation from Polar seaweeds during intermediate pyrolysis</t>
  </si>
  <si>
    <t>JOURNAL OF ANALYTICAL AND APPLIED PYROLYSIS</t>
  </si>
  <si>
    <t>Intermediate pyrolysis; Polar macroalgae; Seaweeds; Py-GC/MS; TGA</t>
  </si>
  <si>
    <t>BIOMASS; KONGSFJORDEN; ENVIRONMENT; MICROALGAE; GREEN; FUEL; RED</t>
  </si>
  <si>
    <t>Fundamental analytical pyrolysis studies of biomass from Polar seaweeds, which exhibit a different biomass composition than terrestrial and micro-algae biomass were performed via thermogravimetric analysis (TGA) and pyrolysis-gas chromatography/mass-spectrometry (Py-GC/MS). The main reason for this study is the adaptation of these species to very harsh environments making them an interesting source for thermo-chemical processing for bioenergy generation and production of biochemicals via intermediate pyrolysis. Several macroalgal species from the Arctic region Kongsfjorden, Spitsbergen/Norway (Prasiola crispa, Monostroma arcticum, Polysiphonia arctica, Devaleraea ramentacea, Odonthalia dentata, Phycodrys rubens, Sphacelaria plumosa) and from the Antarctic peninsula, Potter Cove King George Island (Gigartina skottsbergii, Plocamium cartilagineum, Myriogramme manginii, Hymencladiopsis crustigena, Kallymenia antarctica) were investigated under intermediate pyrolysis conditions. TGA of the Polar seaweeds revealed three stages of degradation representing dehydration, devolatilization and decomposition of carbonaceous solids. The maximum degradation temperatures Prasiola crispa were observed within the range of 220-320 C and are lower than typically obtained by terrestrial biomass, due to divergent polysaccharide compositions. Biochar residues accounted for 33-46% and ash contents of 27-45% were obtained. Identification of volatile products by Py-GC/MS revealed a complexity of generated chemical compounds and significant differences between the species. A widespread occurrence of aromatics (toluene, styrene, phenol and 4-methylphenol), acids (acetic acid, benzoic acid alkyl ester derivatives, 2-propenoic acid esters and octadecanoic acid octyl esters) in pyrolysates was detected. Ubiquitous furan-derived products included furfural and 5-methyl-2-furaldehyde. As a pyran-derived compound maltol was obtained by one red algal species (P. rubens) and the monosaccharide P-allose was detected in pyrolysates in one green algal (P. crispa). Further unique chemicals detected were dianhydromannitol from brown algae and isosorbide from green algae biomass. In contrast, the anhydrosugar levoglucosan and the triterpene squalene was detected in a large number of pyrolysates analysed. (C) 2013 Elsevier B.V. All rights reserved.</t>
  </si>
  <si>
    <t>[Kebelmann, Katharina; Hornung, Andreas; Griffiths, Gareth] Aston Univ, European Bioenergy Res Inst, Chem Engn &amp; Appl Sci Dept, Birmingham B4 7ET, W Midlands, England; [Karsten, Ulf] Univ Rostock, Inst Biol Sci, D-18059 Rostock, Germany</t>
  </si>
  <si>
    <t>Aston University; University of Rostock</t>
  </si>
  <si>
    <t>Kebelmann, K (corresponding author), Aston Univ, European Bioenergy Res Inst, Chem Engn &amp; Appl Sci Dept, Birmingham B4 7ET, W Midlands, England.</t>
  </si>
  <si>
    <t>k.kebelmann@gmx.net; a.hornung@aston.ac.uk; ulf.karsten@uni-rostock.de; g.griffiths@aston.ac.uk</t>
  </si>
  <si>
    <t>Griffiths, Gareth/0000-0002-7507-6945</t>
  </si>
  <si>
    <t>0165-2370</t>
  </si>
  <si>
    <t>1873-250X</t>
  </si>
  <si>
    <t>J ANAL APPL PYROL</t>
  </si>
  <si>
    <t>J. Anal. Appl. Pyrolysis</t>
  </si>
  <si>
    <t>10.1016/j.jaap.2013.08.012</t>
  </si>
  <si>
    <t>Chemistry, Analytical; Energy &amp; Fuels; Engineering, Chemical</t>
  </si>
  <si>
    <t>Chemistry; Energy &amp; Fuels; Engineering</t>
  </si>
  <si>
    <t>264TQ</t>
  </si>
  <si>
    <t>WOS:000327904300016</t>
  </si>
  <si>
    <t>Halanych, KM; Cannon, JT; Mahon, AR; Swalla, BJ; Smith, CR</t>
  </si>
  <si>
    <t>Halanych, Kenneth M.; Cannon, Johanna T.; Mahon, Andrew R.; Swalla, Billie J.; Smith, Craig R.</t>
  </si>
  <si>
    <t>Modern Antarctic acorn worms form tubes</t>
  </si>
  <si>
    <t>HEMICHORDATA; BIODIVERSITY; PHYLOGENY; GENUS</t>
  </si>
  <si>
    <t>Acorn worms, or enteropneusts, are vermiform hemichordates that occupy an important position in deuterostome phylogeny. Allied to pterobranch hemichordates, small colonial tube dwellers, modern enteropneusts were thought to be tubeless. However, understanding of hemichordate diversity is poor, as evidenced by absence of reports from some oceanic regions and recent descriptions of large epibenthic deep-water enteropneusts, Torquaratoridae. Here we show, based on expeditions to Antarctica, that some acorn worms produce conspicuous tubes that persist for days. Interestingly, recent fossil descriptions show a Middle Cambrian acorn worm lived in tubes, leading to speculation that these fossils may have been pterobranch forbearers. Our discovery provides the alternative interpretation that these fossils are similar to modern-day torquaratorids and that some behaviours have been conserved for over 500 million years. Moreover, the frequency of Antarctic enteropneusts observed attests to our limited knowledge of Antarctic marine ecosystems, and strengthens hypotheses relating more northern deep-sea fauna to Antarctic shelf fauna.</t>
  </si>
  <si>
    <t>[Halanych, Kenneth M.; Cannon, Johanna T.] Auburn Univ, Dept Biol Sci, Auburn, AL 36849 USA; [Mahon, Andrew R.] Cent Michigan Univ, Inst Great Lakes Res, Dept Biol, Mt Pleasant, MI 48859 USA; [Swalla, Billie J.] Univ Washington, Dept Biol, Seattle, WA 98195 USA; [Swalla, Billie J.] Univ Washington, Friday Harbor Labs, Seattle, WA 98195 USA; [Smith, Craig R.] Univ Hawaii Manoa, Dept Oceanog, Honolulu, HI 96822 USA</t>
  </si>
  <si>
    <t>Auburn University System; Auburn University; Central Michigan University; University of Washington; University of Washington Seattle; University of Washington; University of Washington Seattle; University of Hawaii System; University of Hawaii Manoa</t>
  </si>
  <si>
    <t>Halanych, KM (corresponding author), Auburn Univ, Dept Biol Sci, 101 Rouse Life Sci, Auburn, AL 36849 USA.</t>
  </si>
  <si>
    <t>Ken@auburn.edu</t>
  </si>
  <si>
    <t>Cannon, Johanna/0000-0002-3920-7741; Halanych, Kenneth/0000-0002-8658-9674; Mahon, Andrew/0000-0002-5074-8725</t>
  </si>
  <si>
    <t>National Science Foundation [ANT-1043745, ANT-1043670, DEB-0816892, ANT-0636806, ANT-0732711]; Directorate For Geosciences; Office of Polar Programs (OPP) [1043670] Funding Source: National Science Foundation</t>
  </si>
  <si>
    <t>National Science Foundation(National Science Foundation (NSF)); Directorate For Geosciences; Office of Polar Programs (OPP)(National Science Foundation (NSF)NSF - Directorate for Geosciences (GEO))</t>
  </si>
  <si>
    <t>We thank the staff and crew of the RVIB Nathaniel B. Palmer and Antarctic Support Company. David Branson helped with the generation of Supplementary Movie 1. This work was supported by National Science Foundation Grants (ANT-1043745, ANT-1043670, DEB-0816892, ANT-0636806 and ANT-0732711). This work represents contributions 109, 17 and 9008 to the Auburn University (AU) Marine Biology Program, Molette Biology Laboratory for Environmental and Climate Change Studies, AU, and the School of Ocean and Earth Science and Technology, UH, respectively. Christoph Held provided Fig. 1c.</t>
  </si>
  <si>
    <t>10.1038/ncomms3738</t>
  </si>
  <si>
    <t>266KQ</t>
  </si>
  <si>
    <t>WOS:000328023000009</t>
  </si>
  <si>
    <t>Figuerola, B; Núñez-Pons, L; Moles, J; Avila, C</t>
  </si>
  <si>
    <t>Figuerola, Blanca; Nunez-Pons, Laura; Moles, Juan; Avila, Conxita</t>
  </si>
  <si>
    <t>Feeding repellence in Antarctic bryozoans</t>
  </si>
  <si>
    <t>Odontaster validus; Cheirimedon femoratus; Chemical ecology; Chemical defense; Deception Island</t>
  </si>
  <si>
    <t>CHEMICAL DEFENSE; TEMPORAL VARIABILITY; MARINE; WATER; METABOLITES; DIVERSITY; ALKALOIDS; AMPHIPODS; PALATABILITY; COMMUNITY</t>
  </si>
  <si>
    <t>The Antarctic sea star Odontaster validus and the amphipod Cheirimedon femoratus are important predators in benthic communities. Some bryozoans are part of the diet of the asteroid and represent both potential host biosubstrata and prey for this omnivorous lysianassid amphipod. In response to such ecological pressure, bryozoans are expected to develop strategies to deter potential predators, ranging from physical to chemical mechanisms. However, the chemical ecology of Antarctic bryozoans has been scarcely studied. In this study we evaluated the presence of defenses against predation in selected species of Antarctic bryozoans. The sympatric omnivorous consumers O. validus and C. femoratus were selected to perform feeding assays with 16 ether extracts (EE) and 16 butanol extracts (BE) obtained from 16 samples that belonged to 13 different bryozoan species. Most species (9) were active (12 EE and 1 BE) in sea star bioassays. Only 1 BE displayed repellence, indicating that repellents against the sea star are mainly lipophilic. Repellence toward C. femoratus was found in all species in different extracts (10 EE and 12 BE), suggesting that defenses against the amphipod might be both lipophilic and hydrophilic. Interspecific and intraspecific variability of bioactivity was occasionally detected, suggesting possible environmental inductive responses, symbiotic associations, and/or genetic variability. Multivariate analysis revealed similarities among species in relation to bioactivities of EE and/or BE. These findings support the hypothesis that, while in some cases alternative chemical or physical mechanisms may also provide protection, repellent compounds play an important role in Antarctic bryozoans as defenses against predators.</t>
  </si>
  <si>
    <t>[Figuerola, Blanca; Nunez-Pons, Laura; Moles, Juan; Avila, Conxita] Univ Barcelona, Fac Biol, Dept Anim Biol Invertebrates, E-08028 Barcelona, Catalonia, Spain; [Figuerola, Blanca; Nunez-Pons, Laura; Moles, Juan; Avila, Conxita] Univ Barcelona, Fac Biol, Biodivers Res Inst IrBIO, E-08028 Barcelona, Catalonia, Spain</t>
  </si>
  <si>
    <t>University of Barcelona; University of Barcelona</t>
  </si>
  <si>
    <t>Figuerola, B (corresponding author), Univ Barcelona, Fac Biol, Dept Anim Biol Invertebrates, Av Diagonal 643, E-08028 Barcelona, Catalonia, Spain.</t>
  </si>
  <si>
    <t>bfiguerola@gmail.com</t>
  </si>
  <si>
    <t>Figuerola, Blanca/C-6252-2015; Moles, Juan/H-4786-2018; Avila, Conxita/B-9466-2008</t>
  </si>
  <si>
    <t>Figuerola, Blanca/0000-0003-4731-9337; Moles, Juan/0000-0003-4511-4055; Avila, Conxita/0000-0002-5489-8376</t>
  </si>
  <si>
    <t>Spanish Government [CGL2007-65453/ANT, CTM2010-17415/ANT]</t>
  </si>
  <si>
    <t>We are thankful to J. Vazquez, C. Angulo, F. J. Cristobo, and S. Taboada for their laboratory support. We are also very grateful for the helpful suggestions of the reviewers. In this work, we used extracts from previous projects (ECOQUIM and ACTIQUIM), and for this reason, we want to thank W. Arntz, the R/V Polarstern, and the BIO Hesperides crew. We would like to thank as well the Unidad de Tecnologia Marina (UTM-CSIC) and the crew of Las Palmas vessel for all their logistic support. Special thanks are also given to the Gabriel de Castilla BAE crew for their help and to the participants of the 4th Australarwood Meeting in Townsville for their useful comments. This research was developed in the framework of the ACTIQUIM-I and II projects (CGL2007-65453/ANT, CTM2010-17415/ANT) with the financial support of the Spanish Government.</t>
  </si>
  <si>
    <t>10.1007/s00114-013-1112-8</t>
  </si>
  <si>
    <t>267WD</t>
  </si>
  <si>
    <t>WOS:000328128100008</t>
  </si>
  <si>
    <t>Barbara, L; Crosta, X; Schmidt, S; Massé, G</t>
  </si>
  <si>
    <t>Barbara, Loic; Crosta, Xavier; Schmidt, Sabine; Masse, Guillaume</t>
  </si>
  <si>
    <t>Diatoms and biomarkers evidence for major changes in sea ice conditions prior the instrumental period in Antarctic Peninsula</t>
  </si>
  <si>
    <t>Last century; Recent warming; Antarctic Peninsula; Sea ice; Atmospheric circulation; Diatoms; HBI</t>
  </si>
  <si>
    <t>HIGHLY BRANCHED ISOPRENOIDS; CANADIAN ARCTIC ARCHIPELAGO; WESTERN BRANSFIELD STRAIT; SOUTHERN ANNULAR MODE; KING-GEORGE-ISLAND; CLIMATE-CHANGE; CONTINENTAL-SHELF; SURFACE SEDIMENTS; GERLACHE STRAIT; WEDDELL SEA</t>
  </si>
  <si>
    <t>The Antarctic Peninsula (AP) has been identified as one of the most rapidly warming region on Earth. Satellite monitoring currently allows for a detailed understanding of the relationship between sea ice extent and duration and atmospheric and oceanic circulations in this region. However, our knowledge on ocean-ice-atmosphere interactions is still relatively poor for the period extending beyond the last 30 years. Here, we describe environmental conditions in Northwestern and Northeastern Antarctic Peninsula areas over the last century using diatom census counts and diatom specific biomarkers (HBIs) in two marine sediment multicores (MTC-38C and -18A, respectively). Diatom census counts and HBIs show abrupt changes between 1935 and 1950, marked by ocean warming and sea ice retreat in both sides of the AP. Since 1950, inferred environmental conditions do not provide evidence for any trend related to the recent warming but demonstrate a pronounced variability on pluri-annual to decadal time scale. We propose that multi-decadal sea ice variations over the last century are forced by the recent warming, while the annual-to-decadal variability is mainly governed by synoptic and regional wind fields in relation with the position and intensity of the atmospheric low-pressure trough around the AP. However, the positive shift of the SAM since the last two decades cannot explain the regional trend observed in this study, probably due to the effect of local processes on the response of our biological proxies. (C) 2013 Elsevier Ltd. All rights reserved.</t>
  </si>
  <si>
    <t>[Barbara, Loic; Crosta, Xavier; Schmidt, Sabine] Univ Bordeaux, EPOC, UMR 5805, F-33400 Talence, France; [Barbara, Loic; Masse, Guillaume] Univ Paris 06, UMR CNRS LOCEAN 7159, F-75252 Paris 05, France; [Masse, Guillaume] CNRS, UMI TAKUVIK 3376, Quebec City, PQ G1V 0A6, Canada; [Masse, Guillaume] Univ Laval, Quebec City, PQ G1V 0A6, Canada</t>
  </si>
  <si>
    <t>Centre National de la Recherche Scientifique (CNRS); Universite de Bordeaux; CNRS - National Institute for Earth Sciences &amp; Astronomy (INSU); Museum National d'Histoire Naturelle (MNHN); Sorbonne Universite; Laval University</t>
  </si>
  <si>
    <t>Barbara, L (corresponding author), Univ Nacl Autonoma Mexico, Inst Geofis, Circuito Invest Cient S-N,Ciudad Univ, Mexico City 04510, DF, Mexico.</t>
  </si>
  <si>
    <t>l.jb.barbara@gmail.com</t>
  </si>
  <si>
    <t>IPO, PAGES/JXY-7546-2024; Barbara, Loic JB/D-2607-2013; Schmidt, Sabine/G-1193-2013</t>
  </si>
  <si>
    <t>Schmidt, Sabine/0000-0002-5985-9747; Barbara, Loic/0000-0003-1519-5835</t>
  </si>
  <si>
    <t>French ANR CLIMICE; ERC ICEPROXY [20441]</t>
  </si>
  <si>
    <t>French ANR CLIMICE(Agence Nationale de la Recherche (ANR)); ERC ICEPROXY(European Research Council (ERC))</t>
  </si>
  <si>
    <t>We are grateful to Rudiger Stein and one anonymous reviewer for their constructive suggestions to greatly improve the manuscript. This work was supported financially by the French ANR CLIMICE and the ERC ICEPROXY (20441). This work also contributes to the HOLOCLIP project, a joint research project of the ESF Polar-CLIMATE program. This is EPOC contribution, HOLOCLIP publication no 19.</t>
  </si>
  <si>
    <t>10.1016/j.quascirev.2013.07.021</t>
  </si>
  <si>
    <t>264VU</t>
  </si>
  <si>
    <t>WOS:000327909900009</t>
  </si>
  <si>
    <t>Clog, M; Aubaud, C; Cartigny, P; Dosso, L</t>
  </si>
  <si>
    <t>Clog, Matthieu; Aubaud, Cyril; Cartigny, Pierre; Dosso, Laure</t>
  </si>
  <si>
    <t>The hydrogen isotopic composition and water content of southern Pacific MORB: A reassessment of the D/H ratio of the depleted mantle reservoir</t>
  </si>
  <si>
    <t>hydrogen isotopes; mantle geochemistry; mantle water</t>
  </si>
  <si>
    <t>MID-ATLANTIC RIDGE; NOMINALLY ANHYDROUS MINERALS; BASALTIC GLASSES; OCEANIC BASALTS; LOIHI SEAMOUNT; EARTHS MANTLE; DEEP-EARTH; LOUISVILLE HOTSPOT; MACQUARIE ISLAND; SILICATE-GLASSES</t>
  </si>
  <si>
    <t>In this paper, we re-investigate the isotopic composition of hydrogen in MORB and the possible effects of contamination on delta D and water content. A suite of 40 N-MORB from the Pacific-Antarctic ridge, far from any hotspot, was analyzed for chlorine content by electron microprobe and for water content and delta D with silica tubes. Cl concentrations (from 29 to 2400 ppm) indicate widespread contamination, more intense with faster spreading rates, while water contents (from 840 to 7800 ppm) are mainly controlled by igneous processes. delta D values range from -76 to -48 parts per thousand, with an average value of -61 parts per thousand. The lack of correlation between Cl content and either H2O/Ce or SD indicate that contamination has a negligible effect on delta D for our samples, which is therefore characteristic of the mantle below the Pacific-Antarctic ridge. We suggest that the 20 parts per thousand lower delta D value reported for the North Pacific and North Atlantic is highly unlikely from geodynamical arguments. We propose that the convecting mantle is characterized by a delta D of -60+/-5 parts per thousand, as supported by the most recent data from North Atlantic N-MORB. (C) 2013 Elsevier B.V. All rights reserved.</t>
  </si>
  <si>
    <t>[Clog, Matthieu; Aubaud, Cyril; Cartigny, Pierre] Univ Paris 07, Inst Phys Globe, Lab Geochim Isotopes Stables, CNRS,UMR 7154,PRES Sorbonne Paris Cite, F-75005 Paris, France; [Dosso, Laure] IFREMER, CNRS, UMR 6538, F-29280 Plouzane, France</t>
  </si>
  <si>
    <t>Universite Paris Cite; Centre National de la Recherche Scientifique (CNRS); CNRS - National Institute for Earth Sciences &amp; Astronomy (INSU); Ifremer; Centre National de la Recherche Scientifique (CNRS); CNRS - National Institute for Earth Sciences &amp; Astronomy (INSU); Universite de Bretagne Occidentale</t>
  </si>
  <si>
    <t>Clog, M (corresponding author), CALTECH, GPS Div, Pasadena, CA 91125 USA.</t>
  </si>
  <si>
    <t>clog@caltech.edu</t>
  </si>
  <si>
    <t>Cartigny, Pierre/A-6251-2011; AUBAUD, Cyril/A-7502-2011</t>
  </si>
  <si>
    <t>AUBAUD, Cyril/0000-0002-0246-6889; Clog, Matthieu/0000-0003-3001-8909</t>
  </si>
  <si>
    <t>CNRS via its SEDIT research program</t>
  </si>
  <si>
    <t>The LSCE provided the water standards used for this study. We wish to thank Michel Fialin for his assistance in performing the chlorine content measurements, Manuel Moreira for access to the PACANTARCTIC 2 samples, Cedric Hamelin for early access to geochemical data on those samples and Jean-Jacques Bourrand for the construction and maintenance of the vacuum lines used in this study. We thank Alberto Saal and Phil Ihinger for their detailed and constructive reviews that helped improving our manuscript. We acknowledge support from the CNRS via its SEDIT research program. This is IPGP contribution number 3433.</t>
  </si>
  <si>
    <t>10.1016/j.epsl.2013.08.043</t>
  </si>
  <si>
    <t>257FA</t>
  </si>
  <si>
    <t>WOS:000327367800015</t>
  </si>
  <si>
    <t>Desprez, M; McMahon, CR; Hindell, MA; Harcourt, R; Gimenez, O</t>
  </si>
  <si>
    <t>Desprez, Marine; McMahon, Clive R.; Hindell, Mark A.; Harcourt, Robert; Gimenez, Olivier</t>
  </si>
  <si>
    <t>Known unknowns in an imperfect world: incorporating uncertainty in recruitment estimates using multi-event capture-recapture models</t>
  </si>
  <si>
    <t>ECOLOGY AND EVOLUTION</t>
  </si>
  <si>
    <t>breeding state assignment; multistate capture-recapture models; primiparity; southern elephant seals; state uncertainty; vital rates</t>
  </si>
  <si>
    <t>SEX-SPECIFIC SURVIVAL; REPRODUCTION; EXPERIENCE; AGE; EVOLUTIONARY; HYPOTHESES; COSTS; KITTIWAKE; DEPENDS; SEALS</t>
  </si>
  <si>
    <t>Studying the demography of wild animals remains challenging as several of the critical parts of their life history may be difficult to observe in the field. In particular, determining with certainty when an individual breeds for the first time is not always obvious. This can be problematic because uncertainty about the transition from a prebreeder to a breeder state - recruitment - leads to uncertainty in vital rate estimates and in turn in population projection models. To avoid this issue, the common practice is to discard imperfect data from the analyses. However, this practice can generate a bias in vital rate estimates if uncertainty is related to a specific component of the population and reduces the sample size of the dataset and consequently the statistical power to detect effects of biological interest. Here, we compared the demographic parameters assessed from a standard multistate capture-recapture approach to the estimates obtained from the newly developed multi-event framework that specifically accounts for uncertainty in state assessment. Using a comprehensive longitudinal dataset on southern elephant seals, we demonstrated that the multi-event model enabled us to use all the data collected (6639 capture-recapture histories vs. 4179 with the multistate model) by accounting for uncertainty in breeding states, thereby increasing the precision and accuracy of the demographic parameter estimates. The multi-event model allowed us to incorporate imperfect data into demographic analyses. The gain in precision obtained has important implications in the conservation and management of species because limiting uncertainty around vital rates will permit predicting population viability with greater accuracy.</t>
  </si>
  <si>
    <t>[Desprez, Marine; Harcourt, Robert] Macquarie Univ, Dept Biol Sci, Marine Predator Res Grp, N Ryde, NSW 2109, Australia; [McMahon, Clive R.; Hindell, Mark A.] Univ Tasmania, Inst Marine &amp; Antarctic Studies, Hobart, Tas 7001, Australia; [Gimenez, Olivier] Ctr Ecol Fonct &amp; Evolut, UMR 5175, F-34293 Montpellier 5, France</t>
  </si>
  <si>
    <t>Macquarie University; University of Tasmania; Universite PSL; Ecole Pratique des Hautes Etudes (EPHE); Institut Agro; Montpellier SupAgro; CIRAD; Centre National de la Recherche Scientifique (CNRS); Institut de Recherche pour le Developpement (IRD); Universite Paul-Valery; Universite de Montpellier; CNRS - Institute of Ecology &amp; Environment (INEE)</t>
  </si>
  <si>
    <t>Desprez, M (corresponding author), Macquarie Univ, Dept Biol Sci, Marine Predator Res Grp, N Ryde, NSW 2109, Australia.</t>
  </si>
  <si>
    <t>marine.desprez@mq.edu.au</t>
  </si>
  <si>
    <t>Desprez, Marine/I-8054-2014; Gimenez, Olivier/G-4281-2010; McMahon, Clive R/D-5713-2013; Hindell, Mark A/K-1131-2013</t>
  </si>
  <si>
    <t>McMahon, Clive R/0000-0001-5241-8917; Hindell, Mark/0000-0002-7823-7185; Gimenez, Olivier/0000-0001-7001-5142; Harcourt, Robert/0000-0003-4666-2934</t>
  </si>
  <si>
    <t>International Macquarie University Research Excellence Scholarship</t>
  </si>
  <si>
    <t>M.D. is supported by an International Macquarie University Research Excellence Scholarship.</t>
  </si>
  <si>
    <t>2045-7758</t>
  </si>
  <si>
    <t>ECOL EVOL</t>
  </si>
  <si>
    <t>Ecol. Evol.</t>
  </si>
  <si>
    <t>10.1002/ece3.846</t>
  </si>
  <si>
    <t>Ecology; Evolutionary Biology</t>
  </si>
  <si>
    <t>Environmental Sciences &amp; Ecology; Evolutionary Biology</t>
  </si>
  <si>
    <t>256IT</t>
  </si>
  <si>
    <t>WOS:000327304000005</t>
  </si>
  <si>
    <t>Horgan, HJ; Alley, RB; Christianson, K; Jacobel, RW; Anandakrishnan, S; Muto, A; Beem, LH; Siegfried, MR</t>
  </si>
  <si>
    <t>Horgan, Huw J.; Alley, Richard B.; Christianson, Knut; Jacobel, Robert W.; Anandakrishnan, Sridhar; Muto, Atsuhiro; Beem, Lucas H.; Siegfried, Matthew R.</t>
  </si>
  <si>
    <t>Estuaries beneath ice sheets</t>
  </si>
  <si>
    <t>ACTIVE RESERVOIR BENEATH; SUBGLACIAL LAKE WHILLANS; WEST ANTARCTICA; GROUNDING LINES; DRAINAGE; GLACIER; INVENTORY; STREAM; RADAR; BED</t>
  </si>
  <si>
    <t>Interactions between subglacial hydrology and the ocean make the existence of estuaries at the grounding zones of ice sheets likely. Here we present geophysical observations of an estuary at the downstream end of the hydrologic system that links the active subglacial lakes beneath Whillans Ice Stream to the ocean beneath the Ross Ice Shelf, Antarctica. This subglacial estuary consists of a hydropotential low upstream of the grounding zone, which is linked to the ocean by a hydropotential trough and a large subglacial channel. This subglacial channel, which is imaged using active source seismic methods, has an apparent width of 1 km and a maximum depth of 7 m. The hydropotential trough continues upstream of the grounding zone and results from an along-flow depression in surface elevations. Pressure differences along the trough axis are within a range that can be overcome by tidally induced processes, making the interaction of subglacial and ocean water likely.</t>
  </si>
  <si>
    <t>[Horgan, Huw J.] Victoria Univ Wellington, Antarctic Res Ctr, Wellington, New Zealand; [Alley, Richard B.; Anandakrishnan, Sridhar; Muto, Atsuhiro] Penn State Univ, Dept Geosci, University Pk, PA 16802 USA; [Alley, Richard B.; Anandakrishnan, Sridhar; Muto, Atsuhiro] Penn State Univ, Earth &amp; Environm Syst Inst, University Pk, PA 16802 USA; [Christianson, Knut; Jacobel, Robert W.] St Olaf Coll, Dept Phys, Northfield, MN 55057 USA; [Beem, Lucas H.] Univ Calif Santa Cruz, Dept Earth &amp; Planetary Sci, Santa Cruz, CA 95064 USA; [Siegfried, Matthew R.] Univ Calif San Diego, Inst Geophys &amp; Planetary Phys, La Jolla, CA 92093 USA</t>
  </si>
  <si>
    <t>Victoria University Wellington; Pennsylvania Commonwealth System of Higher Education (PCSHE); Pennsylvania State University; Pennsylvania State University - University Park; Pennsylvania Commonwealth System of Higher Education (PCSHE); Pennsylvania State University; Pennsylvania State University - University Park; Saint Olaf College; University of California System; University of California Santa Cruz; University of California System; University of California San Diego</t>
  </si>
  <si>
    <t>Horgan, HJ (corresponding author), Victoria Univ Wellington, Antarctic Res Ctr, Wellington, New Zealand.</t>
  </si>
  <si>
    <t>Muto, Atsuhiro/AAJ-9558-2020; Anandakrishnan, Sridhar/JCN-5026-2023; Horgan, Huw/I-5847-2019</t>
  </si>
  <si>
    <t>Muto, Atsuhiro/0000-0002-1722-2457; Horgan, Huw/0000-0002-4836-0078</t>
  </si>
  <si>
    <t>National Science Foundation [OPP-0838763, OPP-0838855, OPP-0424589]; National Aeronautics and Space Administration [NNX-09-AV94G, NNX10- AI04G]; Division Of Polar Programs; Directorate For Geosciences [0838854] Funding Source: National Science Foundation; Office of Polar Programs (OPP); Directorate For Geosciences [0838855] Funding Source: National Science Foundation</t>
  </si>
  <si>
    <t>National Science Foundation(National Science Foundation (NSF)); National Aeronautics and Space Administration(National Aeronautics &amp; Space Administration (NASA)); Division Of Polar Programs; Directorate For Geosciences(National Science Foundation (NSF)NSF - Directorate for Geosciences (GEO)); Office of Polar Programs (OPP); Directorate For Geosciences(National Science Foundation (NSF)NSF - Directorate for Geosciences (GEO))</t>
  </si>
  <si>
    <t>This study was supported by the National Science Foundation (grants OPP-0838763, OPP-0838855, and OPP-0424589) and the National Aeronautics and Space Administration (NNX-09-AV94G and NNX10- AI04G). We thank Matthew Hill, Rory Hart, and Benjamin Petersen for assistance in the field, Ruzica Dadic for useful discussions, and the New York Air National Guard for field deployment.</t>
  </si>
  <si>
    <t>10.1130/G34654.1</t>
  </si>
  <si>
    <t>257NS</t>
  </si>
  <si>
    <t>WOS:000327392200006</t>
  </si>
  <si>
    <t>Dodds, K; Hemmings, AD</t>
  </si>
  <si>
    <t>Dodds, Klaus; Hemmings, Alan D.</t>
  </si>
  <si>
    <t>Britain and the British Antarctic Territory in the wider geopolitics of the Antarctic and the Southern Ocean</t>
  </si>
  <si>
    <t>INTERNATIONAL AFFAIRS</t>
  </si>
  <si>
    <t>FALKLAND ISLANDS</t>
  </si>
  <si>
    <t>Britain's contemporary and future relationship with the British Antarctic Territory and the wider region is the subject matter of this article. In the aftermath of the ill-fated plans for a merger of British Antarctic Survey (BAS) and the National Oceanography Centre, it is timely to ask how the UK projects influence and secures its scientific, resource and strategic interests. The contemporary Antarctic is increasingly characterized by tension over resource management and conservation politics as Antarctic Treaty parties disagree, both in private and public, over the purpose of legal instruments and the regulation of activities such as fishing and marine conservation. While we do not predict the collapse of the Antarctic Treaty System (ATS), our analysis suggests that the effectiveness and legitimacy of the ATS is increasingly under challenge. The United Kingdom's position as a claimant state and original signatory to the Antarctic Treaty is complicated by the presence of counter-claimants (Argentina and Chile) and a wider preoccupation with other overseas territories, such as South Georgia and South Sandwich Islands and the Falkland Islands. Polar science, carried out by BAS and other British agents, remains critical not only for maintaining the UK's soft power' but also increasingly for cementing a strategic presence' in the Antarctic. The article ends with a cautionary note: scientific excellence is no longer sufficient to guarantee geopolitical/strategic interests and there is growing evidence that claimant and non-claimant states alike are no longer regarding Antarctica as an area that will remain free of intensifying and diversifying resource exploitation.</t>
  </si>
  <si>
    <t>[Dodds, Klaus] Univ London, London WC1E 7HU, England; [Hemmings, Alan D.] Univ Canterbury, Gateway Antarctica Res Ctr, Canterbury, New Zealand</t>
  </si>
  <si>
    <t>University of London; University of Canterbury</t>
  </si>
  <si>
    <t>Dodds, K (corresponding author), Univ London, London WC1E 7HU, England.</t>
  </si>
  <si>
    <t>0020-5850</t>
  </si>
  <si>
    <t>1468-2346</t>
  </si>
  <si>
    <t>INT AFF</t>
  </si>
  <si>
    <t>Int. Aff.</t>
  </si>
  <si>
    <t>10.1111/1468-2346.12082</t>
  </si>
  <si>
    <t>International Relations</t>
  </si>
  <si>
    <t>Social Science Citation Index (SSCI)</t>
  </si>
  <si>
    <t>250VN</t>
  </si>
  <si>
    <t>WOS:000326884500005</t>
  </si>
  <si>
    <t>Siingh, D; Pant, V; Kamra, AK</t>
  </si>
  <si>
    <t>Siingh, Devendraa; Pant, Vimlesh; Kamra, A. K.</t>
  </si>
  <si>
    <t>Temperature-dependence of the positive intermediate ion concentrations at Maitri, Antarctica</t>
  </si>
  <si>
    <t>Aerosol; Positive intermediate ions; Aerosol size distribution</t>
  </si>
  <si>
    <t>SIZE DISTRIBUTION; PARTICLE FORMATION; AEROSOL-PARTICLES; ATMOSPHERIC IONS; INDUCED NUCLEATION; MOBILITY SPECTRUM; FORMATION EVENTS; DISTRIBUTIONS; CLUSTERS; STATION</t>
  </si>
  <si>
    <t>The measurements of positive ion concentrations made at Maitri (70 degrees 45'52 '' S, 11 degrees 44'3 '' E; 130 m above mean sea level) from January 2 to February 24, 2005, in the mobility range of 0.77 x 10(-4)-0.97 x 10(-8) m(2) V-1 s(-1) show that diurnal variations in the positive intermediate ion concentrations and the surface temperature are almost parallel to each other on the fair-weather days. The positive intermediate ion concentrations have been observed in excess of 100 cm(-3), even at night and under cloudy conditions. The relationship between the two parameters show that the measurements can be clearly divided in two distinct groups; first made before January 15 when surface temperature remained mostly above freezing point and the second made after January 25 when surface temperatures remained below freezing point during the nighttime. The positive intermediate ion concentrations increase at the rate of 7.3 cm(-3)/degrees C in the first group and at the rate of 31.2 cm(-3)/degrees C in the second group. Simultaneous measurements of the ultrafine aerosol particles in the size range of 4.6-160 nm diameter confirm the formation of new particles in this range. Measurements of solar radiation made at Maitri suggest that photolytic mechanism alone cannot explain our results. Some other mechanism which can operate at subfreezing temperatures and even in dark may also be responsible for the formation of intermediate ions. (C) 2013 Elsevier Ltd. All rights reserved.</t>
  </si>
  <si>
    <t>[Siingh, Devendraa; Pant, Vimlesh; Kamra, A. K.] Indian Inst Trop Meteorol, Pune, Maharashtra, India</t>
  </si>
  <si>
    <t>Ministry of Earth Sciences (MoES) - India; Indian Institute of Tropical Meteorology (IITM)</t>
  </si>
  <si>
    <t>Siingh, D (corresponding author), Indian Inst Trop Meteorol, Pune, Maharashtra, India.</t>
  </si>
  <si>
    <t>devendraasiingh@gmail.com</t>
  </si>
  <si>
    <t>Siingh, Dr Devendraa/ABF-2491-2021</t>
  </si>
  <si>
    <t>Siingh, Dr Devendraa/0000-0003-3044-596X; Pant, Vimlesh/0000-0002-9564-8605; Siingh, Devendraa Siingh/0000-0002-1716-3688</t>
  </si>
  <si>
    <t>INSA Senior Scientist Programme</t>
  </si>
  <si>
    <t>The authors gratefully acknowledge the National Centre for Antarctic and Ocean Research (NCAOR) Goa, India for participation in the 24th Indian Scientific Expedition to Antarctica (ISEA) and the India Meteorological Department for providing the Metrological data. One of us (AKK) acknowledges the support under the INSA Senior Scientist Programme. DS thanks B.N. Goswami for his kind support and encouragement. The authors wish to thank the anonymous reviewers for their suggestions which helped to improve the paper.</t>
  </si>
  <si>
    <t>10.1016/j.jastp.2013.08.011</t>
  </si>
  <si>
    <t>255IH</t>
  </si>
  <si>
    <t>WOS:000327232100008</t>
  </si>
  <si>
    <t>Kaifler, N; Baumgarten, G; Klekociuk, AR; Alexander, SP; Fiedler, J; Lübken, FJ</t>
  </si>
  <si>
    <t>Kaifler, N.; Baumgarten, G.; Klekociuk, A. R.; Alexander, S. P.; Fiedler, J.; Luebken, F. -J.</t>
  </si>
  <si>
    <t>Small scale structures of NLC observed by lidar at 69°N/69°S and their possible relation to gravity waves</t>
  </si>
  <si>
    <t>Noctilucent clouds; Polar mesospheric clouds; Lidar; Polar summer mesosphere; Gravity waves; Inter-hemispheric comparison</t>
  </si>
  <si>
    <t>COMMON-VOLUME OBSERVATIONS; POLAR MESOSPHERIC CLOUDS; NOCTILUCENT CLOUDS; RAYLEIGH/MIE/RAMAN LIDAR; MIDDLE ATMOSPHERE; PARTICLE-SIZE; SUMMER ECHOES; TEMPERATURES; CIRCULATION; MORPHOLOGY</t>
  </si>
  <si>
    <t>Lidar measurements of noctilucent clouds (NLC) were conducted by the Davis Rayleigh-/Raman-lidar in Antarctica (68.58 degrees S, 77.97 degrees E) and by the Rayleigh-/Mie-/Raman-lidar at the ALOMAR observatory in northern Norway (69.28 degrees N, 16.01 degrees E). We compare southern and northern hemisphere NLC at time scales of 10 min to several hours using multi-year datasets (four seasons at ALOMAR, 2008-2011, and nine seasons at Davis, 2001/2002 to 2009/2010). NLC characteristics studied include the vertical structure of NLC layers, the duration of NLC layers as well as the apparent downward motion of NLC layers with time. We find multiple layers during 9% of all NLC observations with vertical separations of double layers between 1.5 and 3 km. The mean downward progression of NLC with measurement time is -0.3 km/h and comparable at Davis and ALOMAR. We find no general spatial tilt of the layer at ALOMAR but individual layers show up to 2 km altitude difference at 40 km horizontal separation. Typical NLC observations at both stations last about 5 hours, hinting at horizontal extents of about 700 km, and reoccur after approximately 10 hours. This is in the range of mid-frequency gravity waves (GW). On short-time scales NLC characteristics are presumably impacted by small scale processes in the vicinity of the clouds, generated by e.g. breaking GW. In addition, we discuss a possible relation to GW by looking at the influence of stratospheric wind conditions on NLC layer characteristics at 69 degrees S. (C) 2013 Elsevier Ltd. All rights reserved.</t>
  </si>
  <si>
    <t>[Kaifler, N.; Baumgarten, G.; Fiedler, J.; Luebken, F. -J.] Univ Rostock, Leibniz Inst Atmospher Phys, D-18225 Kuhlungsborn, Germany; [Klekociuk, A. R.; Alexander, S. P.] Australian Antarctic Div, Kingston, Tas 7050, Australia</t>
  </si>
  <si>
    <t>University of Rostock; Leibniz Institut fur Atmospharenphysik e.V. an der Universitat Rostock (IAP); Australian Antarctic Division</t>
  </si>
  <si>
    <t>Kaifler, N (corresponding author), Univ Rostock, Leibniz Inst Atmospher Phys, Schlossstr 6, D-18225 Kuhlungsborn, Germany.</t>
  </si>
  <si>
    <t>n.kaifler@iap-kborn.de</t>
  </si>
  <si>
    <t>Baumgarten, Gerd/HJI-0544-2023; Kaifler, Natalie/JOK-0324-2023; Klekociuk, Andrew/A-4498-2015</t>
  </si>
  <si>
    <t>Baumgarten, Gerd/0000-0002-6727-284X; Kaifler, Natalie/0000-0002-3118-6480; Alexander, Simon/0000-0001-6823-8857; Klekociuk, Andrew/0000-0003-3335-0034</t>
  </si>
  <si>
    <t>Australian Antarctic Science project [737]</t>
  </si>
  <si>
    <t>Australian Antarctic Science project</t>
  </si>
  <si>
    <t>We thank the ALOMAR staff for operating the ALOMAR RMR lidar as well as several students that have operated the lidar on a campaign basis. The Davis measurements used here were obtained under Australian Antarctic Science project 737, and we thank the Davis wintering scientists for collecting these data. The European Centre for Medium-Range Weather Forecasts (ECMWF) is acknowledged for providing stratospheric zonal wind data.</t>
  </si>
  <si>
    <t>10.1016/j.jastp.2013.01.004</t>
  </si>
  <si>
    <t>WOS:000327232100023</t>
  </si>
  <si>
    <t>Pugh, PJA</t>
  </si>
  <si>
    <t>Pugh, P. J. A.</t>
  </si>
  <si>
    <t>Why are there so few far southern myriapods?</t>
  </si>
  <si>
    <t>JOURNAL OF NATURAL HISTORY</t>
  </si>
  <si>
    <t>biogeography; Myriapods; South Atlantic; Indian; Pacific</t>
  </si>
  <si>
    <t>SUB-ANTARCTIC ISLANDS; NEW-ZEALAND; OCEAN ISLANDS; DISJUNCT DISTRIBUTION; CENTIPEDES CHILOPODA; SPECIES SWARMS; CANARY-ISLANDS; BIOGEOGRAPHY; DIPLOPODA; SCOLOPENDROMORPHA</t>
  </si>
  <si>
    <t>There are no extant Antarctic myriapods. The far southern islands south of latitude 45 degrees S together with the isolated (south Atlantic) Tristan da Cunha, Gough, (south Indian) St Paul, Amsterdam and (south Pacific) Chatham islands (at 37 to 44 degrees S), harbour only 33 native, introduced and partly identified taxa, including 17 Chilopoda, 11 Diplopoda, two Pauropoda and four Symphyla. The myriapods confined to the extreme edge of the Southern Ocean are entirely derived from pre-glacial Tertiary relicts or post-glacial anthropogenic introductions and show no evidence of co-occurring sibling taxa. This unusual distribution pattern provides a useful no dispersal/no speciation benchmark that can be applied to other far-southern non-marine invertebrates where the distinction between pre-glacial and post-glacial endemic taxa is not so clearly defined.</t>
  </si>
  <si>
    <t>Anglia Ruskin Univ, Dept Life Sci, Cambridge, England</t>
  </si>
  <si>
    <t>Anglia Ruskin University</t>
  </si>
  <si>
    <t>Pugh, PJA (corresponding author), Anglia Ruskin Univ, Dept Life Sci, Cambridge, England.</t>
  </si>
  <si>
    <t>philip.pugh@anglia.ac.uk</t>
  </si>
  <si>
    <t>0022-2933</t>
  </si>
  <si>
    <t>1464-5262</t>
  </si>
  <si>
    <t>J NAT HIST</t>
  </si>
  <si>
    <t>J. Nat. Hist.</t>
  </si>
  <si>
    <t>43-44</t>
  </si>
  <si>
    <t>10.1080/00222933.2013.791890</t>
  </si>
  <si>
    <t>Biodiversity Conservation; Ecology; Zoology</t>
  </si>
  <si>
    <t>258QP</t>
  </si>
  <si>
    <t>WOS:000327474100005</t>
  </si>
  <si>
    <t>Ortiz-Santana, B; Lindner, DL; Miettinen, O; Justo, A; Hibbett, DS</t>
  </si>
  <si>
    <t>Ortiz-Santana, Beatriz; Lindner, Daniel L.; Miettinen, Otto; Justo, Alfredo; Hibbett, David S.</t>
  </si>
  <si>
    <t>A phylogenetic overview of the antrodia clade (Basidiomycota, Polyporales)</t>
  </si>
  <si>
    <t>MYCOLOGIA</t>
  </si>
  <si>
    <t>brown rot; molecular phylogeny</t>
  </si>
  <si>
    <t>WOOD-ROTTING FUNGI; ANTARCTIC PIPTOPORUS POLYPORACEAE; MITOCHONDRIAL RIBOSOMAL DNA; WOLFIPORIA-COCOS; BROWN-ROT; SP-NOV; INTERCOMPATIBILITY TESTS; MOLECULAR PHYLOGENETICS; SPECIES POLYPORALES; USEFUL INFORMATIONS</t>
  </si>
  <si>
    <t>Phylogenetic relationships among members of the antrodia clade were investigated with molecular data from two nuclear ribosomal DNA regions, LSU and ITS. A total of 123 species representing 26 genera producing a brown rot were included in the present study. Three DNA datasets (combined LSU-ITS dataset, LSU dataset, ITS dataset) comprising sequences of 449 isolates were evaluated with three different phylogenetic analyses (maximum likelihood, maximum parsimony, Bayesian inference). We present a phylogenetic overview of the five main groups recovered: the fibroporia, laetiporus, postia, laricifomes and core antrodia groups. Not all of the main groups received strong support in the analyses, requiring further research. We were able to identify a number of well supported clades within the main groups.</t>
  </si>
  <si>
    <t>[Ortiz-Santana, Beatriz; Lindner, Daniel L.] US Forest Serv, No Res Stn, Ctr Forest Mycol Res, Madison, WI 53726 USA; [Miettinen, Otto] Univ Helsinki, Bot Museum, FIN-00014 Helsinki, Finland; [Justo, Alfredo; Hibbett, David S.] Clark Univ, Dept Biol, Worcester, MA 01610 USA</t>
  </si>
  <si>
    <t>United States Department of Agriculture (USDA); United States Forest Service; University of Helsinki; Clark University</t>
  </si>
  <si>
    <t>Ortiz-Santana, B (corresponding author), US Forest Serv, No Res Stn, Ctr Forest Mycol Res, 1 Gifford Pinchot Dr, Madison, WI 53726 USA.</t>
  </si>
  <si>
    <t>bortizana@fs.fed.us</t>
  </si>
  <si>
    <t>Miettinen, Otto/0000-0001-7502-710X</t>
  </si>
  <si>
    <t>National Science Foundation PolyPEET [DEB 0933081]; Division Of Environmental Biology; Direct For Biological Sciences [0933081] Funding Source: National Science Foundation</t>
  </si>
  <si>
    <t>National Science Foundation PolyPEET; Division Of Environmental Biology; Direct For Biological Sciences(National Science Foundation (NSF)NSF - Directorate for Biological Sciences (BIO))</t>
  </si>
  <si>
    <t>This research was supported by a grant from the National Science Foundation, PolyPEET (DEB 0933081) to DSH. The authors thank Harold H. Burdsall, Karl-Henrik Larsson, Karen Nakasone, Tuomo Niemela and Leif Ryvarden for advice regarding taxonomy of Polyporales. Ellen Larsson, Karl-Henrik Larsson, Tuomo Niemela and Dmitry Schigel kindly provided a number of previously unpublished sequences.</t>
  </si>
  <si>
    <t>0027-5514</t>
  </si>
  <si>
    <t>1557-2536</t>
  </si>
  <si>
    <t>Mycologia</t>
  </si>
  <si>
    <t>NOV-DEC</t>
  </si>
  <si>
    <t>10.3852/13-051</t>
  </si>
  <si>
    <t>260BJ</t>
  </si>
  <si>
    <t>WOS:000327569700004</t>
  </si>
  <si>
    <t>Wang, XN; Ma, CL</t>
  </si>
  <si>
    <t>Wang, Xiangnan; Ma, Changlei</t>
  </si>
  <si>
    <t>Coastal Marine Environment Monitoring In Great Wall Cove Upgraded System in China Transmits Real-Time Data from Antarctic</t>
  </si>
  <si>
    <t>SEA TECHNOLOGY</t>
  </si>
  <si>
    <t>COMPASS PUBLICATIONS, INC</t>
  </si>
  <si>
    <t>ARLINGTON</t>
  </si>
  <si>
    <t>1501 WILSON BLVD., STE 1001, ARLINGTON, VA 22209-2403 USA</t>
  </si>
  <si>
    <t>0093-3651</t>
  </si>
  <si>
    <t>SEA TECHNOL</t>
  </si>
  <si>
    <t>Sea Technol.</t>
  </si>
  <si>
    <t>Engineering, Ocean</t>
  </si>
  <si>
    <t>261QA</t>
  </si>
  <si>
    <t>WOS:000327678500010</t>
  </si>
  <si>
    <t>Guo, SQ; Garnham, CP; Partha, SK; Campbell, RL; Allingham, JS; Davies, PL</t>
  </si>
  <si>
    <t>Guo, Shuaiqi; Garnham, Christopher P.; Partha, Sarathy Karunan; Campbell, Robert L.; Allingham, John S.; Davies, Peter L.</t>
  </si>
  <si>
    <t>Role of Ca2+ in folding the tandem β-sandwich extender domains of a bacterial ice-binding adhesin</t>
  </si>
  <si>
    <t>FEBS JOURNAL</t>
  </si>
  <si>
    <t>bacterial immunoglobulin (Ig)-like fold; Ca2+-dependent; crystal structure; extender domain; ice-binding adhesin</t>
  </si>
  <si>
    <t>ANTIFREEZE PROTEIN; IMMUNOGLOBULIN SUPERFAMILY; RECRYSTALLIZATION</t>
  </si>
  <si>
    <t>A Ca2+-dependent 1.5-MDa antifreeze protein present in an Antarctic Gram-negative bacterium, Marinomonasprimoryensis (MpAFP), has recently been reassessed as an ice-binding adhesin. The non-ice-binding regionII (RII), one of five distinct domains in MpAFP, constitutes similar to 90% of the protein. RII consists of similar to 120 tandem copies of an identical 104-residue sequence. We used the Protein Homology/analogy Recognition Engine server to define the boundaries of a single 104-residue RII construct (RII monomer). CD demonstrated that Ca2+ is required for RII monomer folding, and that the monomer is fully structured at a Ca2+/protein molar ratio of 10:1. The crystal structure of the RII monomer was solved to a resolution of 1.35 angstrom by single-wavelength anomalous dispersion and molecular replacement methods with Ca2+ as the heavy atom to obtain phase information. The RII monomer folds as a Ca2+-bound immunoglobulin-like -sandwich. Ca2+ ions are coordinated at the interfaces between each RII monomer and its symmetry-related molecules, suggesting that these ions may be involved in the stabilization of the tandemly repeated RII. We hypothesize that &gt;600 Ca2+ ions help to rigidify the chain of 104-residue repeats in order to project the ice-binding domain of MpAFP away from the bacterial cell surface. The proposed role of RII is to help the strictly aerobic bacterium bind surface ice in an Antarctic lake for better access to oxygen and nutrients. This work may give insights into other bacterial proteins that resemble MpAFP, especially those of the large repeats-in-toxin family that have been characterized as adhesins exported via the typeI secretion pathway.</t>
  </si>
  <si>
    <t>[Guo, Shuaiqi; Garnham, Christopher P.; Partha, Sarathy Karunan; Campbell, Robert L.; Allingham, John S.; Davies, Peter L.] Queens Univ, Dept Biomed &amp; Mol Sci, Prot Funct Discovery Grp, Kingston, ON K7L 3N6, Canada</t>
  </si>
  <si>
    <t>Queens University - Canada</t>
  </si>
  <si>
    <t>Davies, PL (corresponding author), Queens Univ, Dept Biomed &amp; Mol Sci, Kingston, ON K7L 3N6, Canada.</t>
  </si>
  <si>
    <t>peter.davies@queensu.ca</t>
  </si>
  <si>
    <t>Allingham, John/AAW-9262-2020</t>
  </si>
  <si>
    <t>Campbell, Robert/0000-0002-5473-5876</t>
  </si>
  <si>
    <t>CIHR; NSERC-PGSD3 scholarship; R. Samuel McLaughlin fellowship</t>
  </si>
  <si>
    <t>CIHR(Canadian Institutes of Health Research (CIHR)); NSERC-PGSD3 scholarship(Natural Sciences and Engineering Research Council of Canada (NSERC)); R. Samuel McLaughlin fellowship</t>
  </si>
  <si>
    <t>We thank K. Munro from the Protein Function Discovery at Queen's University for his help with acquiring and interpreting CD data, Z. Jia for sharing remote access to the synchrotron facilities in the Advanced Photon Source (Argonne National Laboratory), and S. Gauthier for other technical assistance. This work was funded by a grant from the CIHR to P. L. Davies. C. P. Garnham was the recipient of an NSERC-PGSD3 scholarship and an R. Samuel McLaughlin fellowship. P. L. Davies holds the Canada Research Chair in Protein Engineering.</t>
  </si>
  <si>
    <t>1742-464X</t>
  </si>
  <si>
    <t>1742-4658</t>
  </si>
  <si>
    <t>FEBS J</t>
  </si>
  <si>
    <t>FEBS J.</t>
  </si>
  <si>
    <t>10.1111/febs.12518</t>
  </si>
  <si>
    <t>254AA</t>
  </si>
  <si>
    <t>WOS:000327130900028</t>
  </si>
  <si>
    <t>Wang, WZ; Liu, XH; Xu, GB; Shao, XM; Qin, DH; Sun, WZ; An, WL; Zeng, XM</t>
  </si>
  <si>
    <t>Wang WenZhi; Liu XiaoHong; Xu GuoBao; Shao XueMei; Qin DaHe; Sun WeiZhen; An WenLing; Zeng XiaoMin</t>
  </si>
  <si>
    <t>Moisture variations over the past millennium characterized by Qaidam Basin tree-ring δ 18O</t>
  </si>
  <si>
    <t>CHINESE SCIENCE BULLETIN</t>
  </si>
  <si>
    <t>tree-ring delta O-18; moisture variation; medieval climate anomaly; little ice age; Qaidam Basin</t>
  </si>
  <si>
    <t>TIBETAN PLATEAU; RECONSTRUCTION; PRECIPITATION; 20TH-CENTURY; CORES</t>
  </si>
  <si>
    <t>High-resolution tree-ring delta O-18 chronologies covering the last millennium, although scarce, are essential in understanding patterns of climatic changes in the northeastern region of the Qinghai-Tibetan Plateau. For this study, a tree-ring delta O-18 chronology with a temporal resolution of 3-years was developed from the long-lived Qilian juniper (Sabina przewalskii Kom.), extending back in time to AD 991. This long delta O-18 chronology was significantly correlated with the yearly delta O-18 in tree rings during the common period from 1800 to 2006, and was an effective proxy for relative humidity during the growing season. A low-frequency moisture pattern signified the occurrence of a slight drought during the Medieval Climate Anomaly, a marked occurrence of a wet period during the Little Ice Age, and a trend in increasing moisture levels, although lower than average, alongside the Twentieth Century warming trend. Comparisons to other hydroclimatic reconstructions indicate that this tree-ring delta O-18 chronology serves as a reliable paleo-humidity proxy for the Qaidam Basin as well as documenting details of past humidity levels in the region.</t>
  </si>
  <si>
    <t>[Wang WenZhi; Liu XiaoHong; Xu GuoBao; Qin DaHe; Sun WeiZhen; An WenLing; Zeng XiaoMin] Chinese Acad Sci, Cold &amp; Arid Reg Environm &amp; Engn Res Inst, State Key Lab Cryospher Sci, Lanzhou 730000, Peoples R China; [Wang WenZhi; Liu XiaoHong; Xu GuoBao; An WenLing; Zeng XiaoMin] Univ Chinese Acad Sci, Beijing 100049, Peoples R China; [Shao XueMei] Chinese Acad Sci, Inst Geog Sci &amp; Nat Resources Res, Beijing 100101, Peoples R China</t>
  </si>
  <si>
    <t>Chinese Academy of Sciences; Cold &amp; Arid Regions Environmental &amp; Engineering Research Institute, CAS; Chinese Academy of Sciences; University of Chinese Academy of Sciences, CAS; Chinese Academy of Sciences; Institute of Geographic Sciences &amp; Natural Resources Research, CAS</t>
  </si>
  <si>
    <t>Liu, XH (corresponding author), Chinese Acad Sci, Cold &amp; Arid Reg Environm &amp; Engn Res Inst, State Key Lab Cryospher Sci, Lanzhou 730000, Peoples R China.</t>
  </si>
  <si>
    <t>liuxh@lzb.ac.cn</t>
  </si>
  <si>
    <t>Xu, Guobao/J-4006-2019; wang, wenzhi/H-5670-2011; Liu, Xiaohong/D-1802-2015; Wang, Wenzhi/G-2026-2018; Xu, Guobao/L-3377-2016</t>
  </si>
  <si>
    <t>Xu, Guobao/0000-0001-7267-554X; Liu, Xiaohong/0000-0002-1497-6122; Wang, Wenzhi/0000-0003-4574-409X; Xu, Guobao/0000-0001-7267-554X</t>
  </si>
  <si>
    <t>Global Change Research Program of China [2010CB951401]; National Natural Science Foundation of China [41171167, 40871002]</t>
  </si>
  <si>
    <t>Global Change Research Program of China; National Natural Science Foundation of China(National Natural Science Foundation of China (NSFC))</t>
  </si>
  <si>
    <t>We thank Prof. Ian Allison at the Antarctic Climate and Ecosystems Cooperative Research Centre for grammatical editing of the manuscript. This work was supported by the Global Change Research Program of China (2010CB951401) and the National Natural Science Foundation of China (41171167 and 40871002).</t>
  </si>
  <si>
    <t>SCIENCE PRESS</t>
  </si>
  <si>
    <t>BEIJING</t>
  </si>
  <si>
    <t>16 DONGHUANGCHENGGEN NORTH ST, BEIJING 100717, PEOPLES R CHINA</t>
  </si>
  <si>
    <t>1001-6538</t>
  </si>
  <si>
    <t>1861-9541</t>
  </si>
  <si>
    <t>CHINESE SCI BULL</t>
  </si>
  <si>
    <t>Chin. Sci. Bull.</t>
  </si>
  <si>
    <t>10.1007/s11434-013-5913-0</t>
  </si>
  <si>
    <t>250CN</t>
  </si>
  <si>
    <t>WOS:000326827900010</t>
  </si>
  <si>
    <t>Favre, A; Hewitson, B; Lennard, C; Cerezo-Mota, R; Tadross, M</t>
  </si>
  <si>
    <t>Favre, Alice; Hewitson, Bruce; Lennard, Christopher; Cerezo-Mota, Ruth; Tadross, Mark</t>
  </si>
  <si>
    <t>Cut-off Lows in the South Africa region and their contribution to precipitation</t>
  </si>
  <si>
    <t>Cut-off Low; South Africa; Precipitation; El Nino Southern Oscillation; Antarctic oscillation; Semiannual oscillation; Pacific South American pattern</t>
  </si>
  <si>
    <t>COOL-SEASON RAINFALL; LOW-PRESSURE SYSTEMS; EXTREME RAINFALL; CLIMATOLOGY; VARIABILITY; REANALYSIS; HEMISPHERE; SIMULATIONS; TEMPERATURE; PACIFIC</t>
  </si>
  <si>
    <t>The contribution of Cut-off Lows (CoLs) to precipitation and extreme rainfall frequency in South Africa has been quantified from 402 station records over the period 1979-2006. Firstly, 500 hPa CoL trajectories over Southern Africa and surrounding oceans were determined and their features thoroughly analyzed. In a second step, using daily precipitable water, outgoing long wave radiation data and station rainfall records, an area was defined where the occurrence of CoLs is associated with rainfall over South Africa. CoLs transiting in the 2.5A degrees E-32.5A degrees E/20A degrees S-45A degrees S are more likely to produce precipitation over the country. When 500 hPa CoLs are centered just off the west coast of the country (around 15A degrees E/32.5A degrees S) their impact is substantial in term of daily rainfall intensity and spatial coverage. CoL rainy days have been studied and it is shown that they significantly contribute to precipitation in South Africa, more strongly along the south and east coasts as well as inland, over the transition zone between the summer and winter rainfall domains where they contribute between 25 to more than 35 % of annual accumulation. At the country scale, CoL rainfall is more intense and widespread in spring than during other seasons. Over the analyzed period, a significant trend in annual CoLs' frequency shows an increase of about 25 %. This increase is mainly realized in spring and in a lesser extent in summer. This trend is accompanied by a significant increase in the frequency of CoL rainy days specifically along the south coast and over the East of the country during the spring-summer period. In parallel, it is shown that from late spring until summer CoLs' frequency varies significantly accordingly with large scale circulation modes of the Southern Hemisphere such as the Pacific South American pattern (PSA). This positive trend in CoLs' frequency may be related with the positive trend in the PSA during the spring-summer period over the three last decades.</t>
  </si>
  <si>
    <t>[Favre, Alice; Hewitson, Bruce; Lennard, Christopher; Cerezo-Mota, Ruth; Tadross, Mark] Univ Cape Town, Climate Syst Anal Grp, ENGEO Dept, ZA-7925 Cape Town, South Africa; [Cerezo-Mota, Ruth] Univ Calif Los Angeles, Inst Environm &amp; Sustainabil, Los Angeles, CA USA</t>
  </si>
  <si>
    <t>University of Cape Town; University of California System; University of California Los Angeles</t>
  </si>
  <si>
    <t>Favre, A (corresponding author), Univ Bourgogne, CNRS, UMR Biogeosci 6282, Ctr Rech Climatol, 6 Blvd Gabriel, F-2100 Dijon, France.</t>
  </si>
  <si>
    <t>afavre@csag.uct.ac.za</t>
  </si>
  <si>
    <t>Lennard, Chris/C-2120-2014; Favre, Alice/B-4581-2013; Hewitson, Bruce/B-3295-2014</t>
  </si>
  <si>
    <t>Lennard, Chris/0000-0001-6085-0320; Hewitson, Bruce/0000-0001-7546-4430; Favre, Alice/0000-0002-0093-7966; Tadross, Mark/0000-0002-7018-404X; Cerezo-Mota, Ruth/0000-0002-8447-5067</t>
  </si>
  <si>
    <t>National Research Foundation of South Africa</t>
  </si>
  <si>
    <t>National Research Foundation of South Africa(National Research Foundation - South Africa)</t>
  </si>
  <si>
    <t>The authors thank the South African Weather Service for providing the weather station data. This study was made possible by funding from the National Research Foundation of South Africa.</t>
  </si>
  <si>
    <t>9-10</t>
  </si>
  <si>
    <t>10.1007/s00382-012-1579-6</t>
  </si>
  <si>
    <t>242LY</t>
  </si>
  <si>
    <t>WOS:000326244700005</t>
  </si>
  <si>
    <t>Xiao, C; Ding, M; Masson-Delmotte, V; Zhang, R; Jin, B; Ren, J; Li, C; Werner, M; Wang, Y; Cui, X; Wang, X</t>
  </si>
  <si>
    <t>Xiao, C.; Ding, M.; Masson-Delmotte, V.; Zhang, R.; Jin, B.; Ren, J.; Li, C.; Werner, M.; Wang, Y.; Cui, X.; Wang, X.</t>
  </si>
  <si>
    <t>Stable isotopes in surface snow along a traverse route from Zhongshan station to Dome A, East Antarctica</t>
  </si>
  <si>
    <t>Stable isotopic composition; East Antarctica; ITASE; CHINARE</t>
  </si>
  <si>
    <t>DEUTERIUM-EXCESS; ICE CORES; CLIMATE VARIABILITY; MASS-BALANCE; PRECIPITATION; TEMPERATURE; O-18; RECORDS; ORIGIN; FIRN</t>
  </si>
  <si>
    <t>Samples of surface snow were collected for stable isotope analysis along the traverse route from Zhongshan to Dome A (East Antarctica) from Dec 28th, 2007 to Feb. 8th, 2008. The local relationship between delta D and surface temperature is established to be 6.4 +/- A 0.2 aEuro degrees per A degrees C, very similar to the average for East Antarctic. The deuterium excess shows a pattern of high values over Antarctica, particularly at Dome A. We compare our data with an atmospheric general circulation model which includes stable water isotopes (ECHAM5-wiso). The model simulation captures the right levels of delta D, but overestimates delta O-18. This study provides support for the ongoing deep ice core project at Dome A.</t>
  </si>
  <si>
    <t>[Xiao, C.; Ding, M.; Zhang, R.] Chinese Acad Meteorol Sci, Inst Climate Syst, Beijing 100081, Peoples R China; [Xiao, C.; Ding, M.; Ren, J.; Li, C.; Wang, Y.; Cui, X.; Wang, X.] Chinese Acad Sci, Cold &amp; Arid Reg Environm &amp; Engn Res Inst, State Key Lab Cryospher Sci, Lanzhou 730000, Peoples R China; [Masson-Delmotte, V.] UVSQ, CEA Saclay, Lab Sci Climat &amp; Environm, IPSL,UMR 8212,CEA,CNRS, F-91191 Gif Sur Yvette, France; [Jin, B.] Chinese Arctic &amp; Antarctic Adm, Beijing 100860, Peoples R China; [Werner, M.] Alfred Wegener Inst Polar &amp; Marine Res, D-27570 Bremerhaven, Germany</t>
  </si>
  <si>
    <t>China Meteorological Administration; Chinese Academy of Meteorological Sciences (CAMS); Chinese Academy of Sciences; Cold &amp; Arid Regions Environmental &amp; Engineering Research Institute, CAS; CEA; Centre National de la Recherche Scientifique (CNRS); Universite Paris Saclay; Universite Paris Cite; CNRS - National Institute for Earth Sciences &amp; Astronomy (INSU); Helmholtz Association; Alfred Wegener Institute, Helmholtz Centre for Polar &amp; Marine Research</t>
  </si>
  <si>
    <t>Ding, M (corresponding author), Chinese Acad Meteorol Sci, Inst Climate Syst, Beijing 100081, Peoples R China.</t>
  </si>
  <si>
    <t>dingminghu@cams.cma.gov.cn</t>
  </si>
  <si>
    <t>Ding, Minghu/AFU-3600-2022; Werner, Martin/C-8067-2014; Masson-Delmotte, Valerie L/G-1995-2011; Zhang, Renhe/AAA-6301-2020</t>
  </si>
  <si>
    <t>Ding, Minghu/0000-0002-1142-6598; Werner, Martin/0000-0002-6473-0243; Masson-Delmotte, Valerie L/0000-0001-8296-381X; Zhang, Renhe/0000-0001-7750-8679</t>
  </si>
  <si>
    <t>National Natural Science Foundation of China [41206179, 41121001]; State Oceanic Administration of People's Republic of China Project on Climate in Polar Regions [CHINARE2012-02-02, CHINARE2012-04-04]; Post-Doctor Fund [2011M500462]; ANR VANISH</t>
  </si>
  <si>
    <t>National Natural Science Foundation of China(National Natural Science Foundation of China (NSFC)); State Oceanic Administration of People's Republic of China Project on Climate in Polar Regions; Post-Doctor Fund; ANR VANISH(Agence Nationale de la Recherche (ANR))</t>
  </si>
  <si>
    <t>We are thankful for logistical support provided by CHINARE. This study was funded by the National Natural Science Foundation of China (41206179; 41121001), the State Oceanic Administration of People's Republic of China Project on Climate in Polar Regions (CHINARE2012-02-02, CHINARE2012-04-04) and Post-Doctor Fund (2011M500462). LSCE support from ANR VANISH and Dome A is acknowledged. Ian Allison helped both in science and English.</t>
  </si>
  <si>
    <t>10.1007/s00382-012-1580-0</t>
  </si>
  <si>
    <t>WOS:000326244700010</t>
  </si>
  <si>
    <t>Halmi, MIE; Hussin, WSW; Aqlima, A; Syed, MA; Ruberto, L; MacCormack, WP; Shukor, MY</t>
  </si>
  <si>
    <t>Halmi, M. I. E.; Hussin, W. S. W.; Aqlima, A.; Syed, M. A.; Ruberto, L.; MacCormack, W. P.; Shukor, M. Y.</t>
  </si>
  <si>
    <t>Characterization of a sodium dodecyl sulphate-degrading Pseudomonas sp. strain DRY15 from Antarctic soil</t>
  </si>
  <si>
    <t>JOURNAL OF ENVIRONMENTAL BIOLOGY</t>
  </si>
  <si>
    <t>Antarctica; Biodegradation; Pseudomonas sp.; SDS</t>
  </si>
  <si>
    <t>ANIONIC SURFACTANTS; BIODEGRADATION; BACTERIA; AERUGINOSA; DETERGENT; TOXICITY; DEGRADATION</t>
  </si>
  <si>
    <t>A bacterium capable of biodegrading surfactant sodium dodecyl sulphate (SDS) was isolated from Antarctic soil. The isolate was tentatively identified as Pseudomonas sp. strain DRY15 based on carbon utilization profiles using Biolog GN plates and partial 16S rDNA molecular phylogeny. Growth characteristic studies showed that the bacterium grew optimally at 10 degrees C, 7.25 pH, 1 g l(-1) SOS as a sole carbon source and 2 g l(-1), ammonium sulphate as nitrogen source. Growth was completely inhibited at 5 g l(-1) SDS. At a tolerable initial concentration of 2 g l(-1), approximately 90% of SDS was degraded after an incubation period of eight days. The best growth kinetic model to fit experimental data was the Haldane model of substrate inhibition with a correlation coefficient value of 0.97. The maximum growth rate was 0.372 hr(-1) while the saturation constant or half velocity constant (Ks) and inhibition constant (Ki), were 0.094% and 11.212 % SDS, respectively. Other detergent tested as carbon sources at 1 g l(-1) was Tergitol NP9, Tergitol 1559, Witconol 2301 (methyl oleate), sodium dodecylbenzene sulfonate (SOBS), benzethonium chloride, and benzalkonium chloride showed Tergitol NP9, Tergitol 1559, Witconol 2301 and the anionic SOBS supported growth with the highest growth exhibited by SDBS.</t>
  </si>
  <si>
    <t>[Halmi, M. I. E.; Hussin, W. S. W.; Aqlima, A.; Syed, M. A.; Shukor, M. Y.] Univ Putra Malaysia, Fac Biotechnol &amp; Biomol Sci, Dept Biochem, Upm Serdang 43400, Selangor, Malaysia; [Ruberto, L.; MacCormack, W. P.] Inst Antartico Argentino, RA-1010 Buenos Aires, DF, Argentina</t>
  </si>
  <si>
    <t>Universiti Putra Malaysia; Instituto Antartico Argentino</t>
  </si>
  <si>
    <t>Shukor, MY (corresponding author), Univ Putra Malaysia, Fac Biotechnol &amp; Biomol Sci, Dept Biochem, Upm Serdang 43400, Selangor, Malaysia.</t>
  </si>
  <si>
    <t>yunus@biotech.upm.edu.my</t>
  </si>
  <si>
    <t>shukor, yunus/AAB-7087-2020</t>
  </si>
  <si>
    <t>shukor, yunus/0000-0002-6150-2114; Mac Cormack, Walter/0000-0002-5280-5463; Ruberto, Lucas Adolfo Mauro/0000-0001-5604-772X; Ahmad, Siti Aqlima/0000-0002-7625-3704; Fendi, Zuan/0000-0001-8960-6452</t>
  </si>
  <si>
    <t>The Academy of Science Malaysia (ASM); The Ministry of Science, Technology and Innovation (MOSTI)</t>
  </si>
  <si>
    <t>The Academy of Science Malaysia (ASM); The Ministry of Science, Technology and Innovation (MOSTI)(Ministry of Energy, Science, Technology, Environment and Climate Change (MESTECC), Malaysia)</t>
  </si>
  <si>
    <t>This work was supported by the research grants from The Academy of Science Malaysia (ASM) and The Ministry of Science, Technology and Innovation (MOSTI). We thank Dr. Susana Claudia Vazquez and Dr. Edgardo Hernandez from The Argentinean Institute of Antarctica (IAA) for providing site support during the expedition to Antarctica.</t>
  </si>
  <si>
    <t>TRIVENI ENTERPRISES</t>
  </si>
  <si>
    <t>LUCKNOW</t>
  </si>
  <si>
    <t>C/O KIRAN DALELA, 1/206 VIKAS NAGAR, KURSI RD, LUCKNOW 226 022, INDIA</t>
  </si>
  <si>
    <t>0254-8704</t>
  </si>
  <si>
    <t>J ENVIRON BIOL</t>
  </si>
  <si>
    <t>J.Environ.Biol.</t>
  </si>
  <si>
    <t>Environmental Sciences</t>
  </si>
  <si>
    <t>244WY</t>
  </si>
  <si>
    <t>WOS:000326422100018</t>
  </si>
  <si>
    <t>Martinez, E; Menze, MA; Torres, JJ</t>
  </si>
  <si>
    <t>Martinez, Eloy; Menze, Michael A.; Torres, Joseph J.</t>
  </si>
  <si>
    <t>Mitochondrial energetics of benthic and pelagic Antarctic teleosts</t>
  </si>
  <si>
    <t>MARINE BIOLOGY</t>
  </si>
  <si>
    <t>TEMPERATURE; ADAPTATION; METABOLISM; FISH; SENSITIVITY; CAPACITIES; MUSCLE</t>
  </si>
  <si>
    <t>Antarctic fauna are highly adapted to the frigid waters of the Southern Ocean. This study describes the in vitro temperature sensitivity of oxygen consumption rates measured in liver mitochondria from the pelagic notothenioid Pleuragramma antarcticum between 5 and 35 A degrees C. Oxygen fluxes were measured after the addition of millimolar levels of pyruvate, malate, succinate and glutamate (state II, LEAK) and saturating levels of ADP [state III, oxidative phosphorylation (OXPHOS)]. State III respiration significantly decreased above 18.7 A degrees C. A comparison of the oxidative capacities among P. antarcticum and other notothenioids showed significant differences in state III respiration, where benthic species exhibited about 50 % lower rates than P. antarcticum. In addition, state III respiration rates normalized per milligram of mitochondrial protein of P. antarcticum were up to eight times higher than state III rates reported in the literature for other notothenioids. The comparatively high respiration rates measured in this study may be explained by our approach, which engaged both complexes I and II under conditions of oxidative phosphorylation. State III rates of independently activated complexes I and II were found to range from 42 to 100 % of rates obtained when both complexes were activated simultaneously in the same species. The remarkable tolerance of P. antarcticum OXPHOS toward warmer temperatures was unexpected for an Antarctic stenotherm and may indicate that thermal sensitivity of their mitochondria is not the driving force behind their stenothermy.</t>
  </si>
  <si>
    <t>[Martinez, Eloy; Torres, Joseph J.] Univ S Florida, Coll Marine Sci, St Petersburg, FL 33701 USA; [Menze, Michael A.] Eastern Illinois Univ, Dept Biol Sci, Charleston, IL 61920 USA</t>
  </si>
  <si>
    <t>State University System of Florida; University of South Florida; Eastern Illinois University</t>
  </si>
  <si>
    <t>Martinez, E (corresponding author), Univ S Florida, Coll Marine Sci, 140 7th Ave South, St Petersburg, FL 33701 USA.</t>
  </si>
  <si>
    <t>emartin9@mail.usf.edu; mmenze@eiu.edu</t>
  </si>
  <si>
    <t>Menze, Michael/AAP-8165-2020</t>
  </si>
  <si>
    <t>Menze, Michael/0000-0003-1072-5462</t>
  </si>
  <si>
    <t>[NSF-0741348]; Office of Polar Programs (OPP); Directorate For Geosciences [0741348] Funding Source: National Science Foundation</t>
  </si>
  <si>
    <t>; Office of Polar Programs (OPP); Directorate For Geosciences(National Science Foundation (NSF)NSF - Directorate for Geosciences (GEO))</t>
  </si>
  <si>
    <t>The authors of this manuscript would like to thank all crew members and members of the science party aboard the RV/IB Nathaniel B. Palmer (Cruise B-258-N) who assisted in the specimen collection. We would also like to thank Dr. Arthur L. DeVries for providing N. coriiceps specimens. This project was funded by NSF-0741348 awarded to Dr. Joseph J. Torres.</t>
  </si>
  <si>
    <t>0025-3162</t>
  </si>
  <si>
    <t>1432-1793</t>
  </si>
  <si>
    <t>MAR BIOL</t>
  </si>
  <si>
    <t>Mar. Biol.</t>
  </si>
  <si>
    <t>10.1007/s00227-013-2273-x</t>
  </si>
  <si>
    <t>239TI</t>
  </si>
  <si>
    <t>WOS:000326048000003</t>
  </si>
  <si>
    <t>Huveneers, C; Rogers, PJ; Beckmann, C; Semmens, JM; Bruce, BD; Seuront, L</t>
  </si>
  <si>
    <t>Huveneers, Charlie; Rogers, Paul J.; Beckmann, Crystal; Semmens, Jayson M.; Bruce, Barry D.; Seuront, Laurent</t>
  </si>
  <si>
    <t>The effects of cage-diving activities on the fine-scale swimming behaviour and space use of white sharks</t>
  </si>
  <si>
    <t>CARCHARODON-CARCHARIAS; NEPTUNE ISLANDS; HUMAN DISTURBANCE; ECOTOURISM; MOVEMENTS; WILDLIFE; MIGRATION; CONSERVATION; RECREATION; ABUNDANCE</t>
  </si>
  <si>
    <t>Wildlife tourism has become increasingly popular and is one of the fastest growing sectors of the tourism industry. A radio-acoustic positioning system was deployed to monitor the fine-scale movements of 21 white sharks (Carcharodon carcharias) and investigate the effects of shark cage-diving activities on their swimming behaviour and space use. This study contributes towards improving our understanding of the complex relationship between wildlife tourism and its effects on sharks, and assesses how tourism targeting sharks affects behaviour at a finer spatial scale than previously investigated. Our study demonstrated that shark cage-diving operators (SCDO) influenced the fine-scale three-dimensional spatial distribution and the rate of movement of white sharks at the Neptune Islands. White sharks stayed more than 30 m away from the SCDO on 21 % of the days detected, but spent a significant amount of time in close proximity to the SCDO on the remaining days. Individual variation was detected, with some sharks behaviourally responding to SCDO more than others. The degree of variation between individual sharks and the different levels of interaction (e.g. presence, proximity to SCDO, and consumption of tethered bait) highlights the complexity of the relationships between SCDO and the effects on sharks. To improve our understanding of these relationships, future monitoring of shark cage-diving operations requires proximity to SCDO to be recorded in addition to the presence within the area. Further work is needed to assess whether the observed behavioural changes would affect individual fitness and ultimately population viability, which are critical information to unambiguously assess the potential impacts of wildlife tourism targeting sharks.</t>
  </si>
  <si>
    <t>[Huveneers, Charlie; Rogers, Paul J.] SARDI Aquat Sci, Threatened Endangered &amp; Protected Species Sub Pro, West Beach, SA 5022, Australia; [Huveneers, Charlie; Beckmann, Crystal; Seuront, Laurent] Flinders Univ S Australia, Sch Biol Sci, Bedford Pk, SA 5042, Australia; [Semmens, Jayson M.] Inst Marine &amp; Antarctic Studies, Fisheries Aquaculture &amp; Coasts Ctr, Hobart, Tas 7001, Australia; [Bruce, Barry D.] Commonwealth Sci Inst Res Org, Wealth Oceans Flagship, Hobart, Tas 7001, Australia</t>
  </si>
  <si>
    <t>Flinders University South Australia; University of Tasmania; Commonwealth Scientific &amp; Industrial Research Organisation (CSIRO)</t>
  </si>
  <si>
    <t>Huveneers, C (corresponding author), SARDI Aquat Sci, Threatened Endangered &amp; Protected Species Sub Pro, West Beach, SA 5022, Australia.</t>
  </si>
  <si>
    <t>charlie.huveneers@sa.gov.au</t>
  </si>
  <si>
    <t>Semmens, Jayson/0000-0003-1742-6692; Beckmann, Crystal/0000-0002-1704-9578; Huveneers, Charlie/0000-0001-8937-1358; Seuront, Laurent/0000-0002-0051-5202</t>
  </si>
  <si>
    <t>Winifred Violet Scott Charitable Trust; Neiser Foundation; Wildlife Conservation Fund; Nature Foundation of South Australia; Solar Online; Australian Research Council [DP0988554]; Australian Professorial Fellowship [DP0988554]; Australian Research Council [DP0988554] Funding Source: Australian Research Council</t>
  </si>
  <si>
    <t>Winifred Violet Scott Charitable Trust; Neiser Foundation; Wildlife Conservation Fund; Nature Foundation of South Australia; Solar Online; Australian Research Council(Australian Research Council); Australian Professorial Fellowship(Australian Research Council); Australian Research Council(Australian Research Council)</t>
  </si>
  <si>
    <t>This project was carried out under the Department of the Environment and Natural Resources permit number M25738 and M25738-2, and PIRSA Exemption number 9902364. Tagging was undertaken under Flinders University ethics approval number E287, while the VRAP system was operated under the radio licence number 1917458 provided by the Australian Communications and Media Authority. This project was funded by the Winifred Violet Scott Charitable Trust, Neiser Foundation, Wildlife Conservation Fund, Nature Foundation of South Australia, and Solar Online. This research was also partly supported under the Australian Research Council's Discovery Projects funding scheme (project number DP0988554; www.arc.gov.au). Professor Seuront is the recipient of an Australian Professorial Fellowship (project number DP0988554). The authors would like to thank A. Fox, J. Taylor, and R. Robbins from Rodney Fox Shark Expeditions, and A. Wright and crew from Calypso Star Charters for providing invaluable logistic support and advice during this study. We thank H. Pederson and W. Gillepsie from Eonfusion, Myriax, for their effort and support with the data manipulation and analysis. A. Lowther and S. Kim helped with the time-spent-in-area calculation, GAMM analyses, and statistical interpretation.</t>
  </si>
  <si>
    <t>10.1007/s00227-013-2277-6</t>
  </si>
  <si>
    <t>WOS:000326048000007</t>
  </si>
  <si>
    <t>Manatsa, D; Morioka, Y; Behera, SK; Yamagata, T; Matarira, CH</t>
  </si>
  <si>
    <t>Manatsa, Desmond; Morioka, Yushi; Behera, Swadhin K.; Yamagata, Toshi; Matarira, Caxton H.</t>
  </si>
  <si>
    <t>Link between Antarctic ozone depletion and summer warming over southern Africa</t>
  </si>
  <si>
    <t>PART I; PRECIPITATION; VARIABILITY; IMPACT</t>
  </si>
  <si>
    <t>The notable rise in surface air temperatures over southern Africa over the past two decades is thought to largely result from the human-induced increase in atmospheric greenhouse gas concentrations(1-3). In addition, the loss of stratospheric ozone over Antarctica is thought to have had a significant impact on tropospheric circulation, and hence climate, in the Southern Hemisphere summer(4-9), by favouring the positive phase of the Southern Annular Mode(4,10,11). Here, we use reanalysis data to compare the climate of southern Africa before and after the development of the large ozone hole, and investigate possible links between the development of the Antarctic ozone hole and summer warming in the region, defining 1970-1993 as the pre-ozone hole era, and 1993-2011 as the large ozone hole era. We find that the ozone-induced shift in the polarity of the Southern Annular Mode after 1993 coincided with an intensification of the Angola Low, a continental low pressure system that normally develops in austral summer and is mostly located over Angola. We show that the deepening of this low pressure system, in turn, was associated with an increase in the flux of warm surface air from the lower latitudes to southern Africa. We suggest that the recent summer warming over southern Africa is linked to these shifts in atmospheric circulation that are probably induced by Antarctic ozone loss.</t>
  </si>
  <si>
    <t>[Manatsa, Desmond; Matarira, Caxton H.] Bindura Univ Sci, Dept Geog, Bindura, Zimbabwe; [Manatsa, Desmond; Behera, Swadhin K.] Univ Tokyo, Dept Ocean Technol Policy &amp; Environm, Tokyo 2778561, Japan; [Manatsa, Desmond] Abdus Salaam Int Ctr Theoret Phys, I-34151 Trieste, Italy; [Morioka, Yushi; Behera, Swadhin K.] JAMSTEC, Res Inst Global Change, Showa 317325, Japan; [Yamagata, Toshi] JAMSTEC, Applicat Lab, Showa 317325, Japan</t>
  </si>
  <si>
    <t>University of Tokyo; Abdus Salam International Centre for Theoretical Physics (ICTP); Japan Agency for Marine-Earth Science &amp; Technology (JAMSTEC); Japan Agency for Marine-Earth Science &amp; Technology (JAMSTEC)</t>
  </si>
  <si>
    <t>Manatsa, D (corresponding author), Bindura Univ Sci, Dept Geog, B Pag 1020, Bindura, Zimbabwe.</t>
  </si>
  <si>
    <t>dmanatsa@gmail.com</t>
  </si>
  <si>
    <t>Yamagata, Toshio/A-1807-2009; Behera, Swadhin K./B-7839-2009; Morioka, Yushi/G-3431-2014</t>
  </si>
  <si>
    <t>Behera, Swadhin K./0000-0001-8692-2388; Morioka, Yushi/0000-0002-2709-4911</t>
  </si>
  <si>
    <t>Japan Society for the Promotion of Science (JSPS)</t>
  </si>
  <si>
    <t>Japan Society for the Promotion of Science (JSPS)(Ministry of Education, Culture, Sports, Science and Technology, Japan (MEXT)Japan Society for the Promotion of Science)</t>
  </si>
  <si>
    <t>The first author is supported by the Japan Society for the Promotion of Science (JSPS) RONPANKU program to perform the present research at both JAMSTEC and the University of Tokyo. Bindura University of Science is thanked for providing additional research support facilities.</t>
  </si>
  <si>
    <t>10.1038/NGEO1968</t>
  </si>
  <si>
    <t>245ZW</t>
  </si>
  <si>
    <t>WOS:000326505800015</t>
  </si>
  <si>
    <t>Obara, S; Morizane, Y; Morel, J</t>
  </si>
  <si>
    <t>Obara, Shin'ya; morizane, Yuta; Morel, Jorge</t>
  </si>
  <si>
    <t>A study of small-scale energy networks of the Japanese Syowa Base in Antarctica by distributed engine generators</t>
  </si>
  <si>
    <t>APPLIED ENERGY</t>
  </si>
  <si>
    <t>Antarctic pole; Local energy; Microgrid; Green energy; Photovoltaics; Wind power generation</t>
  </si>
  <si>
    <t>Fuel traffic to the Syowa Base of the South Pole is increasing from Japan, with growing research and observation occurring every year. Limits to fuel traffic and the spread of green energy utilization are topics of interest for Syowa Base; this research considers the construction of a Syowa Base small-scale energy network (Syowa Base Micro-Grid: SBMG) for the purposes of reducing fuel consumption and increasing green energy utilization. The number of engine generators, the operation plan for the battery's charge and discharge, and the introduction of an exhaust heat pump provided a means by which the load factor of the engine generator could be maintained high value from the fluctuations of green energy. This might be accomplished by modifying the main power supply of Syowa Base into a distributed power supply system rather than a conventional central power supply system. The relationship between the amount of green energy (photovoltaics and wind power generation) connected to the proposed power supply distribution and the amount of fuel consumed by the engine generators and backup boiler was clarified. Moreover, the outside temperatures, insulation levels, and wind velocity at the Syowa Base change seasonally, resulting in large changes in the SBMG operation method. Therefore, differences in the operation methods between the proposed power supply distribution system and the conventional central power supply were assessed during the summer (January), winter (July), and mid-season (October), and the resulting differences in fuel consumption were clarified. (C) 2013 Elsevier Ltd. All rights reserved.</t>
  </si>
  <si>
    <t>[Obara, Shin'ya; morizane, Yuta; Morel, Jorge] Kitami Inst Technol, Dept Elect &amp; Elect Engn, Power Engn Lab, Kitami, Hokkaido 0908507, Japan</t>
  </si>
  <si>
    <t>Kitami Institute of Technology</t>
  </si>
  <si>
    <t>Obara, S (corresponding author), Kitami Inst Technol, Dept Elect &amp; Elect Engn, Power Engn Lab, Koen Cho 165, Kitami, Hokkaido 0908507, Japan.</t>
  </si>
  <si>
    <t>obara@mail.kitami-it.ac.jp</t>
  </si>
  <si>
    <t>/P-2554-2019</t>
  </si>
  <si>
    <t>/0000-0003-0481-8478</t>
  </si>
  <si>
    <t>National Institute of Polar Research in Japan</t>
  </si>
  <si>
    <t>The authors wish to thank the National Institute of Polar Research in Japan for their partial support of this research.</t>
  </si>
  <si>
    <t>0306-2619</t>
  </si>
  <si>
    <t>1872-9118</t>
  </si>
  <si>
    <t>APPL ENERG</t>
  </si>
  <si>
    <t>Appl. Energy</t>
  </si>
  <si>
    <t>10.1016/j.apenergy.2013.04.039</t>
  </si>
  <si>
    <t>Energy &amp; Fuels; Engineering, Chemical</t>
  </si>
  <si>
    <t>Energy &amp; Fuels; Engineering</t>
  </si>
  <si>
    <t>236YH</t>
  </si>
  <si>
    <t>WOS:000325834900011</t>
  </si>
  <si>
    <t>Schick, RS; New, LF; Thomas, L; Costa, DP; Hindell, MA; McMahon, CR; Robinson, PW; Simmons, SE; Thums, M; Harwood, J; Clark, JS</t>
  </si>
  <si>
    <t>Schick, Robert S.; New, Leslie F.; Thomas, Len; Costa, Daniel P.; Hindell, Mark A.; McMahon, Clive R.; Robinson, Patrick W.; Simmons, Samantha E.; Thums, Michele; Harwood, John; Clark, James S.</t>
  </si>
  <si>
    <t>Estimating resource acquisition and at-sea body condition of a marine predator</t>
  </si>
  <si>
    <t>JOURNAL OF ANIMAL ECOLOGY</t>
  </si>
  <si>
    <t>resource acquisition; Bayesian; elephant seals; Markov chain Monte Carlo; satellite telemetry; state-space model; body condition; Ano Nuevo; Macquarie Island</t>
  </si>
  <si>
    <t>SOUTHERN ELEPHANT SEALS; MIROUNGA-LEONINA; FORAGING BEHAVIOR; BLUEFIN TUNA; REPRODUCTIVE EFFORT; ANIMAL MOVEMENT; SWIM SPEED; SUCCESS; BUOYANCY; PATTERNS</t>
  </si>
  <si>
    <t>1. Body condition plays a fundamental role in many ecological and evolutionary processes at a variety of scales and across a broad range of animal taxa. An understanding of how body condition changes at fine spatial and temporal scales as a result of interaction with the environment provides necessary information about how animals acquire resources. However, comparatively little is known about intra- and interindividual variation of condition in marine systems. Where condition has been studied, changes typically are recorded at relatively coarse time-scales. By quantifying how fine-scale interaction with the environment influences condition, we can broaden our understanding of how animals acquire resources and allocate them to body stores. Here we used a hierarchical Bayesian state-space model to estimate the body condition as measured by the size of an animal's lipid store in two closely related species of marine predator that occupy different hemispheres: northern elephant seals (Mirounga angustirostris) and southern elephant seals (Mirounga leonina). The observation model linked drift dives to lipid stores. The process model quantified daily changes in lipid stores as a function of the physiological condition of the seal (lipid:lean tissue ratio, departure lipid and departure mass), its foraging location, two measures of behaviour and environmental covariates. We found that physiological condition significantly impacted lipid gain at two time-scales - daily and at departure from the colony - that foraging location was significantly associated with lipid gain in both species of elephant seals and that long-term behavioural phase was associated with positive lipid gain in northern and southern elephant seals. In northern elephant seals, the occurrence of short-term behavioural states assumed to represent foraging were correlated with lipid gain. Lipid gain was a function of covariates in both species. Southern elephant seals performed fewer drift dives than northern elephant seals and gained lipids at a lower rate. We have demonstrated a new way to obtain time series of body condition estimates for a marine predator at fine spatial and temporal scales. This modelling approach accounts for uncertainty at many levels and has the potential to integrate physiological and movement ecology of top predators. The observation model we used was specific to elephant seals, but the process model can readily be applied to other species, providing an opportunity to understand how animals respond to their environment at a fine spatial scale.</t>
  </si>
  <si>
    <t>[Schick, Robert S.; Clark, James S.] Duke Univ, Nicholas Sch Environm, Durham, NC 27708 USA; [Schick, Robert S.; New, Leslie F.; Thomas, Len; Harwood, John] Univ St Andrews, Ctr Res Ecol &amp; Environm Modelling, The Observ, St Andrews KY16 9LZ, Fife, Scotland; [Costa, Daniel P.; Robinson, Patrick W.] Univ Calif Santa Cruz, Dept Ecol &amp; Evolutionary Biol, Santa Cruz, CA 95064 USA; [Hindell, Mark A.] Univ Tasmania, Inst Marine &amp; Antarctic Studies, Marine Predator Unit, Hobart, Tas 7001, Australia; [McMahon, Clive R.] Charles Darwin Univ, Res Inst Environm &amp; Livelihoods, Darwin, NT 0909, Australia; [Simmons, Samantha E.] Marine Mammal Commiss, Bethesda, MD 20814 USA; [Thums, Michele] Univ Western Australia, Sch Environm Syst Engn, Crawley, WA 6009, Australia; [Thums, Michele] Univ Western Australia, UWA Oceans Inst, Crawley, WA 6009, Australia; [Thums, Michele] Univ Western Australia, Australian Inst Marine Sci, UWA Oceans Inst, Crawley, WA 6009, Australia</t>
  </si>
  <si>
    <t>Duke University; University of St Andrews; University of California System; University of California Santa Cruz; University of Tasmania; Charles Darwin University; University of Western Australia; University of Western Australia; Australian Institute of Marine Science; University of Western Australia</t>
  </si>
  <si>
    <t>Schick, RS (corresponding author), Duke Univ, Nicholas Sch Environm, Durham, NC 27708 USA.</t>
  </si>
  <si>
    <t>rss5@st-andrews.ac.uk</t>
  </si>
  <si>
    <t>Clark, James/JPK-8317-2023; Thomas, Len/JQI-5425-2023; New, Leslie/C-8796-2018; McMahon, Clive R/D-5713-2013; Hindell, Mark A/K-1131-2013; Costa, Daniel Paul/E-2616-2013; Thums, Michele/A-3850-2013</t>
  </si>
  <si>
    <t>McMahon, Clive R/0000-0001-5241-8917; Simmons, Samantha/0000-0003-0326-6990; Hindell, Mark/0000-0002-7823-7185; Thomas, Len/0000-0002-7436-067X; Costa, Daniel Paul/0000-0002-0233-5782; Thums, Michele/0000-0002-8669-8440</t>
  </si>
  <si>
    <t>Office of Naval Research [N00014-10-1-0516, N00014-12-1-0286, N00014-09-1-0896, N00014-12-1-0274]; University of St. Andrews</t>
  </si>
  <si>
    <t>Office of Naval Research(Office of Naval Research); University of St. Andrews</t>
  </si>
  <si>
    <t>This work was supported by Office of Naval Research grants N00014-10-1-0516, and N00014-12-1-0286 to Duke University and University of St. Andrews. This work benefited from discussions with participants in a working group supported by Office of Naval Research grants N00014-09-1-0896 to the University of California, Santa Barbara, and N00014-12-1-0274 to the University of California, Davis. We thank Martin Biuw for comments and suggestions on the analysis and for providing computer code to determine drift rates from lipid measurements. Lastly, we thank two anonymous reviewers whose comments considerably strengthened this manuscript.</t>
  </si>
  <si>
    <t>0021-8790</t>
  </si>
  <si>
    <t>1365-2656</t>
  </si>
  <si>
    <t>J ANIM ECOL</t>
  </si>
  <si>
    <t>J. Anim. Ecol.</t>
  </si>
  <si>
    <t>10.1111/1365-2656.12102</t>
  </si>
  <si>
    <t>Ecology; Zoology</t>
  </si>
  <si>
    <t>Environmental Sciences &amp; Ecology; Zoology</t>
  </si>
  <si>
    <t>239PC</t>
  </si>
  <si>
    <t>WOS:000326036800019</t>
  </si>
  <si>
    <t>Graham, JA; Stevens, DP; Heywood, KJ</t>
  </si>
  <si>
    <t>Graham, Jennifer A.; Stevens, David P.; Heywood, Karen J.</t>
  </si>
  <si>
    <t>Nonlinear Climate Responses to Changes in Antarctic Intermediate Water</t>
  </si>
  <si>
    <t>Water masses; Climate prediction; Climate models; Climate variability</t>
  </si>
  <si>
    <t>CENTER COUPLED MODEL; SOUTHERN-OCEAN; HEAT-TRANSPORT; SEA-ICE; VARIABILITY; CIRCULATION; ATLANTIC; PACIFIC; THERMOCLINE; SUBDUCTION</t>
  </si>
  <si>
    <t>The global impact of changes in Antarctic Intermediate Water (AAIW) properties is demonstrated using idealized perturbation experiments in a coupled climate model. Properties of AAIW were altered between 10 degrees and 20 degrees S in the Atlantic, Pacific, and Indian Oceans separately. Potential temperature was changed by +/- 1 degrees C, along with density-compensating changes in salinity. For each of the experiments, sea surface temperature responds to changes in AAIW when anomalies surface at higher latitudes (&gt;30 degrees). Anomalous sea-to-air heat fluxes leave density anomalies in the ocean, resulting in nonlinear responses to opposite-sign perturbations. In the Southern Ocean, these affect the meridional density gradient, leading to changes in Antarctic Circumpolar Current transport. The response to cooler, fresher AAIW is both greater in magnitude and significant over a larger area than that for warmer, saltier AAIW. The North Atlantic is particularly sensitive to cool, fresh perturbations, with density anomalies causing reductions in the meridional overturning circulation of up to 1 Sv (1 Sv 10(6) m(3) s(-1)). Resultant changes in meridional ocean heat transport, along with surfacing anomalies, cause basinwide changes in the surface ocean and overlying atmosphere on multidecadal time scales.</t>
  </si>
  <si>
    <t>[Graham, Jennifer A.; Heywood, Karen J.] Univ E Anglia, Sch Environm Sci, Norwich NR4 7TJ, Norfolk, England; [Stevens, David P.] Univ E Anglia, Sch Math, Norwich NR4 7TJ, Norfolk, England</t>
  </si>
  <si>
    <t>University of East Anglia; University of East Anglia</t>
  </si>
  <si>
    <t>Graham, JA (corresponding author), Old Dominion Univ, Ctr Coastal Phys Oceanog, 4111 Monarch Way, Norfolk, VA 23508 USA.</t>
  </si>
  <si>
    <t>jgraham@ccpo.odu.edu</t>
  </si>
  <si>
    <t>Stevens, David/F-2509-2010; Heywood, Karen/L-1757-2016</t>
  </si>
  <si>
    <t>Stevens, David/0000-0002-7283-4405; Heywood, Karen/0000-0001-9859-0026; Graham, Jennifer/0000-0002-1950-5266</t>
  </si>
  <si>
    <t>Ph.D. studentship for the U.K. Natural Environment Research Council; British Antarctic Survey; CASE studentship; Research Computing Service at the University of East Anglia</t>
  </si>
  <si>
    <t>Funding has been provided by a Ph.D. studentship for the U.K. Natural Environment Research Council and a CASE studentship with the British Antarctic Survey. The research presented in this paper was carried out on the High Performance Computing Cluster supported by the Research Computing Service at the University of East Anglia. We thank Ian Stevens for his technical support in the initial stages of this project.</t>
  </si>
  <si>
    <t>45 BEACON ST, BOSTON, MA 02108-3693, UNITED STATES</t>
  </si>
  <si>
    <t>10.1175/JCLI-D-12-00767.1</t>
  </si>
  <si>
    <t>242DB</t>
  </si>
  <si>
    <t>WOS:000326216500027</t>
  </si>
  <si>
    <t>Rosenthal, Y; Linsley, BK; Oppo, DW</t>
  </si>
  <si>
    <t>Rosenthal, Yair; Linsley, Braddock K.; Oppo, Delia W.</t>
  </si>
  <si>
    <t>Pacific Ocean Heat Content During the Past 10,000 Years</t>
  </si>
  <si>
    <t>WESTERN EQUATORIAL PACIFIC; TEMPERATURE; WATER; VARIABILITY; THROUGHFLOW</t>
  </si>
  <si>
    <t>Observed increases in ocean heat content (OHC) and temperature are robust indicators of global warming during the past several decades. We used high-resolution proxy records from sediment cores to extend these observations in the Pacific 10,000 years beyond the instrumental record. We show that water masses linked to North Pacific and Antarctic intermediate waters were warmer by 2.1 +/- 0.4 degrees C and 1.5 +/- 0.4 degrees C, respectively, during the middle Holocene Thermal Maximum than over the past century. Both water masses were similar to 0.9 degrees C warmer during the Medieval Warm period than during the Little Ice Age and similar to 0.65 degrees warmer than in recent decades. Although documented changes in global surface temperatures during the Holocene and Common era are relatively small, the concomitant changes in OHC are large.</t>
  </si>
  <si>
    <t>[Rosenthal, Yair] Rutgers State Univ, Inst Marine &amp; Coastal Sci, New Brunswick, NJ 08901 USA; [Rosenthal, Yair] Rutgers State Univ, Dept Earth &amp; Planetary Sci, New Brunswick, NJ 08901 USA; [Linsley, Braddock K.] Columbia Univ, Lamont Doherty Earth Observ, Palisades, NY 10964 USA; [Oppo, Delia W.] Woods Hole Oceanog Inst, Dept Geol &amp; Geophys, Woods Hole, MA 02543 USA</t>
  </si>
  <si>
    <t>Rutgers University System; Rutgers University New Brunswick; Rutgers University System; Rutgers University New Brunswick; Columbia University; Woods Hole Oceanographic Institution</t>
  </si>
  <si>
    <t>Rosenthal, Y (corresponding author), Rutgers State Univ, Inst Marine &amp; Coastal Sci, 71 Dudley Rd, New Brunswick, NJ 08901 USA.</t>
  </si>
  <si>
    <t>rosentha@imcs.rutgers.edu</t>
  </si>
  <si>
    <t>Linsley, Braddock/0000-0003-2085-0662</t>
  </si>
  <si>
    <t>Center of Research and Development for Oceanography (LIPI) of Indonesia; NSF</t>
  </si>
  <si>
    <t>Center of Research and Development for Oceanography (LIPI) of Indonesia; NSF(National Science Foundation (NSF))</t>
  </si>
  <si>
    <t>We are indebted to Y. S. Djajadihardja, F. Syamsudin, the captain and crew of our 2003 R/V Baruna Jaya VIII cruise, the Indonesian Agency for Assessment and Application of Technology (BPPT), and the Center of Research and Development for Oceanography (LIPI) of Indonesia for their support of this project. This work was also supported by the NSF. We thank M. Chong, K. Esswein, A. Morely, S. Woodard, and S. Howe for technical assistance; A. L. Gordon for helpful discussions; and the National Ocean Sciences Accelerator Mass Spectrometry and Radio analytical facilities at Woods Hole Oceanographic Institution. Helpful comments from reviewers are highly appreciated.</t>
  </si>
  <si>
    <t>10.1126/science.1240837</t>
  </si>
  <si>
    <t>243RJ</t>
  </si>
  <si>
    <t>WOS:000326334300048</t>
  </si>
  <si>
    <t>Dalluge, JJ; Connell, LB</t>
  </si>
  <si>
    <t>Dalluge, Joseph J.; Connell, Laurie B.</t>
  </si>
  <si>
    <t>On the potential of mass spectrometry-based metabolite profiling approaches to the study of biochemical adaptation in psychrophilic yeast</t>
  </si>
  <si>
    <t>LC/MS; Metabolomics; Arctic; Antarctic; Fungi; Biodiversity; Survival</t>
  </si>
  <si>
    <t>MCMURDO DRY VALLEYS; CLIMATE-CHANGE; VICTORIA LAND; FATTY-ACIDS; COLD ORIGIN; DIVERSITY; LIFE; SOIL; ANTARCTICA; CYANIDE</t>
  </si>
  <si>
    <t>To move beyond targeted approaches to the biochemical characterization of psychrophilic yeast and provide a more holistic understanding of the chemistry of physiological adaptation of psychrophiles at the molecular level, ultraperformance liquid chromatography combined with simultaneous acquisition of low- and high-collision energy mass spectra (UPLC/MSe) was employed for a preliminary comparative analysis of cell extracts of psychrophilic Antarctic yeasts Cryptococcus vishniacii CBS 10616 and Dioszegia cryoxerica CBS 10919 versus the mesophile Saccharomyces cerevisiae 'cry havoc'. A detailed workflow for providing high-confidence preliminary identifications of psychrophilic yeast-specific molecular features is presented. Preliminary identifications of psychrophile-specific features in C. vishniacii and D. cryoxerica determined with the described method include the glycerophospholipids lysophosphatidylcholine 18:2, lysophosphatidylcholine 18:3, lysophosphatidylethanolamine 18:3, and lysophosphatidylethanolamine 18:2. In addition, levels of guanosine diphosphate appear significantly elevated in cell extracts of the psychrophilic yeasts as compared to Saccharomyces cerevisiae. Finally, five psychrophilic yeast-specific peptides have been discovered. All of these are demonstrated to be glycine- and/or proline-rich, a known structural characteristic of many naturally occurring bioactive peptides. The potential of this untargeted metabolite profiling approach as a tool for knowledge discovery and hypothesis generation in the study of biodiversity and microbial adaptation is highlighted.</t>
  </si>
  <si>
    <t>[Dalluge, Joseph J.] Univ Minnesota, Dept Chem, Minneapolis, MN 55455 USA; [Connell, Laurie B.] Univ Maine, Sch Marine Sci, Orono, ME 04469 USA</t>
  </si>
  <si>
    <t>University of Minnesota System; University of Minnesota Twin Cities; University of Maine System; University of Maine Orono</t>
  </si>
  <si>
    <t>Dalluge, JJ (corresponding author), Univ Minnesota, Dept Chem, 207 Pleasant St SE, Minneapolis, MN 55455 USA.</t>
  </si>
  <si>
    <t>jdalluge@umn.edu</t>
  </si>
  <si>
    <t>Connell, Laurie/0009-0001-3892-8643</t>
  </si>
  <si>
    <t>NSF ANT [0739696]; Office of Polar Programs (OPP); Directorate For Geosciences [0739696] Funding Source: National Science Foundation</t>
  </si>
  <si>
    <t>NSF ANT(National Science Foundation (NSF)); Office of Polar Programs (OPP); Directorate For Geosciences(National Science Foundation (NSF)NSF - Directorate for Geosciences (GEO))</t>
  </si>
  <si>
    <t>This work was supported in part by NSF ANT 0739696. The authors wish to acknowledge Katharine Earle and Megan Altenritter for the preparation of quenched cultures of the psychrophilic and mesophilic yeasts studied here.</t>
  </si>
  <si>
    <t>10.1007/s00792-013-0577-x</t>
  </si>
  <si>
    <t>239SR</t>
  </si>
  <si>
    <t>WOS:000326046200007</t>
  </si>
  <si>
    <t>Jehlicka, J; Osterrothová, K; Oren, A; Edwards, HGM</t>
  </si>
  <si>
    <t>Jehlicka, Jan; Osterrothova, Katerina; Oren, Aharon; Edwards, Howell G. M.</t>
  </si>
  <si>
    <t>Raman spectrometric discrimination of flexirubin pigments from two genera of Bacteroidetes</t>
  </si>
  <si>
    <t>FEMS MICROBIOLOGY LETTERS</t>
  </si>
  <si>
    <t>chemotaxonomy; dialkylated resorcinol; identification; p-hydroxyphenyl group</t>
  </si>
  <si>
    <t>ANTARCTIC HABITATS; HALOPHILIC ARCHAEA; CAROTENOIDS; SPECTROSCOPY; IDENTIFICATION</t>
  </si>
  <si>
    <t>Flexirubins are specific polyene pigments produced by several genera of Bacteroidetes. Colonies and cell extracts of Flavobacterium johnsoniae and Flexibacter elegans have been investigated by Raman spectroscopy to show that this fast and non-destructive technique can be used to differentiate these pigments from carotenoids and to compare the flexirubin content of the two microorganisms. The presence or absence of certain distinguishing features in the CH combination band region at 2500-2750cm(-1) can assist in the discrimination between the two flexirubins investigated. Raman spectroscopy is thus a suitable tool not only to detect flexirubin pigments in bacterial cells, but also to further characterize the pigments present in members of the Bacteroidetes genera that are rich in flexirubins.</t>
  </si>
  <si>
    <t>[Jehlicka, Jan; Osterrothova, Katerina] Charles Univ Prague, Inst Geochem Mineral &amp; Mineral Resources, Prague 12843, Czech Republic; [Oren, Aharon] Hebrew Univ Jerusalem, Inst Life Sci, Dept Plant &amp; Environm Sci, IL-91904 Jerusalem, Israel; [Edwards, Howell G. M.] Univ Bradford, Sch Life Sci, Ctr Astrobiol &amp; Extremophiles Res, Bradford BD7 1DP, W Yorkshire, England</t>
  </si>
  <si>
    <t>Charles University Prague; Hebrew University of Jerusalem; University of Bradford</t>
  </si>
  <si>
    <t>Jehlicka, J (corresponding author), Charles Univ Prague, Inst Geochem Mineral &amp; Mineral Resources, Albertov 6, Prague 12843, Czech Republic.</t>
  </si>
  <si>
    <t>jehlicka@natur.cuni.cz</t>
  </si>
  <si>
    <t>Oren, Aharon/JOZ-0901-2023; Jehlicka, Jan/H-9357-2016; Osterrothova, Katerina/A-2882-2017</t>
  </si>
  <si>
    <t>Oren, Aharon/0000-0002-5828-0995; Jehlicka, Jan/0000-0002-4294-876X; Osterrothova, Katerina/0000-0002-4753-8786</t>
  </si>
  <si>
    <t>0378-1097</t>
  </si>
  <si>
    <t>1574-6968</t>
  </si>
  <si>
    <t>FEMS MICROBIOL LETT</t>
  </si>
  <si>
    <t>FEMS Microbiol. Lett.</t>
  </si>
  <si>
    <t>10.1111/1574-6968.12243</t>
  </si>
  <si>
    <t>239WO</t>
  </si>
  <si>
    <t>WOS:000326056800002</t>
  </si>
  <si>
    <t>Kato, K; Arikawa, T; Imura, S; Kanda, H</t>
  </si>
  <si>
    <t>Kato, Kengo; Arikawa, Tomotsugu; Imura, Satoshi; Kanda, Hiroshi</t>
  </si>
  <si>
    <t>Molecular identification and phylogeny of an aquatic moss species in Antarctic lakes</t>
  </si>
  <si>
    <t>Aquatic moss; Leptobryum wilsonii; Long-distance dispersal; Molecular phylogeny; Moss pillar; Moss taxonomy</t>
  </si>
  <si>
    <t>BRYOPHYTES; PARSIMONY; PILLARS; RPS4</t>
  </si>
  <si>
    <t>Due to the morphological variability, the identification of moss species can be difficult when the plant grows in submerged environments. The taxonomic status of an aquatic moss found in lakes of the Sya Coast region, East Antarctica, had been controversial, and then, it was investigated by molecular phylogenetic and haplotype network analysis of two chloroplast regions (rps4 and trnL-F) and/or the nuclear ribosomal ITS region. Based on the results of the analyses, the moss was assigned to the genus Leptobryum and determined to be conspecific with Leptobryum wilsonii (Mitt.) Broth. described from South America. Almost no genetic variation was observed between all samples from Antarctic lakes and some samples of L. wilsonii from Chile. Molecular and geohistorical evidence suggests that immigration of L. wilsonii into Antarctic lakes took place during the Holocene via long-distance dispersal from South America. This study gives a clear example of the widespread assumption that most of the Antarctic moss species are post-glacial immigrants.</t>
  </si>
  <si>
    <t>[Kato, Kengo; Imura, Satoshi; Kanda, Hiroshi] Grad Univ Adv Studies SOKENDAI, Dept Polar Sci, Tachikawa, Tokyo 1908518, Japan; [Arikawa, Tomotsugu] Tottori Prefectural Museum, Tottori 6800011, Japan; [Imura, Satoshi; Kanda, Hiroshi] Natl Inst Polar Res, Tachikawa, Tokyo 1908518, Japan</t>
  </si>
  <si>
    <t>Graduate University for Advanced Studies - Japan; Research Organization of Information &amp; Systems (ROIS); National Institute of Polar Research (NIPR) - Japan</t>
  </si>
  <si>
    <t>Kato, K (corresponding author), Grad Univ Adv Studies SOKENDAI, Dept Polar Sci, 10-3 Midori Cho, Tachikawa, Tokyo 1908518, Japan.</t>
  </si>
  <si>
    <t>kkato@nipr.ac.jp</t>
  </si>
  <si>
    <t>JSPS [23247012]; Grants-in-Aid for Scientific Research [23247012] Funding Source: KAKEN</t>
  </si>
  <si>
    <t>JSPS(Ministry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</si>
  <si>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We gratefully acknowledge Dr. Jonathan Shaw and Molly McMullen (DUKE), Dr. Tomio Yamaguchi (HIRO), and Dr. Helen Peat (AAS) for loans of herbarium specimens and Dr. Satoshi Kobayashi for providing one of the Antarctic samples. We thank Kenichi Watanabe (NIPR) for his technical assistance. This research was supported by a Grant-in-Aid for Scientific Research (No. 23247012) from JSPS. We also thank two anonymous reviewers for their constructive remarks.</t>
  </si>
  <si>
    <t>10.1007/s00300-013-1373-x</t>
  </si>
  <si>
    <t>239TS</t>
  </si>
  <si>
    <t>WOS:000326049100002</t>
  </si>
  <si>
    <t>Makhado, AB; Bester, MN; Somhlaba, S; Crawford, RJM</t>
  </si>
  <si>
    <t>Makhado, A. B.; Bester, M. N.; Somhlaba, S.; Crawford, R. J. M.</t>
  </si>
  <si>
    <t>The diet of the subantarctic fur seal Arctocephalus tropicalis at Marion Island</t>
  </si>
  <si>
    <t>Arctocephalus tropicalis; Arctocephalus gazella; Diet; Prey availability; Scat analyses</t>
  </si>
  <si>
    <t>PRINCE-EDWARD-ISLANDS; AMSTERDAM ISLAND; SOUTHERN-OCEAN; PUP GROWTH; FISH PREY; SEASONAL-VARIATION; POPULATION-CHANGES; FOOD-CONSUMPTION; FORAGING ECOLOGY; GAZELLA</t>
  </si>
  <si>
    <t>Scats of subantarctic fur seals Arctocephalus tropicalis at Marion Island were collected from 1996 to 2,000, to examine temporal variability in the diet, factors affecting the variability and how the diet differed from that of the Antarctic fur seal A. gazella in the same period. For A. tropicalis, 19 prey species, of which 18 were fish and one a cephalopod, were identified in 213 scats. Fish were the main prey, occurring in 98.1 % of scats, whereas the cephalopod was present in only 1.4 % of scats. Amongst fish species, Myctophidae were most abundant, with Gymnoscopelus piabilis, G. fraseri and Electrona carlsbergi being the commonest prey items. Other fish families present in the diet in small numbers were Channichthyidae, Paralepididae, Nototheniidae, Microstomatidae and Notosudidae. Fish eaten ranged in size from Protomyctophum bolini and Krefftichthys anderssoni of standard length (SL) 25 mm to a single Dissostichus eleginoides of SL 249 mm. Differences in the diet existed between summer and winter. However, prey type accounted for most variability in the diet. In previous studies based on scats, a dominance of fish in the diet of A. tropicalis was also found at Possession Island (Iles Crozet), Amsterdam Island and Macquarie Island, but the dominant prey species differed between the various localities, also suggesting that prey availability is a major determinant of diet. At Marion Island, from 1996 to 2000 the diet of A. gazella comprised similar prey to that of A. tropicalis, but the proportional contribution of prey types differed in instances.</t>
  </si>
  <si>
    <t>[Makhado, A. B.; Bester, M. N.] Univ Pretoria, Mammal Res Inst, Dept Zool &amp; Entomol, ZA-0028 Hatfield, South Africa; [Makhado, A. B.; Crawford, R. J. M.] Dept Environm Affairs, Branch Oceans &amp; Coasts, ZA-8002 Cape Town, South Africa; [Somhlaba, S.] Dept Agr Forestry &amp; Fisheries, ZA-8012 Roggebay, South Africa</t>
  </si>
  <si>
    <t>University of Pretoria; Department of Environment, Forestry &amp; Fisheries</t>
  </si>
  <si>
    <t>Makhado, AB (corresponding author), Dept Environm Affairs, Branch Oceans &amp; Coasts, POB 52126, ZA-8002 Cape Town, South Africa.</t>
  </si>
  <si>
    <t>amakhado@environment.gov.za</t>
  </si>
  <si>
    <t>Bester, Marthán N/E-5387-2010</t>
  </si>
  <si>
    <t>National Research Foundation (NRF); University of Pretoria (UP); Department of Environmental Affairs</t>
  </si>
  <si>
    <t>We thank Norbert Klages for training ABM in the identification of fish otoliths, the Port Elizabeth Museum at Bayworld for allowing use of their prey reference collections and various reviewers for constructive comments on different drafts of the manuscript. We are grateful to Pierre Pistorius, Steve Kirkman, Derick Shingwenyana, Michael de Maine, Tendamudzimu Mathagu and Bianca Harck for helping to collect samples at Marion Island. We thank Ian Gaigher, formerly of University of Venda, for advice, the National Research Foundation (NRF) and the University of Pretoria (UP) for financial support, and the Department of Environmental Affairs for financial and logistical support.</t>
  </si>
  <si>
    <t>10.1007/s00300-013-1380-y</t>
  </si>
  <si>
    <t>WOS:000326049100007</t>
  </si>
  <si>
    <t>Murzina, SA; Nefedova, ZA; Falk-Petersen, S; Hop, H; Ryokolainen, TR; Ottesen, CAM; Ripatti, PO; Berge, J; Nemova, NN</t>
  </si>
  <si>
    <t>Murzina, Svetlana A.; Nefedova, Zinaida A.; Falk-Petersen, Stig; Hop, Haakon; Ryokolainen, Tatiana R.; Ottesen, Camilla A. Meyer; Ripatti, Pauli O.; Berge, Jorgen; Nemova, Nina N.</t>
  </si>
  <si>
    <t>Lipids in the daubed shanny (Teleostei: Leptoclinus maculatus) in Svalbard waters</t>
  </si>
  <si>
    <t>Biochemical adaptation; Fatty acids; Daubed shanny; Lipids; Lipid-classes</t>
  </si>
  <si>
    <t>ANTARCTIC FISH-TISSUES; FATTY-ACID-COMPOSITION; LUMPENUS-LAMPRETAEFORMIS; SNAKE BLENNY; LIFE-HISTORY; ATLANTIC COD; PHOSPHOLIPIDS; EGGS; BIOLOGY; STORAGE</t>
  </si>
  <si>
    <t>The daubed shanny, Leptoclinus maculatus, is a common fish species in Arctic and North Atlantic waters and has an important role in high-latitude ecosystems as a link between lower trophic levels and many fish, marine mammal and seabird species. Its biology and ecology have, however, remained largely unstudied. The primary aim of this study was to increase the knowledge about the daubed shanny by analysing total lipids, lipid-classes and the fatty acid composition of liver, muscle and female gonads in adults from the high Arctic archipelago of Svalbard. In female gonads, the triacylglycerols and wax esters in addition to cholesterol esters were dominant among the stored lipids. Triacylglycerols dominated in the liver, whereas structural lipids, such as phospholipids and cholesterols, were the most important lipids in muscles. Phosphatidylcholine and phosphatidylethanolamine were major phospholipids in all organs studied. The fatty acid spectrum of the investigated organs was characterized by a high amount of monounsaturated fatty acids, particularly in the liver. Polyunsaturated fatty acids, particularly 22:6(n-3) and 20:4(n-6), were prevalent in muscle tissues. The lipid and fatty acid spectra in the organs during this period of life are tightly connected with the activation of the liver metabolism and the storage of lipids in the developed female gonads. Lipid accumulation and distribution in gonads are transferred to optimal development of embryos and larvae in Arctic waters.</t>
  </si>
  <si>
    <t>[Murzina, Svetlana A.; Nefedova, Zinaida A.; Ryokolainen, Tatiana R.; Ripatti, Pauli O.; Nemova, Nina N.] Russian Acad Sci, Karelian Res Ctr, Inst Biol, Petrozavodsk 185910, Russia; [Falk-Petersen, Stig] Akvaplan Niva, Fram Ctr, N-9296 Tromso, Norway; [Falk-Petersen, Stig; Ottesen, Camilla A. Meyer; Berge, Jorgen] Univ Tromso, Fac Biosci Fisheries &amp; Econ, N-9037 Tromso, Norway; [Falk-Petersen, Stig; Hop, Haakon; Ottesen, Camilla A. Meyer] Norwegian Polar Res Inst, Fram Ctr, N-9296 Tromso, Norway; [Berge, Jorgen] Univ Ctr Svalbard, N-9171 Longyearbyen, Norway</t>
  </si>
  <si>
    <t>Russian Academy of Sciences; Karelian Research Centre of the Russian Academy of Sciences; Institute of Biology of Karelian Research Centre RAS; Akvaplan-niva; UiT The Arctic University of Tromso; Norwegian Polar Institute; University Centre Svalbard (UNIS)</t>
  </si>
  <si>
    <t>Murzina, SA (corresponding author), Russian Acad Sci, Karelian Res Ctr, Inst Biol, Pushkinskaya St 11, Petrozavodsk 185910, Russia.</t>
  </si>
  <si>
    <t>imagination@onego.ru</t>
  </si>
  <si>
    <t>Nemova, Nina/AAI-6595-2021; Berge, Jorgen/E-7544-2015; Murzina, Svetlana/A-7624-2014; Nefedova, Zinaida A./R-8101-2018</t>
  </si>
  <si>
    <t>Nemova, Nina/0000-0002-5618-238X; Berge, Jorgen/0000-0003-0900-5679; Murzina, Svetlana/0000-0002-9705-2741; Nefedova, Zinaida A./0000-0001-8018-2390</t>
  </si>
  <si>
    <t>Russian Federation [NSh-1642.2012.4, MK-666.2011.4, RFBR 11-04-00167-a]; Presidium of RAS Program of Fundamental Research; FCP; Statoil through the Statoil-ARCTOS Arctic Research Programme (SAARP)</t>
  </si>
  <si>
    <t>Russian Federation(Russian Federation); Presidium of RAS Program of Fundamental Research; FCP; Statoil through the Statoil-ARCTOS Arctic Research Programme (SAARP)</t>
  </si>
  <si>
    <t>This research was supported by the President of the Russian Federation Grants (NSh-1642.2012.4 and MK-666.2011.4; RFBR 11-04-00167-a), the Presidium of RAS Program of Fundamental Research (The living nature: contemporary conditions and problems of development project Inventory of aquatic organisms communities in Arctic and sub-Arctic ecosystems in changing biotic and abiotic factors) and the FCP (Mechanisms of adaptation and sustainability of organisms and populations of plants and animals in the North (physiological, biochemical and molecular-genetic aspects)''). We are also grateful to the captain and the crew of R/V Jan Mayen, the TUNU-MAFIG Programme (University of Tromso) for the possibility to participate thus on the TUNU III cruise 2007. The research was carried out as part of the Ice Edge Programme funded by Statoil through the Statoil-ARCTOS Arctic Research Programme (SAARP).</t>
  </si>
  <si>
    <t>10.1007/s00300-013-1381-x</t>
  </si>
  <si>
    <t>WOS:000326049100008</t>
  </si>
  <si>
    <t>Joiris, CR; Humphries, GRW; De Broyer, A</t>
  </si>
  <si>
    <t>Joiris, Claude R.; Humphries, Grant R. W.; De Broyer, Alain</t>
  </si>
  <si>
    <t>Seabirds encountered along return transects between South Africa and Antarctica in summer in relation to hydrological features</t>
  </si>
  <si>
    <t>Seabirds at-sea; Antarctic; Southern seas; Water masses; Fronts; Pack ice; Ice edge</t>
  </si>
  <si>
    <t>MARINE MAMMALS; WEDDELL-SEA; DISTRIBUTIONS; INDICATORS; ECOSYSTEMS; FRONTS; OCEAN</t>
  </si>
  <si>
    <t>The first aim of our long-term study on the at-sea distribution of the upper trophic levels-seabirds and marine mammals-in polar marine ecosystems is to identify the main factors affecting their distribution: water masses and pack ice, fronts and ice edge as defined on the basis of water temperature, salinity and ice overage. In this study, seabird at-sea distribution was determined in the south-eastern Atlantic Ocean in summer along four return transects between Cape Town, South Africa, and Queen Maud Land, Antarctica: two on board icebreaking MS Ivan Papanin and two on board icebreaking RV Polarstern between December 2007 and January 2012. During a total of 1,930 half-an-hour transect counts devoted to seabird recording, 69,000 individuals were encountered, belonging to 57 species (mean: 36 individuals per count, all species and expeditions pooled). In comparison, the adjacent Weddell Sea shows a lower seabird biodiversity (30 species and 150 individuals per count) than in the area covered by this study. European Arctic seas reflect an intermediate biodiversity, with 30 species and 60 individuals per count; the major difference is observed in closed pack ice, almost empty in the Arctic but showing a very high biomass in the Antarctic. On the other hand, following the same route in different years allowed to compare results: density and abundance were found to be homogenous and reproducible between years for some species, while very important patchiness was detected for others, causing large heterogeneities and differences between expeditions.</t>
  </si>
  <si>
    <t>[Joiris, Claude R.] Lab Polar Ecol PolE, B-1367 Ramillies, Belgium; [Humphries, Grant R. W.] Univ Otago, Dept Zool, Dunedin, New Zealand; [De Broyer, Alain] Inst Royal Sci Nat Belgique, Bioconservat Unit, B-1040 Brussels, Belgium</t>
  </si>
  <si>
    <t>University of Otago</t>
  </si>
  <si>
    <t>Joiris, CR (corresponding author), Lab Polar Ecol PolE, Rue Fodia 18, B-1367 Ramillies, Belgium.</t>
  </si>
  <si>
    <t>crjoiris@gmail.com</t>
  </si>
  <si>
    <t>Humphries, Grant/0000-0001-5783-9892</t>
  </si>
  <si>
    <t>King Leopold III Fund, Brussels, Belgium</t>
  </si>
  <si>
    <t>We are very grateful to AWI, Bremerhaven, Germany, for kind invitation on board RV Polarstern, and the Services for Science Policy, Brussels, and the International Polar Foundation, Belgium (A. Hubert), for invitation on board MS Ivan Papanin. Travel costs to Cape Town and back were partially supported by the King Leopold III Fund, Brussels, Belgium (Papanin). Help of participants has been greatly appreciated in the preparation of observations lists, of hydrological data and of cruise maps: C. Gruwier, J. Haelters, H. Robert, D. Verbelen; support by F. Hollander and E. Joiris for statistical calculations was very useful. E. Falck kindly revised and improved a first version of the manuscript.</t>
  </si>
  <si>
    <t>10.1007/s00300-013-1382-9</t>
  </si>
  <si>
    <t>WOS:000326049100009</t>
  </si>
  <si>
    <t>Zmudczynska-Skarbek, K; Barcikowski, M; Zwolicki, A; Iliszko, L; Stempniewicz, L</t>
  </si>
  <si>
    <t>Zmudczynska-Skarbek, Katarzyna; Barcikowski, Mateusz; Zwolicki, Adrian; Iliszko, Lech; Stempniewicz, Lech</t>
  </si>
  <si>
    <t>Variability of polar scurvygrass Cochlearia groenlandica individual traits along a seabird influenced gradient across Spitsbergen tundra</t>
  </si>
  <si>
    <t>Arctic; Guano; Nutrients; Ornithogenic tundra; Polar scurvygrass</t>
  </si>
  <si>
    <t>NUTRIENT AVAILABILITY; ORNITHOGENIC PRODUCTS; PENGUIN ROOKERIES; PLANT MORPHOLOGY; STABLE-ISOTOPES; ARCTIC TUNDRA; LEAF SIZE; NITROGEN; GROWTH; COLONY</t>
  </si>
  <si>
    <t>In the resource-limited Arctic environment, vegetation developing near seabird colonies is exceptionally luxuriant. Nevertheless, there are very few detailed quantitative studies of any specific plant species responses to ornithogenic manuring. Therefore, we studied variability of polar scurvygrass Cochlearia groe nlandica individual biomass and leaf width along a seabird influenced gradient determining environmental conditions for vegetation in south-west Spitsbergen. We found seabird colony effect being a paramount factor responsible for augmented growth of C. groenlandica. The species predominated close to the colony and reached the highest mean values of individual biomass (1.4 g) and leaf width (26.6 mm) 10 m below the colony. Its abundance and size declined towards the coast. Both C. groenlandica individual traits significantly decreased with distance from the colony, soil water and organic matter content and increased with guano deposition, soil delta N-15, conductivity, acidity and nitrate, phosphate and potassium ion content. Our study supports the hypothesis that seabirds have fundamental importance for vegetation growth in poor Arctic environment. Highly plastic species such as C. groenlandica may be a useful instrument in detecting habitat condition changes, for instance resulting from climate change.</t>
  </si>
  <si>
    <t>[Zmudczynska-Skarbek, Katarzyna; Barcikowski, Mateusz; Zwolicki, Adrian; Iliszko, Lech; Stempniewicz, Lech] Univ Gdansk, Dept Vertebrate Ecol &amp; Zool, PL-80308 Gdansk, Poland</t>
  </si>
  <si>
    <t>Fahrenheit Universities; University of Gdansk</t>
  </si>
  <si>
    <t>Zmudczynska-Skarbek, K (corresponding author), Univ Gdansk, Dept Vertebrate Ecol &amp; Zool, Wita Stwosza 59, PL-80308 Gdansk, Poland.</t>
  </si>
  <si>
    <t>biozmud@ug.edu.pl</t>
  </si>
  <si>
    <t>Stempniewicz, Lech/JAN-4833-2023; Zmudczynska-Skarbek, Katarzyna/HNP-0022-2023</t>
  </si>
  <si>
    <t>Stempniewicz, Lech/0000-0001-9405-7320; Zwolicki, Adrian/0000-0003-2710-681X; Zmudczynska-Skarbek, Katarzyna/0000-0003-2276-4565</t>
  </si>
  <si>
    <t>Polish Ministry of Science and Higher Education [1883/P01/2007/32, IPY/25/2007]; Polish-Norwegian Research Fund [PNRF-234-AI-1/07]; Norwegian Research Fund (AL-KEKONGE)</t>
  </si>
  <si>
    <t>Polish Ministry of Science and Higher Education(Ministry of Science and Higher Education, Poland); Polish-Norwegian Research Fund; Norwegian Research Fund (AL-KEKONGE)</t>
  </si>
  <si>
    <t>Special thanks to M. Eng. Krzysztof Mus (University of Gdansk) for statistical support and to Prof. Peter Convey (British Antarctic Survey, UK) for consultation and linguistic improvements. We also thank Dr. Pierre Richard (University of La Rochelle, France) for help with isotopic analyses. This study was supported by the Polish Ministry of Science and Higher Education (Grant Nos. 1883/P01/2007/32 and IPY/25/2007) and the Polish-Norwegian Research Fund (Grant No. PNRF-234-AI-1/07, AL-KEKONGE). The study was performed under the permission of the Governor of Svalbard.</t>
  </si>
  <si>
    <t>10.1007/s00300-013-1385-6</t>
  </si>
  <si>
    <t>WOS:000326049100011</t>
  </si>
  <si>
    <t>Sañé, E; Isla, E; Grémare, A; Escoubeyrou, K</t>
  </si>
  <si>
    <t>Sane, E.; Isla, E.; Gremare, A.; Escoubeyrou, K.</t>
  </si>
  <si>
    <t>Utility of amino acids as biomarkers in polar marine sediments: a study on the continental shelf of Larsen region, Eastern Antarctic Peninsula</t>
  </si>
  <si>
    <t>Amino acids; Marine sediments; Antarctica</t>
  </si>
  <si>
    <t>PARTICULATE ORGANIC-MATTER; SURFACE SEDIMENTS; EARLY DIAGENESIS; NEUTRAL SUGARS; ABYSSAL-PLAIN; CARBON; SEA; REACTIVITIES; CHLOROPHYLL; ENVIRONMENT</t>
  </si>
  <si>
    <t>Ongoing global warming is affecting the polar regions at a faster pace than in many other lower latitude environments. Based on the idea that the changes at the sea surface leave a signal in the sedimentary record, we analysed the total hydrolysable amino acid (THAA) and enzymatically hydrolysable amino acid (EHAA) contents in sediments off the coast of the eastern Antarctic Peninsula during the decade following the collapse of sections A and B of the Larsen ice shelf to check their utility as biomarkers of this event. Two organic matter lability indexes (the EHAA-to-THAA ratio and the Dauwe degradation index) were also calculated to assess the quality of the organic matter in the sediment column. The THAA and EHAA concentrations in the upper 5 mm varied between similar to 1 and similar to 10 nmol mg(-1) DW-1, corresponding to an oligotrophic environment, whereas the quality of the organic matter as indicated by the lability indexes was relatively high in the upper sediment column (&lt; 2 cm deep). The amino acid profiles and indexes in the sediment column were compared to the pigment profiles and indexes published in previous studies for the same stations. The results suggest that in the sediment column, pigments track more accurately than amino acids the pelagic organic matter supply to the seabed after the collapse of the Larsen ice shelf.</t>
  </si>
  <si>
    <t>[Sane, E.; Isla, E.] CSIC, Inst Ciencies Mar, E-08003 Barcelona, Spain; [Gremare, A.] Univ Bordeaux 1, UMR5805, Arcachon Marine Stn, F-33120 Arcachon, France; [Escoubeyrou, K.] Observ Oceanol, CNRS, UMS 2348, F-66651 Banyuls Sur Mer, France</t>
  </si>
  <si>
    <t>Consejo Superior de Investigaciones Cientificas (CSIC); CSIC - Centro Mediterraneo de Investigaciones Marinas y Ambientales (CMIMA); CSIC - Instituto de Ciencias del Mar (ICM); Universite de Bordeaux; Sorbonne Universite; Centre National de la Recherche Scientifique (CNRS); CNRS - National Institute for Earth Sciences &amp; Astronomy (INSU)</t>
  </si>
  <si>
    <t>Sañé, E (corresponding author), CSIC, Inst Ciencies Mar, Passeig Maritim de la Barceloneta 37-49, E-08003 Barcelona, Spain.</t>
  </si>
  <si>
    <t>sane@icm.csic.es</t>
  </si>
  <si>
    <t>sane, elisabet/AAT-4775-2020</t>
  </si>
  <si>
    <t>Isla, Enrique/0000-0003-4959-6936; , elisabet/0000-0001-5719-5468</t>
  </si>
  <si>
    <t>10.1007/s00300-013-1386-5</t>
  </si>
  <si>
    <t>WOS:000326049100012</t>
  </si>
  <si>
    <t>Prakash, S; Prakash, P; Ravichandran, M</t>
  </si>
  <si>
    <t>Prakash, Satya; Prakash, Prince; Ravichandran, M.</t>
  </si>
  <si>
    <t>Can oxycline depth be estimated using sea level anomaly (SLA) in the northern Indian Ocean?</t>
  </si>
  <si>
    <t>REMOTE SENSING LETTERS</t>
  </si>
  <si>
    <t>OXYGEN MINIMUM ZONE; ARABIAN SEA; BIOGEOCHEMICAL PROCESSES; BIOLOGICAL PRODUCTIVITY; BENGAL; BAY; VARIABILITY; NUTRIENTS; WATER</t>
  </si>
  <si>
    <t>Information on depth of oxycline is critical not only for understanding magnitude and extent of the hypoxic zone but also for specifying potential fishing zones on operational basis. We analysed Argo-oxygen data from the northern Indian Ocean, along with sea level anomaly (SLA) data from altimeter, to demonstrate the correlation between depths of oxycline, thermocline and SLA. Our analysis suggests that observed variability in oxycline depth is mainly governed by physical processes such as vertical movement in the thermocline depth in the northern Indian Ocean basin. There exists strong positive correlations between depths of thermocline, oxycline and SLA. Oxycline depth and SLA are highly correlated in the Arabian Sea, but the correlation between the two is weaker in the Bay of Bengal and equatorial Indian Ocean. We propose a regression equation between SLA and oxycline depth, which may be used to estimate the depth at which water is oxygen deficient (through oxycline) in the northern Indian Ocean.</t>
  </si>
  <si>
    <t>[Prakash, Satya; Prakash, Prince; Ravichandran, M.] Indian Natl Ctr Ocean Informat Serv, Hyderabad 500090, Andhra Pradesh, India; [Prakash, Prince] Natl Ctr Antarctic &amp; Ocean Res, Goa 403804, India</t>
  </si>
  <si>
    <t>Ministry of Earth Sciences (MoES) - India; Indian National Centre for Ocean Information Services (INCOIS); Ministry of Earth Sciences (MoES) - India; National Centre for Polar and Ocean Research (NCPOR)</t>
  </si>
  <si>
    <t>Prakash, S (corresponding author), Indian Natl Ctr Ocean Informat Serv, Hyderabad 500090, Andhra Pradesh, India.</t>
  </si>
  <si>
    <t>satyap@incois.gov.in</t>
  </si>
  <si>
    <t>prakash, prince/HTT-2725-2023; Ravichandran, M./AAM-1351-2020; Prakash, Satya/HNS-9397-2023</t>
  </si>
  <si>
    <t>2150-704X</t>
  </si>
  <si>
    <t>2150-7058</t>
  </si>
  <si>
    <t>REMOTE SENS LETT</t>
  </si>
  <si>
    <t>Remote Sens. Lett.</t>
  </si>
  <si>
    <t>10.1080/2150704X.2013.842284</t>
  </si>
  <si>
    <t>Remote Sensing; Imaging Science &amp; Photographic Technology</t>
  </si>
  <si>
    <t>236HO</t>
  </si>
  <si>
    <t>WOS:000325786300007</t>
  </si>
  <si>
    <t>Van de Vijver, B; Wetzel, CE; Kopalová, K; Zidarova, R; Ector, L</t>
  </si>
  <si>
    <t>Van de Vijver, Bart; Wetzel, Carlos E.; Kopalova, Katerina; Zidarova, Ralitsa; Ector, Luc</t>
  </si>
  <si>
    <t>Analysis of the type material of Achnanthidium lanceolatum BREBISSON ex KUTZING (Bacillariophyta) with the description of two new Planothidium species from the Antarctic Region</t>
  </si>
  <si>
    <t>Achnanthidium lanceolatum; Antarctic Region; morphology; new species; Planothidium; type material</t>
  </si>
  <si>
    <t>WATER DIATOM COMMUNITIES; ILES-KERGUELEN; DIVERSITY; ISLANDS</t>
  </si>
  <si>
    <t>The type material of Achnanthidium lanceolatum (transferred in 1999 to the genus Planothidium) is investigated to reveal the identity of several Planothidium populations from the Antarctic Region. The morphology and the ultrastructure was analysed using light and scanning electron microscopy. The results of this analysis revealed the presence of two so far undescribed Planothidium species in the investigated Antarctic material. Both species are described as new to science: P rost-rolanceolatum VAN DE VIJVER, KOPALOVA et ZIDAROVA Sp. nov. and P subantarcticum VAN DE VuvER et C.E.WETzEL sp. nov. The new species can be differentiated based on differences in valve outline and the shape and size of the central area. Planothidium lanceolatum is formally lectotypified. Notes on the ecology and distribution of the new Antarctic species are added.</t>
  </si>
  <si>
    <t>[Van de Vijver, Bart] Natl Bot Garden Belgium, Dept Bryophyta &amp; Thallophyta, B-1860 Meise, Belgium; [Van de Vijver, Bart] Univ Antwerp, Dept Biol, ECOBE, B-2610 Antwerp, Belgium; [Wetzel, Carlos E.; Ector, Luc] Publ Res Ctr Gabriel Lippmann, Dept Environm &amp; Agro Biotechnol EVA, L-4422 Belvaux, Luxembourg; [Kopalova, Katerina] Charles Univ Prague, Dept Ecol, Fac Sci, CZ-12844 Prague 2, Czech Republic; [Kopalova, Katerina] Acad Sci Czech Republ, Inst Bot, Sect Plant Ecol, CZ-37982 Trebon, Czech Republic; [Zidarova, Ralitsa] St Kliment Ohridski Univ Sofia, Fac Biol, Dept Bot, Sofia 1164, Bulgaria</t>
  </si>
  <si>
    <t>University of Antwerp; Luxembourg Institute of Science &amp; Technology; Charles University Prague; Czech Academy of Sciences; Institute of Botany of the Czech Academy of Sciences; University of Sofia</t>
  </si>
  <si>
    <t>Van de Vijver, B (corresponding author), Natl Bot Garden Belgium, Dept Bryophyta &amp; Thallophyta, B-1860 Meise, Belgium.</t>
  </si>
  <si>
    <t>Zidarova, Ralitsa/I-3793-2017; Kopalová, Kateřina/H-1598-2014; Kopalova, Katerina/M-6207-2017; Wetzel, Carlos Eduardo/A-2839-2015</t>
  </si>
  <si>
    <t>Zidarova, Ralitsa/0000-0002-6451-0099; Kopalova, Katerina/0000-0002-7905-4268; Wetzel, Carlos Eduardo/0000-0001-5330-0494; Ector, Luc/0000-0002-4573-9445</t>
  </si>
  <si>
    <t>French Polar Institute Paul Emile Victor in the framework of the terrestrial program [136]; RVO [67985939]; Ministry of Education, Youth and Sports of the Czech Republic project CzechPolar [LM2010009]; MSMT KONTAKT [ME 945, ME 934]; FWO [G.0533.07]; L'Oreal UNESCO For Women in Science Program (Bulgaria); [394211]</t>
  </si>
  <si>
    <t>French Polar Institute Paul Emile Victor in the framework of the terrestrial program; RVO; Ministry of Education, Youth and Sports of the Czech Republic project CzechPolar; MSMT KONTAKT(Ministry of Education, Youth &amp; Sports - Czech Republic); FWO(FWO); L'Oreal UNESCO For Women in Science Program (Bulgaria);</t>
  </si>
  <si>
    <t>The authors wish to thank Niek J.M. Gremmen and Louis Beyens for the collection of samples on Heard Island, the Prince Edward Islands and South Georgia. Sampling on Crozet and Kerguelen has been made possible thanks to the logistic and financial support of the French Polar Institute Paul Emile Victor in the framework of the terrestrial program 136 (Marc Lebouvier &amp; Yves Frenot). Samples on Byers Peninsula were taken in the framework of the IPY Limnopolar Project P0L2006-06635 (Ministerio de Ciencia y Tecnologia, Spain). This study has been supported as a long term research development project no. RVO 67985939 and project of Ministry of Education, Youth and Sports of the Czech Republic project CzechPolar LM2010009. Part of the research was funded by the following projects: MSMT KONTAKT ME 945 and ME 934. The authors would also like to thank the members of expeditions to the Czech J.G. Mendel Antarctic Station for their support and help in the field. Mrs. K. Kopalova benefited from an Erasmus grant during her stay in Belgium and GA UK grant nr. 394211. Part of the research was funded within the FWO project G.0533.07 and supported by L'Oreal UNESCO For Women in Science Program (Bulgaria).</t>
  </si>
  <si>
    <t>10.5507/fot.2013.010</t>
  </si>
  <si>
    <t>233WJ</t>
  </si>
  <si>
    <t>WOS:000325599900002</t>
  </si>
  <si>
    <t>Zhang, XG</t>
  </si>
  <si>
    <t>Zhang, Xue-Guang</t>
  </si>
  <si>
    <t>Optical spectral index-luminosity relation for the 17 mapped Palomar-Green quasars</t>
  </si>
  <si>
    <t>MONTHLY NOTICES OF THE ROYAL ASTRONOMICAL SOCIETY</t>
  </si>
  <si>
    <t>galaxies: active; galaxies: nuclei; quasars: emission lines</t>
  </si>
  <si>
    <t>ACTIVE GALACTIC NUCLEI; BROAD-LINE REGION; DAMPED RANDOM-WALK; BLACK-HOLE MASSES; FE II EMISSION; SDSS STRIPE 82; RADIO SOURCES; X-RAY; COLOR VARIABILITY; DARK-MATTER</t>
  </si>
  <si>
    <t>In this paper, the optical spectra index-luminosity relationship is checked for the well-known 17 individually mapped quasi-stellar objects (QSOs), in order to give one more clearer conclusion on the so far conflicting dependence of the spectral index on the luminosity for an active galactic nucleus (AGN). Unlike the global relationships based on the colour difference (photometry parameters) for samples of AGNs, a more reliable relationship is determined for the multi-epoch observed individually mapped QSOs with no contamination from the host galaxies, the line variabilities and the very different central properties. The final confirmed results are as follows. (i) No strong dependence of the optical spectral index on the continuum luminosity can be found for all 17 QSOs, besides two objects (PG 0026 and PG 1613) that have some weak trends (with 3 Sigma confidence level) for the relationship. In other words, the common expectation that 'AGNs get bluer when they get brighter' is not so common. (ii) There are very different damped intrinsic variability time-scales for the variability modes of the optical spectral index and the continuum emission, through the well-applied damped random walk method for the AGN variability. In other words, there are some different intrinsic mechanisms controlling the variabilities of the optical spectral index and the power-law AGN continuum emission. Therefore, the much weaker dependence of the optical spectral index on the continuum luminosity can be further confirmed.</t>
  </si>
  <si>
    <t>[Zhang, Xue-Guang] Chinese Acad Sci, Purple Mt Observ, Nanjing 210008, Jiangsu, Peoples R China; [Zhang, Xue-Guang] Chinese Ctr Antarctic Astron, Nanjing 210008, Jiangsu, Peoples R China</t>
  </si>
  <si>
    <t>Purple Mountain Observatory, CAS; Chinese Academy of Sciences; Nanjing Institute of Astronomical Optics &amp; Technology, NAOC, CAS</t>
  </si>
  <si>
    <t>Zhang, XG (corresponding author), Chinese Acad Sci, Purple Mt Observ, 2 Beijing XiLu, Nanjing 210008, Jiangsu, Peoples R China.</t>
  </si>
  <si>
    <t>xgzhang@pmo.ac.cn</t>
  </si>
  <si>
    <t>Chinese grants [NSFC-11003043, NSFC-11178003]</t>
  </si>
  <si>
    <t>Chinese grants</t>
  </si>
  <si>
    <t>Z-XG is very grateful to C. A. L. Bailer-Jones from MPIA for providing constructive comments and suggestions that have greatly improved our paper. Z-XG gratefully acknowledges the kind support provided by the Chinese grants NSFC-11003043 and NSFC-11178003, and is grateful to Dr S. Kaspi who has conveniently collected the public spectra of the 17 mapped PG QSOs (http://wise-obs.tau.ac.il/~shai/PG/).</t>
  </si>
  <si>
    <t>0035-8711</t>
  </si>
  <si>
    <t>1365-2966</t>
  </si>
  <si>
    <t>MON NOT R ASTRON SOC</t>
  </si>
  <si>
    <t>Mon. Not. Roy. Astron. Soc.</t>
  </si>
  <si>
    <t>10.1093/mnras/stt1432</t>
  </si>
  <si>
    <t>236DA</t>
  </si>
  <si>
    <t>WOS:000325773000025</t>
  </si>
  <si>
    <t>Rovati, JI; Pajot, HF; Ruberto, L; Mac Cormack, W; Figueroa, LIC</t>
  </si>
  <si>
    <t>Rovati, Jose I.; Pajot, Hipolito F.; Ruberto, Lucas; Mac Cormack, Walter; Figueroa, Lucia I. C.</t>
  </si>
  <si>
    <t>Polyphenolic substrates and dyes degradation by yeasts from 25 de Mayo/King George Island (Antarctica)</t>
  </si>
  <si>
    <t>YEAST</t>
  </si>
  <si>
    <t>Antarctic yeasts; psychrophilic-psychrotolerant yeasts; extracellular enzyme activities; rDNA yeast identification</t>
  </si>
  <si>
    <t>LACCASE ACTIVITY; DECOLORIZATION; ISOLATE; FUNGI</t>
  </si>
  <si>
    <t>Antarctica offers a range of extreme climatic conditions, such as low temperatures, high solar radiation and low nutrient availability, and constitutes one of the harshest environments on Earth. Despite that, it has been successfully colonized by 'cold-loving' fungi, which play a key role in decomposition cycles in cold ecosystems. However, knowledge about the ecological role of yeasts in nutrient or organic matter recycling/mineralization remains highly fragmentary. The aim of this work was to study the yeast microbiota in samples collected on 25 de Mayo/King George Island regarding the scope of their ability to degrade polyphenolic substrates such as lignin and azo dyes. Sixty-one yeast isolates were obtained from 37 samples, including soil, rocks, wood and bones. Molecular analyses based on rDNA sequences revealed that 35 yeasts could be identified at the species level and could be classified in the genera Leucosporidiella, Rhodotorula, Cryptococcus, Bullera and Candida. Cryptococcus victoriae was by far the most ubiquitous species. In total, 33% of the yeast isolates examined showed significant activity for dye decolorization, 25% for laccase activity and 38% for ligninolytic activity. Eleven yeasts did not show positive activity in any of the assays performed and no isolates showed positive activity across all tested substrates. A high diversity of yeasts were isolated in this work, possibly including undescribed species and conspicuous Antarctic yeasts, most of them belonging to oligotrophic, slow-growing and metabolically diverse basidiomycetous genera. Copyright (c) 2013 John Wiley &amp; Sons, Ltd.</t>
  </si>
  <si>
    <t>[Ruberto, Lucas] Univ Buenos Aires, Fac Farm &amp; Bioquim, RA-1053 Buenos Aires, DF, Argentina; [Mac Cormack, Walter] Inst Antartico Argentino, Buenos Aires, DF, Argentina; [Figueroa, Lucia I. C.] Univ Nacl Tucuman, RA-4000 San Miguel De Tucuman, Tucuman, Argentina</t>
  </si>
  <si>
    <t>University of Buenos Aires; Instituto Antartico Argentino; Universidad Nacional de Tucuman</t>
  </si>
  <si>
    <t>eljosy@hotmail.com</t>
  </si>
  <si>
    <t>Pajot, Hipolito/0000-0002-6259-8330; Castellanos de Figueroa, Lucia Ines/0000-0002-2821-4719; Ruberto, Lucas Adolfo Mauro/0000-0001-5604-772X; Mac Cormack, Walter/0000-0002-5280-5463</t>
  </si>
  <si>
    <t>Agencia Nacional de Promocion Cientifica y Tecnologica (FONCYT); Consejo Nacional de Investigaciones Cientificas y Tecnicas (CONICET); Consejo de Investigaciones de la Universidad Nacional de Tucuman (CIUNT)</t>
  </si>
  <si>
    <t>Agencia Nacional de Promocion Cientifica y Tecnologica (FONCYT)(ANPCyTFONCyT); Consejo Nacional de Investigaciones Cientificas y Tecnicas (CONICET)(Consejo Nacional de Investigaciones Cientificas y Tecnicas (CONICET)); Consejo de Investigaciones de la Universidad Nacional de Tucuman (CIUNT)</t>
  </si>
  <si>
    <t>We especially want to thank Dr Lucas Ruberto (Catedra de Biotecnologia, FFyB-UBA, Instituto Antartico Argentina) for his scientific advice. We also thank the Direccion Nacional del Antartico-Instituto Antartico Argentino (DNA-IAA) and the scientific and military crew of Carlini (ex-Jubany) base, for their hospitality and logistic support. This work was supported by Agencia Nacional de Promocion Cientifica y Tecnologica (FONCYT), Consejo Nacional de Investigaciones Cientificas y Tecnicas (CONICET) and Consejo de Investigaciones de la Universidad Nacional de Tucuman (CIUNT).</t>
  </si>
  <si>
    <t>0749-503X</t>
  </si>
  <si>
    <t>1097-0061</t>
  </si>
  <si>
    <t>Yeast</t>
  </si>
  <si>
    <t>10.1002/yea.2982</t>
  </si>
  <si>
    <t>Biochemistry &amp; Molecular Biology; Biotechnology &amp; Applied Microbiology; Microbiology; Mycology</t>
  </si>
  <si>
    <t>236TY</t>
  </si>
  <si>
    <t>WOS:000325823500004</t>
  </si>
  <si>
    <t>Che, S; Song, WZ; Lin, XZ</t>
  </si>
  <si>
    <t>Che, Shuai; Song, Weizhi; Lin, Xuezheng</t>
  </si>
  <si>
    <t>Response of Heat-Shock Protein (HSP) Genes to Temperature and Salinity Stress in the Antarctic Psychrotrophic Bacterium Psychrobacter sp G</t>
  </si>
  <si>
    <t>EXPRESSION; GRPE; DNAK; EVOLUTIONARY; INDUCTION; CLONING</t>
  </si>
  <si>
    <t>Temperature and salinity fluctuations are two of the most important factors affecting the growth of polar bacteria. In an attempt to better understand the function of heat-shock proteins (HSPs) in the adaptive mechanisms of the Antarctic psychrotrophic bacterium Psychrobacter sp. G to such conditions, genes Hsp845, Hsp2538, Hsp2666, and Hsp2667 were cloned on the basis of the draft genome. The expression characteristics of these HSP genes under different stress conditions were analyzed by the qRT-PCR method. Expression of Hsp845 and Hsp2667 was inhibited significantly by low temperature (0 and 10 A degrees C, respectively). There was no difference of expression when Hsp2538 and Hsp2666 were exposed to 0 A degrees C but the expression of Hsp2666 was inhibited when exposed to 10 A degrees C. Expression of Hsp2538 and Hsp2667 was not sensitive but expression of Hsp845 and Hsp2666 was increased at low salinity (0 and 15, respectively). Expression of the four HSP genes was enhanced at high salinity (90 and 120) and at high temperature independent of salinity. By contrast, low temperature had no significant effect independent of salinity.</t>
  </si>
  <si>
    <t>[Che, Shuai; Song, Weizhi; Lin, Xuezheng] SOA, Inst Oceanog 1, Qingdao 266061, Peoples R China; [Che, Shuai; Song, Weizhi; Lin, Xuezheng] SOA, Key Lab Marine Bioact Subst, Qingdao 266061, Peoples R China</t>
  </si>
  <si>
    <t>First Institute of Oceanography, Ministry of Natural Resources</t>
  </si>
  <si>
    <t>Che, S (corresponding author), SOA, Inst Oceanog 1, Qingdao 266061, Peoples R China.</t>
  </si>
  <si>
    <t>roy5513@163.com; linxz@fio.org.cn</t>
  </si>
  <si>
    <t>Song, Weizhi/0000-0001-5890-5361</t>
  </si>
  <si>
    <t>National Natural Science Foundation of China [41176174]</t>
  </si>
  <si>
    <t>This work was supported financially by the National Natural Science Foundation of China (41176174).</t>
  </si>
  <si>
    <t>10.1007/s00284-013-0409-3</t>
  </si>
  <si>
    <t>228XL</t>
  </si>
  <si>
    <t>WOS:000325225300014</t>
  </si>
  <si>
    <t>White, LT; Gibson, GM; Lister, GS</t>
  </si>
  <si>
    <t>White, L. T.; Gibson, G. M.; Lister, G. S.</t>
  </si>
  <si>
    <t>A reassessment of paleogeographic reconstructions of eastern Gondwana: Bringing geology back into the equation</t>
  </si>
  <si>
    <t>GONDWANA RESEARCH</t>
  </si>
  <si>
    <t>Antarctic plate; Australian plate; Break-up; Indian plate; Paleogeography</t>
  </si>
  <si>
    <t>PRINCE-CHARLES MOUNTAINS; SOUTHERN MARGIN; LAMBERT GRABEN; INDIAN-OCEAN; AUSTRALIA; ANTARCTICA; EVOLUTION; BREAKUP; BASIN; SEA</t>
  </si>
  <si>
    <t>In recent years several tectonic reconstructions have been presented for Australia-Antarctica break-up, with each putting the Australian plate in a different location with respect to Antarctica. These differences reflect the different datasets and techniques employed to create a particular reconstruction. Here we show that some of the more recent reconstructions proposed for Australia-Antarctica break-up are inconsistent with both our current knowledge of margin evolution as well as the inferred match in basement terranes on the two opposing conjugate margins. We also show how these incorrect reconstructions influence the fit of the Indian plate against Antarctica if its movement is tied to the Australian plate. Such errors can have a major influence on the tectonic models of other parts of the world. In this case, we show how the position of the Australia plate can predetermine the extent of Greater India, which is (rightly or wrongly) used by many as a constraint in determining the timing of India-Asia, or India-Island Arc collisions during the closure of Tethys. We also discuss the timing of Australia-Antarctica break-up, and which linear magnetic features are a product of symmetric sea-floor spreading versus those linear magnetic features that result from rifting of a margin. The 46 Ma to 84 Ma rotational poles previously proposed for Australia-Antarctica break-up, and confined to transitional crust and the continent-ocean transition zone, more likely formed during earlier stages of rifting rather than during symmetric sea-floor spreading of oceanic crust. So rotation poles that have been derived from magnetic anomalies in such regions cannot be used as input in a plate reconstruction. A new reconstruction of the Australia-Antarctica margin is therefore proposed that remains faithful to the best available geological and geophysical data. (C) 2013 International Association for Gondwana Research. Published by Elsevier B.V. All rights reserved.</t>
  </si>
  <si>
    <t>[White, L. T.] Univ London, Dept Earth Sci, Southeast Asia Res Grp, Egham TW20 0EX, Surrey, England; [White, L. T.; Lister, G. S.] Australian Natl Univ, Res Sch Earth Sci, Canberra, ACT 0200, Australia; [Gibson, G. M.] Geosci Australia, Canberra, ACT 2601, Australia</t>
  </si>
  <si>
    <t>University of London; Royal Holloway University London; Australian National University; Geoscience Australia</t>
  </si>
  <si>
    <t>White, LT (corresponding author), Univ London, Dept Earth Sci, Southeast Asia Res Grp, Egham TW20 0EX, Surrey, England.</t>
  </si>
  <si>
    <t>lloyd.white@rhul.ac.uk</t>
  </si>
  <si>
    <t>White, Lloyd/AAY-8174-2020; White, Lloyd/AAB-3357-2020</t>
  </si>
  <si>
    <t>White, Lloyd/0000-0002-1829-0881; Lister, Gordon/0000-0001-6265-602X</t>
  </si>
  <si>
    <t>Australian-Indian Strategic Research Fund Towards a unified East Gondwanaland reconstruction and its implications for Himalayan Orogeny; consortium of oil companies that sponsor the South East Asia Research Group</t>
  </si>
  <si>
    <t>Research support was provided by the Australian-Indian Strategic Research Fund Towards a unified East Gondwanaland reconstruction and its implications for Himalayan Orogeny and by a consortium of oil companies that sponsor the South East Asia Research Group. G. M. Gibson publishes with permission from the CEO, Geoscience Australia. Sam Hart is thanked for his efforts in developing the Pplates code. Alan Smith and Lawrence Rush of Cambridge Paleomap Services Ltd. are thanked for providing a copy of PaleoArc and instructions on its use. We are grateful for discussions about the evolution of the southern margin with J. Totterdell, C. Mitchell and A. Stacey and for the insight and recommendations of Nick Direen and Steve Boger in their reviews of the paper.</t>
  </si>
  <si>
    <t>1342-937X</t>
  </si>
  <si>
    <t>1878-0571</t>
  </si>
  <si>
    <t>GONDWANA RES</t>
  </si>
  <si>
    <t>Gondwana Res.</t>
  </si>
  <si>
    <t>10.1016/j.gr.2013.06.009</t>
  </si>
  <si>
    <t>229AJ</t>
  </si>
  <si>
    <t>WOS:000325233900013</t>
  </si>
  <si>
    <t>Studer, AS; Ellis, KK; Oleynik, S; Sigman, DM; Haug, GH</t>
  </si>
  <si>
    <t>Studer, Anja S.; Ellis, Karen K.; Oleynik, Sergey; Sigman, Daniel M.; Haug, Gerald H.</t>
  </si>
  <si>
    <t>Size-specific opal-bound nitrogen isotope measurements in North Pacific sediments</t>
  </si>
  <si>
    <t>SUB-ARCTIC PACIFIC; ANTARCTIC SEA-ICE; SOUTHERN-OCEAN; PHYTOPLANKTON GROWTH; ORGANIC-MATTER; NITRATE; MARINE; FRACTIONATION; SURFACE; DIATOMS</t>
  </si>
  <si>
    <t>The nitrogen isotope composition of diatom opal (delta N-15(db)) is a valuable recorder of nitrate utilization in the polar surface oceans and a measure of the efficiency of the biological pump. Past down-core records of delta N-15(db) involved the measurement of the biogenic opal fraction up to 150 mu m in size, which should represent the bulk of the preserved diatoms but may also include non-diatom opal such as radiolaria and sponge spicules. In this study, the opal from subarctic Pacific and Bering Sea sediments from the Holocene back to the last glacial was separated into different size fractions to measure their individual delta N-15. We found a general trend of decreasing delta N-15 with increasing size at all sites and through time. Microscopic investigation of smear slides and image area analysis of microphotographs of the analyzed opal revealed that the larger size fractions contained greater proportions of sponge spicules and radiolaria. Manual isolation and measurement of the sponge spicules showed that they have a very low delta N-15 (similar to -11 parts per thousand). Ultrasonication during sample preparation caused greater spicule and radiolaria contamination due to fragmentation of these relatively large fossils, leading to a dramatic delta N-15(db) decrease with increasing size and lower delta N-15(db) across all size fractions in sonicated versus non-sonicated samples. Nevertheless, these contaminants were also present albeit less abundant in the various size fractions of samples separated without sonication, and these samples also showed a delta N-15(db) decrease with increasing size. Simple isotope mass-balance calculations of Holocene Bering Sea sediments indicate that most of the delta N-15(db) variations among the larger size fractions can be explained by the relative abundance of low-delta N-15 sponge spicules in each fraction. However, some of the size fraction delta N-15 differences in the downcore records require a different explanation. Both diatom inter-or intra-species effects are evident and indicate lower delta N-15(db) among the larger (centric) versus smaller (pennate) diatom species and a delta N-15(db) decrease with increasing size of centric diatom frustules. Contamination of N by non-diatomaceous opal should not normally compromise total-diatom-bound delta N-15 (0-150 mu m) because the non-diatom opal typically contributes less than similar to 5% to the total opal. However, the early deglacial (Heinrich Stadial 1-correlative) period in the subarctic North Pacific is an important possible exception: a substantial fraction of its low concentration of opal appears to be sponge spicules and radiolaria, such that the reconstructed total-diatom delta N-15(db) decrease at this time may be an artifact. While the glacial-age sediments are also vulnerable to non-diatom contamination, this should work to lower delta N-15(db), such that the observed high glacial delta N-15(db) in North Pacific sediments cannot be explained by contamination. Thus, the previous interpretation of enhanced nutrient consumption in the North Pacific regions during the last ice age remains valid. (C) 2013 Elsevier Ltd. All rights reserved.</t>
  </si>
  <si>
    <t>[Studer, Anja S.; Haug, Gerald H.] ETH, Inst Geol, CH-8092 Zurich, Switzerland; [Ellis, Karen K.; Oleynik, Sergey; Sigman, Daniel M.] Princeton Univ, Dept Geosci, Princeton, NJ 08544 USA</t>
  </si>
  <si>
    <t>Swiss Federal Institutes of Technology Domain; ETH Zurich; Princeton University</t>
  </si>
  <si>
    <t>Studer, AS (corresponding author), ETH, Inst Geol, Sonneggstr 5, CH-8092 Zurich, Switzerland.</t>
  </si>
  <si>
    <t>anja.studer@erdw.ethz.ch</t>
  </si>
  <si>
    <t>Sigman, Daniel M./IYJ-2613-2023; Sigman, Daniel M./A-2649-2008; Studer, Anja S/JVZ-4104-2024</t>
  </si>
  <si>
    <t>Sigman, Daniel M./0000-0002-7923-1973; Studer, Anja S/0000-0001-7354-8497</t>
  </si>
  <si>
    <t>German Federal Ministry of Education and Research (BmBF) [SO202-INOPEX]; Swiss National Science Foundation [200021_131886/1]; US NSF [OCE-1060947]; Swiss National Science Foundation (SNF) [200021_131886] Funding Source: Swiss National Science Foundation (SNF)</t>
  </si>
  <si>
    <t>German Federal Ministry of Education and Research (BmBF)(Federal Ministry of Education &amp; Research (BMBF)); Swiss National Science Foundation(Swiss National Science Foundation (SNSF)); US NSF(National Science Foundation (NSF)); Swiss National Science Foundation (SNF)(Swiss National Science Foundation (SNSF))</t>
  </si>
  <si>
    <t>This study used samples retrieved during the SO202-INOPEX cruise funded by the German Federal Ministry of Education and Research (BmBF). Funding was provided by the Swiss National Science Foundation grant 200021_131886/1 to G.H.H. and by the US NSF grant OCE-1060947 to D.M.S. We thank M.A. Weigand for technical assistance and B.G. Brunelle and X. Crosta for helpful discussions. We greatly appreciated the constructive comments of three anonymous reviewers and the associate editor, Silke Severmann, which improved the manuscript.</t>
  </si>
  <si>
    <t>10.1016/j.gca.2013.06.041</t>
  </si>
  <si>
    <t>223MH</t>
  </si>
  <si>
    <t>WOS:000324809000011</t>
  </si>
  <si>
    <t>Gao, Q; Xu, ZL; Huang, HL; Chen, XZ; Feng, CL; Li, LZ</t>
  </si>
  <si>
    <t>Gao Qian; Xu Zhaoli; Huang Hongliang; Chen Xuezhong; Feng Chunlei; Li Lingzhi</t>
  </si>
  <si>
    <t>Geographical distribution and age composition of Euphausia superba larvae (Crustacea: Euphausiacea) in the South Shetland Islands region and southern Scotia Sea in relation to environmental conditions</t>
  </si>
  <si>
    <t>ACTA OCEANOLOGICA SINICA</t>
  </si>
  <si>
    <t>Southern Ocean; Euphausia superba; larvae; distribution pattern</t>
  </si>
  <si>
    <t>ANTARCTIC KRILL; COMMUNITY STRUCTURE; BRANSFIELD STRAIT; DANA; VARIABILITY; GROWTH; CONFLUENCE; TRANSPORT</t>
  </si>
  <si>
    <t>Spatial distribution patterns of the different life stages of Euphausia superba in the region of the South Shetland Islands and southern Scotia Sea (Antarctica) were assessed based on scientific survey data collected in January and February of 2010. Adults, eggs, nauplii, metanauplii, calyptopis I-III, and furcilia I-II were found in the investigation. The abundance of larvae averaged 1 172.8 ind./m(2), with calyptopis I and II as the dominant stages. Habitat occupancy patterns varied among Euphausia superba at different stages, and three sub-regionswere identified by cluster analysis. The degree of larval development increased fromwest to east. Larvae were not observed north of the South Shetland Islands. Calyptopis I was predominant in the water between Elephant Island and the South Orkney Islands, which featured no thermocline. Older stages, including calyptopis II and III and furcilia I and II, were common in north and northeast of the South Orkney Islands, which were characterized by high temperature and high chlorophyll concentration. Distribution and abundance of the early life stages of E. superba were associated with specific environmental conditions. According to Biota-Environment matching (BIOENV), the distributions of E. superba larvae were correlated with a combination of temperature at the surface and 200m, and 0-100 mintegrated chlorophyll a concentration.</t>
  </si>
  <si>
    <t>[Gao Qian; Xu Zhaoli; Huang Hongliang; Chen Xuezhong; Feng Chunlei; Li Lingzhi] Chinese Acad Fishery Sci, East China Sea Fisheries Res Inst, Key &amp; Open Lab Marine &amp; Estuarine Fisheries, Minist Agr, Shanghai 200090, Peoples R China</t>
  </si>
  <si>
    <t>Chinese Academy of Fishery Sciences; East China Sea Fisheries Research Institute, CAFS; Ministry of Agriculture &amp; Rural Affairs</t>
  </si>
  <si>
    <t>Chen, XZ (corresponding author), Chinese Acad Fishery Sci, East China Sea Fisheries Res Inst, Key &amp; Open Lab Marine &amp; Estuarine Fisheries, Minist Agr, Shanghai 200090, Peoples R China.</t>
  </si>
  <si>
    <t>xuezhong@eastfishery.ac.cn</t>
  </si>
  <si>
    <t>Ministry of Agriculture; Chinese Polar Environment Comprehensive Investigation and Assessment Programes [CHINARE2012similar to2016-01-06]</t>
  </si>
  <si>
    <t>Ministry of Agriculture(Gida Tarim Ve Hayvancilik Bakanligi); Chinese Polar Environment Comprehensive Investigation and Assessment Programes</t>
  </si>
  <si>
    <t>Foundation item: Project on the exploration of fishery resources in the offshore supported by the Ministry of Agriculture (2010-2013); Chinese Polar Environment Comprehensive Investigation and Assessment Programes under contract No. CHINARE2012 similar to 2016-01-06.</t>
  </si>
  <si>
    <t>0253-505X</t>
  </si>
  <si>
    <t>1869-1099</t>
  </si>
  <si>
    <t>ACTA OCEANOL SIN</t>
  </si>
  <si>
    <t>Acta Oceanol. Sin.</t>
  </si>
  <si>
    <t>10.1007/s13131-013-0378-1</t>
  </si>
  <si>
    <t>253JA</t>
  </si>
  <si>
    <t>WOS:000327079700008</t>
  </si>
  <si>
    <t>Liu, YZ; Shi, GY; Xie, YK</t>
  </si>
  <si>
    <t>Liu Yuzhi; Shi Guangyu; Xie Yongkun</t>
  </si>
  <si>
    <t>Impact of dust aerosol on glacial-interglacial climate</t>
  </si>
  <si>
    <t>ADVANCES IN ATMOSPHERIC SCIENCES</t>
  </si>
  <si>
    <t>dust aerosol; glacial interglacial; energy balance model</t>
  </si>
  <si>
    <t>SATELLITE DATA; ICE-CORE; MODEL; TERMINATIONS; TRANSPORT; PLATEAU; ALBEDO</t>
  </si>
  <si>
    <t>The temperature anomaly and dust concentrations recorded from central Antarctic ice core records display a strong negative correlation. The dust concentration recorded from an ice core in central Antarctica is 50-70 times higher during glacial periods than interglacial periods. This study investigated the impact of dust aerosol on glacial-interglacial climate, using a zonal energy balance model and dust concentration data from an Antarctica ice core. Two important effects of dust, the direct radiative effect and dust-albedo feedback, were considered. On the one hand, the direct radiative effect of dust significantly cooled the climate during the glacial period, with cooling during the last glacial maximum being as much as 2.05A degrees C in Antarctica. On the other hand, dust deposition onto the ice decreased the surface albedo over Antarctica, leading to increased absorption of solar radiation, inducing a positive feedback that warmed the region by as much as about 0.9A degrees C during the glacial period. However, cooling by the direct dust effect was found to be the controlling effect for the glacial climate and may be the major influence on the strong negative correlation between temperature and dust concentration during glacial periods.</t>
  </si>
  <si>
    <t>[Liu Yuzhi; Xie Yongkun] Lanzhou Univ, Coll Atmospher Sci, Minist Educ, Key Lab Semiarid Climate Change, Lanzhou 730000, Peoples R China; [Shi Guangyu] Chinese Acad Sci, Inst Atmospher Phys, State Key Lab Numer Modeling Atmospher Sci &amp; Geop, Beijing 100029, Peoples R China</t>
  </si>
  <si>
    <t>Lanzhou University; Chinese Academy of Sciences; Institute of Atmospheric Physics, CAS</t>
  </si>
  <si>
    <t>Liu, YZ (corresponding author), Lanzhou Univ, Coll Atmospher Sci, Minist Educ, Key Lab Semiarid Climate Change, Lanzhou 730000, Peoples R China.</t>
  </si>
  <si>
    <t>liuyzh@lzu.edu.cn</t>
  </si>
  <si>
    <t>Liu, Yuzhi/I-1125-2016; Xie, Yongkun/M-8544-2019</t>
  </si>
  <si>
    <t>Liu, Yuzhi/0000-0001-8310-6975; Xie, Yongkun/0000-0001-8836-9328</t>
  </si>
  <si>
    <t>National Basic Research Program of China [2012CB955301]; Fundamental Research Funds for the Central Universities [lzujbky-2012-124]; Program for Changjiang Scholars and Innovative Research Team in University (PCSIRT)</t>
  </si>
  <si>
    <t>National Basic Research Program of China(National Basic Research Program of China); Fundamental Research Funds for the Central Universities(Fundamental Research Funds for the Central Universities); Program for Changjiang Scholars and Innovative Research Team in University (PCSIRT)(Program for Changjiang Scholars &amp; Innovative Research Team in University (PCSIRT))</t>
  </si>
  <si>
    <t>This research was jointly supported by the National Basic Research Program of China (Grant No. 2012CB955301), the Fundamental Research Funds for the Central Universities (Grant No. lzujbky-2012-124), and the Program for Changjiang Scholars and Innovative Research Team in University (PCSIRT). ECMWF ERA-40 data used in this study were obtained from the ECMWF data server.</t>
  </si>
  <si>
    <t>0256-1530</t>
  </si>
  <si>
    <t>1861-9533</t>
  </si>
  <si>
    <t>ADV ATMOS SCI</t>
  </si>
  <si>
    <t>Adv. Atmos. Sci.</t>
  </si>
  <si>
    <t>10.1007/s00376-013-2289-7</t>
  </si>
  <si>
    <t>236PH</t>
  </si>
  <si>
    <t>WOS:000325810700018</t>
  </si>
  <si>
    <t>Saunders, KM; Harrison, JJ; Hodgson, DA; de Jong, R; Mauchle, F; McMinn, A</t>
  </si>
  <si>
    <t>Saunders, K. M.; Harrison, J. J.; Hodgson, D. A.; de Jong, R.; Mauchle, F.; McMinn, A.</t>
  </si>
  <si>
    <t>Ecosystem impacts of feral rabbits on World Heritage sub-Antarctic Macquarie Island: A palaeoecological perspective</t>
  </si>
  <si>
    <t>ANTHROPOCENE</t>
  </si>
  <si>
    <t>Diatoms; Invasive species; Lake sediments; Management; Palaeoecology; Pest eradication</t>
  </si>
  <si>
    <t>ENVIRONMENTAL-CHANGE; VEGETATION; LAKE; COLONIZATION; CONSERVATION; VARIABILITY; SEDIMENTS; KAUAI</t>
  </si>
  <si>
    <t>The introduction and establishment of non-indigenous species through human activities often poses a major threat to natural biodiversity. In many parts of the world management efforts are therefore focused on their eradication. The environment of World Heritage sub-Antarctic Macquarie Island has been severely damaged by non-indigenous species including rabbits, rats and mice, introduced from the late AD 1800s. An extensive eradication programme is now underway which aims to remove all rabbits and rodents. To provide a long-term context for assessing the Island's pre-invasion state, invasion impacts, and to provide a baseline for monitoring its recovery, we undertook a palaeoecological study using proxies in a lake sediment core. Sedimentological and diatom analyses revealed an unproductive catchment and lake environment persisted for ca. 7100 years prior to the introduction of the invasive species. After ca. AD 1898, unprecedented and statistically significant environmental changes occurred. Lake sediment accumulation rates increased &gt; 100 times due to enhanced catchment inputs and withinlake production. Total carbon and total nitrogen contents of the sediments increased by a factor of four. The diatom flora became dominated by two previously rare species. The results strongly suggest a causal link between the anthropogenic introduction of rabbits and the changes identified in the lake sediments. This study provides an example of how palaeoecology may be used to determine baseline conditions prior to the introduction of non-indigenous species, quantify the timing and extent of changes, and help monitor the recovery of the ecosystem and natural biodiversity following successful non-indigenous species eradication programmes. (C) 2014 Elsevier Ltd. All rights reserved.</t>
  </si>
  <si>
    <t>[Saunders, K. M.; de Jong, R.; Mauchle, F.] Univ Bern, Inst Geog, Erlachstr 9a,Trakt 3, CH-3012 Bern, Switzerland; [Saunders, K. M.; de Jong, R.; Mauchle, F.] Univ Bern, Oeschger Ctr Climate Change Res, CH-3012 Bern, Switzerland; [Saunders, K. M.; McMinn, A.] Univ Tasmania, Inst Marine &amp; Antarctic Studies, Hobart, Tas 7000, Australia; [Harrison, J. J.] Australian Nucl Sci &amp; Technol Org, Lucas Heights, NSW 2234, Australia; [Hodgson, D. A.] British Antarctic Survey, Cambridge CB3 0ET, England</t>
  </si>
  <si>
    <t>University of Bern; University of Bern; University of Tasmania; Australian Nuclear Science &amp; Technology Organisation; UK Research &amp; Innovation (UKRI); Natural Environment Research Council (NERC); NERC British Antarctic Survey</t>
  </si>
  <si>
    <t>Saunders, KM (corresponding author), Univ Bern, Inst Geog, Erlachstr 9a,Trakt 3, CH-3012 Bern, Switzerland.</t>
  </si>
  <si>
    <t>Saunders, Krystyna/0000-0002-6800-2630; Harrison, Jennifer/0000-0003-0716-2398</t>
  </si>
  <si>
    <t>Australian Antarctic Science [AAS 2663]; Australian Postgraduate Award; Australian Institute of Nuclear Science and Engineering Postgraduate Award; Resource Management and Conservation Division, Department of Primary Industry, Parks, Water and the Environment; NERC [bas0100024] Funding Source: UKRI</t>
  </si>
  <si>
    <t>Australian Antarctic Science; Australian Postgraduate Award(Australian Government); Australian Institute of Nuclear Science and Engineering Postgraduate Award; Resource Management and Conservation Division, Department of Primary Industry, Parks, Water and the Environment; NERC(UK Research &amp; Innovation (UKRI)Natural Environment Research Council (NERC))</t>
  </si>
  <si>
    <t>This study was funded by an Australian Antarctic Science grant (AAS 2663). Krystyna M. Saunders was funded by an Australian Postgraduate Award and an Australian Institute of Nuclear Science and Engineering Postgraduate Award. Access to Macquarie Island was granted by the Resource Management and Conservation Division, Department of Primary Industry, Parks, Water and the Environment. We would like to thank Donna Roberts for initially establishing the project, Bart Van de Vijver for taxonomic assistance, Keith Springer for background knowledge, technical and logistical support, John Gibson for discussions and contributing to 14C dating, and Sam Hagnauer for laboratory assistance. Comments by two anonymous reviewers helped to improve the manuscript. We particularly thank the Australian Antarctic Division and the staff on Macquarie Island for logistic support.</t>
  </si>
  <si>
    <t>2213-3054</t>
  </si>
  <si>
    <t>Anthropocene</t>
  </si>
  <si>
    <t>10.1016/j.ancene.2014.01.001</t>
  </si>
  <si>
    <t>V2U4E</t>
  </si>
  <si>
    <t>WOS:000217920300001</t>
  </si>
  <si>
    <t>Bagshaw, EA; Tranter, M; Fountain, AG; Welch, K; Basagic, HJ; Lyons, WB</t>
  </si>
  <si>
    <t>Bagshaw, Elizabeth A.; Tranter, Martyn; Fountain, Andrew G.; Welch, Kathleen; Basagic, Hassan J.; Lyons, W. Berry</t>
  </si>
  <si>
    <t>Do Cryoconite Holes Have the Potential to be Significant Sources of C, N, and P to Downstream Depauperate</t>
  </si>
  <si>
    <t>MCMURDO DRY VALLEYS; SOUTHERN VICTORIA LAND; GLACIAL MELTWATER STREAMS; TAYLOR VALLEY; CANADA GLACIER; PHOSPHATASE-ACTIVITY; ORGANIC PHOSPHORUS; HYPORHEIC EXCHANGE; AEOLIAN FLUX; ANTARCTICA</t>
  </si>
  <si>
    <t>Nutrient recycling occurs in hydrologically isolated cryoconite holes on the glaciers of the McMurdo Dry Valleys, Antarctica. Biogeochemical processes enrich the cryoconite holes with solute and nutrients compared to the source sediment and glacier ice. The position of the glacier within the landscape affects the physical and biogeochemical character of the cryoconite holes, with those found in more biologically productive areas of the valley having higher concentrations of C, N, and P and higher pH. Comprehensive assessment of the quality and quantity of bioavailable C, N, and P shows that the cryoconite holes represent a significant store of nutrient in this depauperate landscape, since the total mass of C and N is similar to that found in the ephemeral streams. The dissolved nutrients within the holes, and, a significant proportion of the particulate store, are released to the valley ecosystem via the network of ephemeral streams and perennially ice-covered lakes as a result of hydrological connection with the supraglacial drainage system. In most cases, cryoconite holes are flushed every several years, but during warm periods which occur with near decadal frequency, all holes connect and flush their contents off the glaciers. Simple mass balance modeling shows that an increase in primary productivity observed in Lake Fryxell that followed such a melt event in 2001/2002 can be explained by an influx of nutrients (specifically N) generated in the cryoconite holes. These features are hence an integral part of the Dry Valley ecosystem and should be considered in models of downstream biological processes.</t>
  </si>
  <si>
    <t>[Bagshaw, Elizabeth A.; Tranter, Martyn] Univ Bristol, Bristol Glaciol Ctr, Sch Geog Sci, Bristol BS8 1SS, Avon, England; [Fountain, Andrew G.; Basagic, Hassan J.] Portland State Univ, Dept Geog, Portland, OR 97207 USA; [Fountain, Andrew G.; Basagic, Hassan J.] Portland State Univ, Dept Geol, Portland, OR 97207 USA; [Welch, Kathleen; Lyons, W. Berry] Ohio State Univ, Byrd Polar Res Ctr, Columbus, OH 43210 USA</t>
  </si>
  <si>
    <t>University of Bristol; Portland State University; Portland State University; University System of Ohio; Ohio State University</t>
  </si>
  <si>
    <t>Bagshaw, EA (corresponding author), Univ Bristol, Bristol Glaciol Ctr, Sch Geog Sci, Univ Rd, Bristol BS8 1SS, Avon, England.</t>
  </si>
  <si>
    <t>liz.bagshaw@bristol.ac.uk</t>
  </si>
  <si>
    <t>; Tranter, Martyn/E-3722-2010</t>
  </si>
  <si>
    <t>Welch, Kathleen/0000-0003-1028-3086; Tranter, Martyn/0000-0003-2071-3094; Bagshaw, Elizabeth/0000-0001-8392-1750</t>
  </si>
  <si>
    <t>National Science Foundation [ANT-0423595]; MCMLTER site team, Raytheon Polar Services Company personnel, and Petroleum Helicopters Inc.; Natural Environment Research Council [NER/S/A/2005/13257]</t>
  </si>
  <si>
    <t>National Science Foundation(National Science Foundation (NSF)); MCMLTER site team, Raytheon Polar Services Company personnel, and Petroleum Helicopters Inc.; Natural Environment Research Council(UK Research &amp; Innovation (UKRI)Natural Environment Research Council (NERC))</t>
  </si>
  <si>
    <t>This research was undertaken during Natural Environment Research Council studentship NER/S/A/2005/13257 awarded to Bagshaw, with fieldwork supported by National Science Foundation grant ANT-0423595 to the MCMLTER. The support of the MCMLTER site team, Raytheon Polar Services Company personnel, and Petroleum Helicopters Inc. is gratefully acknowledged. Des Davis and Jenny Mills assisted with laboratory analyses at the University of Bristol, and two anonymous reviewers suggested valuable improvements to the manuscript.</t>
  </si>
  <si>
    <t>10.1657/1938-4246-45.4.440</t>
  </si>
  <si>
    <t>WOS:000329533400002</t>
  </si>
  <si>
    <t>Barbeito, I; Brücker, RL; Rixen, C; Bebi, P</t>
  </si>
  <si>
    <t>Barbeito, Ignacio; Bruecker, Regina L.; Rixen, Christian; Bebi, Peter</t>
  </si>
  <si>
    <t>Snow Fungi-Induced Mortality of Pinus cembra at the Alpine Treeline: Evidence from Plantations</t>
  </si>
  <si>
    <t>GREMMENIELLA-ABIETINA; CLIMATE-CHANGE; ROCKY-MOUNTAINS; SWISS ALPS; SCOTS PINE; ALTITUDINAL TREELINE; WHITEBARK-PINE; LAND-USE; DYNAMICS; SYLVESTRIS</t>
  </si>
  <si>
    <t>Identifying the factors controlling tree mortality is key to understanding the effects of ongoing global change on treeline movement and species composition. One potentially significant but little studied factor that impacts the formation of treelines is mortality caused by snow fungi. We studied the mortality patterns of Pinus cembra, a typical treeline species of the Central Alps of Switzerland, in two plantations located on opposite slopes of the Dischma valley (Northeast [NE] and Southwest [SW]) above the current treeline. In 1975, 33,000 P. cembra trees were planted at the NE site and 550 trees at the smaller SW site. All trees have been periodically monitored for survival since then. After 30 years, only ca. 5% of all P. cembra trees survived in both plantations. Two species of pathogenic snow fungus, Gremmeniella abietina and Phacidium infestans, were major mortality agents for saplings. High rates of infection by Gremmeniella corresponded to late snowmelt and high ratios of rainfall to temperature. High rates of infection by Phacidium corresponded to earlier snowmelt and were spatially associated with P. cembra mature trees that had been present in the area before the time of planting. We provide experimental evidence that snow fungi are a primary cause of sapling tree mortality at treeline. Although additional evidence from different geographic regions and more natural treeline distributions is needed, our results suggest that the prevalence of snow fungi may prevent establishment of trees above the current treeline at present, and under future climate scenarios.</t>
  </si>
  <si>
    <t>[Barbeito, Ignacio; Bruecker, Regina L.; Rixen, Christian; Bebi, Peter] WSL Inst Snow &amp; Avalanche Res SLF, CH-7260 Davos, Switzerland; [Barbeito, Ignacio] Ctr INRA Nancy, UMR1092, Lab Etude Ressources Foret Bois LERFoB, INRA, F-54280 Champenoux, France</t>
  </si>
  <si>
    <t>Swiss Federal Institutes of Technology Domain; Swiss Federal Institute for Forest, Snow &amp; Landscape Research; INRAE; Universite de Lorraine</t>
  </si>
  <si>
    <t>Barbeito, I (corresponding author), WSL Inst Snow &amp; Avalanche Res SLF, Fluelastr 11, CH-7260 Davos, Switzerland.</t>
  </si>
  <si>
    <t>ignacio.barbeito@nancy.inra.fr</t>
  </si>
  <si>
    <t>Bebi, Peter/L-8385-2016</t>
  </si>
  <si>
    <t>Bebi, Peter/0000-0001-8868-6569; Rixen, Christian/0000-0002-2486-9988</t>
  </si>
  <si>
    <t>Gebirgsprogramm of WSL; CCES Project MOUNTLAND; Gebirgsprogramm of SLF</t>
  </si>
  <si>
    <t>We thank a large number of researchers, technicians, and students, who helped collect data and build the basis for these experiments. Specifically, we thank Walter Schonenberger, Werner Frey, and Josef Senn for providing access to monitoring data from years before our own research on Stillberg (NE site) began. Setup and monitoring of this experiment was financed by the Gebirgsprogramm of WSL and SLF; co-funding for analysis and writing was provided by the CCES Project MOUNTLAND. For critical comments on this manuscript we thank Melissa Dawes, Sonja Wipf, Veronica Lo, and two anonymous reviewers. Barbeito thanks Tanya Handa's lab at Universito du Quebec a Montreal (UQAM) for hosting him during manuscript preparation.</t>
  </si>
  <si>
    <t>10.1657/1938-4246-45.4.455</t>
  </si>
  <si>
    <t>Green Submitted, Bronze, Green Accepted</t>
  </si>
  <si>
    <t>WOS:000329533400003</t>
  </si>
  <si>
    <t>Grab, SW</t>
  </si>
  <si>
    <t>Grab, Stefan W.</t>
  </si>
  <si>
    <t>Fine-Scale Variations of Near-Surface-Temperature Lapse Rates in the High Drakensberg Escarpment, South Africa: Environmental Implications</t>
  </si>
  <si>
    <t>AIR-TEMPERATURE; CLIMATE-CHANGE; MOUNTAIN REGIONS; NORTHERN ENGLAND; RAINFALL; LESOTHO; BASIN; HUMIDITY; HIMALAYA; SYSTEMS</t>
  </si>
  <si>
    <t>The objective of this study is to determine fine-scale spatial and temporal trends in screen temperature, lapse rates, and inversions associated with the Great African Escarpment wall. Particular attention is focused on the characteristics of near-surface-temperature lapse rates, their variability associated with particular synoptic conditions, and environmental implications such as for modeling climate projections in topographic- and climatic-specific high mountain regions. Hourly temperature data were logged on northeast- and southeast-facing slopes over 12 months in 2001, in the high Drakensberg Escarpment of southern Africa, at a range of elevations including: 2650, 2900, and 3200 m a.s.l. High spatial and temporal variations in lapse rates are recorded and illustrated. A relatively low mean annual lapse rate of -0.42 degrees C 100 m between 2650 and 2900 m a.s.l. doubles to 0.84 degrees C 100 m(-1) between 2900 and 3200 m a.s.l. The frequent westerlies and tropical temperate troughs provide for high lapse rates (0.91 degrees C 100 m(-1)), which are likely responsible for the relatively high annual average lapse rate of -0.63 degrees C 100m(-1). Quantifying the fine-scale temperature trends has important implications for better understanding site-specific paleoenvironmental signatures and for projecting future climate scenarios and associated bio- and geosystem responses.</t>
  </si>
  <si>
    <t>Univ Witwatersrand, Sch Geog Archaeol &amp; Environm Studies, ZA-2050 Johannesburg, South Africa</t>
  </si>
  <si>
    <t>University of Witwatersrand</t>
  </si>
  <si>
    <t>Grab, SW (corresponding author), Univ Witwatersrand, Sch Geog Archaeol &amp; Environm Studies, P Bag 3, ZA-2050 Johannesburg, South Africa.</t>
  </si>
  <si>
    <t>Stefan.grab@wits.ac.za</t>
  </si>
  <si>
    <t>The National Research Foundation of South Africa is thanked for providing funding towards this project. Valuable input from three anonymous referees helped improve the manuscript.</t>
  </si>
  <si>
    <t>INST ARCTIC ALPINE RES</t>
  </si>
  <si>
    <t>UNIV COLORADO, BOULDER, CO 80309 USA</t>
  </si>
  <si>
    <t>10.1657/1938-4246-45.4.500</t>
  </si>
  <si>
    <t>WOS:000329533400007</t>
  </si>
  <si>
    <t>Kharuk, VI; Ranson, KJ; Im, ST; Oskorbin, PA; Dvinskaya, ML; Ovchinnikov, DV</t>
  </si>
  <si>
    <t>Kharuk, Viacheslav I.; Ranson, Kenneth J.; Im, Sergey T.; Oskorbin, Pavel A.; Dvinskaya, Maria L.; Ovchinnikov, Dmitriy V.</t>
  </si>
  <si>
    <t>Tree-Line Structure and Dynamics at the Northern Limit of the Larch Forest: Anabar Plateau, Siberia, Russia</t>
  </si>
  <si>
    <t>GLACIER-NATIONAL-PARK; SWEDISH SCANDES; CLIMATE-CHANGE; PINUS-SYLVESTRIS; POLAR URALS; TEMPERATURE; EVOLUTION; PATTERNS; MONTANA; RISE</t>
  </si>
  <si>
    <t>The goal of the study was to provide an analysis of climate impact before, during, and after the Little Ice Age (LIA) on the larch (Larix gmelinii) tree line at the northern extreme of Siberian forests. Recent decadal climate change impacts on the tree line, regeneration abundance, and age structure were analyzed. The location of the study area was within the forest-tundra ecotone (elevation range 170-450 m) in the Anabar Plateau, northern Siberia. Field studies were conducted along elevational transects. Tree natality/mortality and radial increment were determined based on dendrochronology analyses. Tree morphology, number of living and subfossil trees, regeneration abundance, and age structure were studied. Locations of pre-LIA, LIA, and post-LIA tree lines and refugia boundaries were established. Long-term climate variables and drought index were included in the analysis. It was found that tree mortality from the 16th century through the beginning of the 19th century caused a downward tree line recession. Sparse larch stands experienced deforestation, transforming into tundra with isolated relict trees. The maximum tree mortality and radial growth decrease were observed to have occurred at the beginning of 18th century. Now larch, at its northern boundary in Siberia, is migrating into tundra areas. Upward tree migration was induced by warming in the middle of the 19th century. Refugia played an important role in repopulation of the forest-tundra ecotone by providing a seed source and shelter for recruitment of larch regeneration. Currently this ecotone is being repopulated mainly by tree cohorts that were established after the 1930s. The last two decades of warming did not result in an acceleration of regeneration recruitment because of increased drought conditions. The regeneration line reached (but did not exceed) the pre-LIA tree line location, although contemporary tree heights and stand densities are comparatively lower than in the pre-LIA period. The mean rate of tree line upward migration has been about 0.35 m yr(-1) (with a range of 0.21-0.58), which translates to a tree line response to temperature of about 55 m degrees C-1.</t>
  </si>
  <si>
    <t>[Kharuk, Viacheslav I.; Im, Sergey T.; Oskorbin, Pavel A.; Dvinskaya, Maria L.; Ovchinnikov, Dmitriy V.] VN Sukachev Inst Forest, Krasnoyarsk 660036, Russia; [Ranson, Kenneth J.] NASA, Goddard Space Flight Ctr, Greenbelt, MD 20771 USA</t>
  </si>
  <si>
    <t>Russian Academy of Sciences; Krasnoyarsk Science Center of the Siberian Branch of the Russian Academy of Sciences; Sukachev Institute of Forest, Siberian Branch, Russian Academy of Sciences; National Aeronautics &amp; Space Administration (NASA); NASA Goddard Space Flight Center</t>
  </si>
  <si>
    <t>Kharuk, VI (corresponding author), VN Sukachev Inst Forest, Krasnoyarsk 660036, Russia.</t>
  </si>
  <si>
    <t>kharuk@ksc.krasn.ru</t>
  </si>
  <si>
    <t>Dvinskaya, Maria/Q-3166-2016; Ranson, Kenneth J/G-2446-2012; Im, Sergei/J-2736-2016</t>
  </si>
  <si>
    <t>Dvinskaya, Maria/0000-0002-9374-4097; Im, Sergei/0000-0002-5794-7938</t>
  </si>
  <si>
    <t>Siberian Branch of the Russian Academy of Sciences [30.33]; NASA's Earth Science Division</t>
  </si>
  <si>
    <t>Siberian Branch of the Russian Academy of Sciences(Russian Academy of Sciences); NASA's Earth Science Division</t>
  </si>
  <si>
    <t>This work was supported in part by the Siberian Branch of the Russian Academy of Sciences (#30.33) and NASA's Earth Science Division. Thanks to Joanne Howl for assistance with editing the manuscript.</t>
  </si>
  <si>
    <t>10.1657/1938-4246-45.4.526</t>
  </si>
  <si>
    <t>WOS:000329533400009</t>
  </si>
  <si>
    <t>Lento, J; Monk, WA; Culp, JM; Curry, RA; Cote, D; Luiker, E</t>
  </si>
  <si>
    <t>Lento, Jennifer; Monk, Wendy A.; Culp, Joseph M.; Curry, R. Allen; Cote, David; Luiker, Eric</t>
  </si>
  <si>
    <t>Responses of Low Arctic Stream Benthic Macroinvertebrate Communities to Environmental Drivers at Nested Spatial Scales</t>
  </si>
  <si>
    <t>FRESH-WATER ECOSYSTEMS; GLACIER-FED RIVERS; CLIMATE-CHANGE; AQUATIC ECOSYSTEMS; ECOLOGY; LANDSCAPE; HABITAT; BIODIVERSITY; CATCHMENT; VARIABLES</t>
  </si>
  <si>
    <t>We explored the importance of environmental drivers in structuring benthic macroinvertebrate communities along a spatial hierarchy (local to landscape scale) in Low Arctic stream systems that were previously unstudied. Macroinvertebrate communities from 29 sites in Low Arctic areas of northern Labrador and Quebec, Canada, were quantified by taxonomic structure and biological metrics. Environmental variables were quantified at site, reach, and catchment scales using field-collected data and geospatial information. The first three axes of Redundancy Analysis (RDA) ordinations explained 21.0-40.6% of the unconstrained variance in taxonomic structure and biological metrics. Biological data were most highly correlated with site-scale variables, but variables at each spatial scale were highly correlated with community structure. Across all scales, one of the strongest gradients involved environmental drivers that could be associated with habitat structure and instability. Abundance of the chironomid subfamily Diamesinae, a tolerant taxon in high-latitude and high-elevation systems, was highly positively associated with this habitat gradient. This hierarchical framework provides a knowledge base for the development of a sustainable long-term monitoring approach for Low Arctic aquatic ecosystems. By incorporating measures of environmental drivers at multiple spatial scales, future monitoring efforts may more effectively respond to current and future pressures on aquatic biodiversity.</t>
  </si>
  <si>
    <t>[Lento, Jennifer; Monk, Wendy A.; Culp, Joseph M.; Curry, R. Allen] Univ New Brunswick, Canadian Rivers Inst, Fredericton, NB E3B 5A3, Canada; [Monk, Wendy A.; Culp, Joseph M.; Luiker, Eric] Univ New Brunswick, Environm Canada, Canadian Rivers Inst, Fredericton, NB E3B 5A3, Canada; [Cote, David] Pk Canada, Glovertown, NF A0G 2L0, Canada</t>
  </si>
  <si>
    <t>University of New Brunswick; Environment &amp; Climate Change Canada; University of New Brunswick</t>
  </si>
  <si>
    <t>Lento, J (corresponding author), Univ New Brunswick, Canadian Rivers Inst, POB 4400,10 Bailey Dr, Fredericton, NB E3B 5A3, Canada.</t>
  </si>
  <si>
    <t>jlento@gmail.com</t>
  </si>
  <si>
    <t>Curry, R. Allen/ABG-3515-2020; Lento, Jennifer/Y-4082-2019</t>
  </si>
  <si>
    <t>Curry, R. Allen/0000-0002-7083-9878; Lento, Jennifer/0000-0002-8098-4825; Monk, Wendy/0000-0001-9031-5433</t>
  </si>
  <si>
    <t>International Polar Year grant from Environment Canada; International Polar Year grant from Natural Sciences and Engineering Research Council of Canada</t>
  </si>
  <si>
    <t>International Polar Year grant from Environment Canada; International Polar Year grant from Natural Sciences and Engineering Research Council of Canada(Natural Sciences and Engineering Research Council of Canada (NSERC))</t>
  </si>
  <si>
    <t>We are grateful for the superb technical assistance of C. Burden, A. Chute, D. Halliwell, K. Heard, D. Hryn, M. Gautreau, C. Logan, J. McPhee, A. Ritcey, and R. Smedley. The management team and staff at the kANGIDLUASUk Base Camp provided critical logistic support that made the research possible. We are particularly indebted to A. Simpson, T. Knight, T. Sheldon, J. Sweetman, and D. McLennan of Parks Canada, and the base camp management team. A special thank you is extended to J. Anderson, B. Barbour, K. Dicker Jr., R. Harris, H. Haye, J. Merkuratsuk, E. Merkuratsuk, and J. Webb, who served as bear monitors for our field crews. Helicopter support was provided by P. Duncan and D. Simoneau of Nunavik Rotors Inc., Kuujjuaq, Quebec. Additional transportation support for sampling was provided by the crew of the long liner, What's Happening. We acknowledge Geogratis and Geobase and the data sources within for provision of geospatial data. Funding to Culp and Curry was provided through International Polar Year grants from Environment Canada and the Natural Sciences and Engineering Research Council of Canada, respectively. Lento and Monk received PDF support from the Canadian Rivers Institute. Constructive comments from several reviewers improved earlier manuscript drafts.</t>
  </si>
  <si>
    <t>10.1657/1938-4246-45.4.538</t>
  </si>
  <si>
    <t>WOS:000329533400010</t>
  </si>
  <si>
    <t>Park, JS; Ahn, IY; Lee, EJ</t>
  </si>
  <si>
    <t>Park, Jeong Soo; Ahn, In-Young; Lee, Eun Ju</t>
  </si>
  <si>
    <t>Spatial Distribution Patterns of the Antarctic Hair Grass Deschampsia antarctica in Relation to Environmental Variables on Barton Peninsula, King George Island</t>
  </si>
  <si>
    <t>SOIL PROPERTIES; VASCULAR PLANTS; RED HERRINGS; VEGETATION; AUTOCORRELATION; POPULATION; STATION; REPRODUCTION; TOPOGRAPHY; DYNAMICS</t>
  </si>
  <si>
    <t>Understanding the patterns in species distribution and abundance along environmental gradients is a keystone in field ecological study. Because the Antarctic terrestrial communities are simple, they provide a suitable opportunity for studying species distribution patterns in relation to environmental gradients. We applied diverse geostatistic methods and classical statistic descriptors to analyze the spatial patterns of several variables, such as Deschampsia antarctica abundance, moss cover, topography, and soil physical and chemical properties. Directional semivariograms and kriged maps showed that strong anisotropy in a topographic variable was reflected in the soil variables. Especially, soil texture and moss cover were correlated with elevation, and electric conductivity and Na+ were influenced by the distance from the shoreline. Furthermore, the heavy snowfall in 2009 evidently affected the survival of the grass. A short growing period and waterlogging induced by heavy snowfall may limit survival of D. antarctica and the amount of snowfall can be a important factor limiting the grass expansion.</t>
  </si>
  <si>
    <t>[Park, Jeong Soo; Lee, Eun Ju] Seoul Natl Univ, Sch Biol Sci, Seoul 151742, South Korea; [Ahn, In-Young] Korea Polar Res Inst, Inchon 406840, South Korea</t>
  </si>
  <si>
    <t>Seoul National University (SNU); Korea Polar Research Institute (KOPRI); Korea Institute of Ocean Science &amp; Technology (KIOST)</t>
  </si>
  <si>
    <t>Lee, EJ (corresponding author), Seoul Natl Univ, Sch Biol Sci, Seoul 151742, South Korea.</t>
  </si>
  <si>
    <t>ejlee@snu.ac.kr</t>
  </si>
  <si>
    <t>lee, wj/JNR-4926-2023; Lee, Eun-ju/JAN-8749-2023</t>
  </si>
  <si>
    <t>Korea Polar Research Institute grant Status and Changes of Polar Indicator Species and Coastal/Terrestrial Ecosystems [PE10040]</t>
  </si>
  <si>
    <t>Korea Polar Research Institute grant Status and Changes of Polar Indicator Species and Coastal/Terrestrial Ecosystems</t>
  </si>
  <si>
    <t>We are very grateful to all the staff of King Sejong Station for their cooperation and hospitality. We thank Namyi Chae, Ji bee Kim, and Bang Yong Lee for providing the weather information and valuable comments. This research was supported by Korea Polar Research Institute grant Status and Changes of Polar Indicator Species and Coastal/Terrestrial Ecosystems (PE10040).</t>
  </si>
  <si>
    <t>10.1657/1938-4246-45.4.563</t>
  </si>
  <si>
    <t>WOS:000329533400012</t>
  </si>
  <si>
    <t>Cohn, SA; Hock, T; Cocquerez, P; Wang, JH; Rabier, F; Parsons, D; Harr, P; Wu, CC; Drobinski, P; Karbou, F; Vénel, S; Vargas, A; Fourrié, N; Saint-Ramond, N; Guidard, V; Doerenbecher, A; Hsu, HH; Lin, PH; Chou, MD; Redelsperger, JL; Martin, C; Fox, J; Potts, N; Young, K; Cole, H</t>
  </si>
  <si>
    <t>Cohn, Stephen A.; Hock, Terry; Cocquerez, Philippe; Wang, Junhong; Rabier, Florence; Parsons, David; Harr, Patrick; Wu, Chun-Chieh; Drobinski, Philippe; Karbou, Fatima; Venel, Stephanie; Vargas, Andre; Fourrie, Nadia; Saint-Ramond, Nathalie; Guidard, Vincent; Doerenbecher, Alexis; Hsu, Huang-Hsiung; Lin, Po-Hsiung; Chou, Ming-Dah; Redelsperger, Jean-Luc; Martin, Charlie; Fox, Jack; Potts, Nick; Young, Kathryn; Cole, Hal</t>
  </si>
  <si>
    <t>DRIFTSONDES Providing In Situ Long-Duration Dropsonde Observations over Remote Regions</t>
  </si>
  <si>
    <t>TROPICAL CYCLONES; EXTRATROPICAL TRANSITION; DOWNSTREAM IMPACTS; AFRICAN MONSOON; ANTARCTICA; GUIDANCE; DOTSTAR; PROJECT</t>
  </si>
  <si>
    <t>Constellations of driftsonde systems gondolas floating in the stratosphere and able to release dropsondes upon command have so far been used in three major field experiments from 2006 through 2010. With them, high-quality, high-resolution, in situ atmospheric profiles were made over extended periods in regions that are otherwise very difficult to observe. The measurements have unique value for verifying and evaluating numerical weather prediction models and global data assimilation systems; they can be a valuable resource to validate data from remote sensing instruments, especially on satellites, but also airborne or ground-based remote sensors. These applications for models and remote sensors result in a powerful combination for improving data assimilation systems. Driftsondes also can support process studies in otherwise difficult locationsfor example, to study factors that control the development or decay of a tropical disturbance, or to investigate the lower boundary layer over the interior Antarctic continent. The driftsonde system is now a mature and robust observing system that can be combined with flight-level data to conduct multidisciplinary research at heights well above that reached by current research aircraft. In this article we describe the development and capabilities of the driftsonde system, the exemplary science resulting from its use to date, and some future applications.</t>
  </si>
  <si>
    <t>[Cohn, Stephen A.; Hock, Terry; Wang, Junhong; Martin, Charlie; Fox, Jack; Potts, Nick; Young, Kathryn; Cole, Hal] Natl Ctr Atmospher Res, Boulder, CO 80307 USA; [Cocquerez, Philippe; Venel, Stephanie; Vargas, Andre] Ctr Natl Etud Spatiales, F-31055 Toulouse, France; [Rabier, Florence; Karbou, Fatima; Fourrie, Nadia; Saint-Ramond, Nathalie; Guidard, Vincent; Doerenbecher, Alexis] Meteo France, CNRM GAME, Toulouse, France; [Rabier, Florence; Karbou, Fatima; Fourrie, Nadia; Saint-Ramond, Nathalie; Guidard, Vincent; Doerenbecher, Alexis] CNRS, Toulouse, France; [Parsons, David] Univ Oklahoma, Norman, OK 73019 USA; [Harr, Patrick] Naval Postgrad Sch, Monterey, CA USA; [Wu, Chun-Chieh; Lin, Po-Hsiung] Natl Taiwan Univ, Taipei 10764, Taiwan; [Drobinski, Philippe] Ecole Polytech, CNRS, F-91128 Palaiseau, France; [Hsu, Huang-Hsiung] Acad Sinica, Res Ctr Environm Change, Taipei 115, Taiwan; [Chou, Ming-Dah] Natl Cent Univ, Chungli 32054, Taiwan; [Redelsperger, Jean-Luc] UBO, IRD, IFREMER, CNRS,Lab Phys Oceans, Plouzane, France</t>
  </si>
  <si>
    <t>National Center Atmospheric Research (NCAR) - USA; Centre National de la Recherche Scientifique (CNRS); Meteo France; Centre National de la Recherche Scientifique (CNRS); University of Oklahoma System; University of Oklahoma - Norman; United States Department of Defense; United States Navy; Naval Postgraduate School; National Taiwan University; Centre National de la Recherche Scientifique (CNRS); Institut Polytechnique de Paris; Academia Sinica - Taiwan; National Central University; Centre National de la Recherche Scientifique (CNRS); Ifremer; Institut de Recherche pour le Developpement (IRD); Universite de Bretagne Occidentale; Institut Universitaire Europeen de la Mer (IUEM)</t>
  </si>
  <si>
    <t>Cohn, SA (corresponding author), Natl Ctr Atmospher Res, POB 3000, Boulder, CO 80307 USA.</t>
  </si>
  <si>
    <t>cohn@ucar.edu</t>
  </si>
  <si>
    <t>GUIDARD, Vincent/X-3762-2019; Wang, JunHong/HKE-0286-2023; Hsu, Huang-Hsiung/AAP-3878-2021; Jean-Luc, Redelsperger/L-4021-2015; Parsons, David B./N-6693-2019; Cohn, Stephen/GQH-2637-2022; Karbou, Fatima/AAF-1870-2019</t>
  </si>
  <si>
    <t>GUIDARD, Vincent/0000-0002-4136-3962; Hsu, Huang-Hsiung/0000-0001-9919-4404; Jean-Luc, Redelsperger/0000-0001-7076-8697; Karbou, Fatima/0000-0003-3499-2557; Wu, Chun-Chieh/0000-0002-3612-4537; LIN, PO-HSIUNG/0000-0002-6410-6221; Parsons, David/0000-0002-7642-1085; Rabier, Florence/0000-0002-3222-6712</t>
  </si>
  <si>
    <t>National Science Foundation's Division of Atmospheric and Geospace Sciences; Office of Polar Programs [ATM-0301213, ATM-9732665, ANT-0733007, ANT-1002057, AGS-0736003]; National Oceanic and Atmospheric Administration [NA17GP1376]; National Science Council of Taiwan [NSC 96-2745-M-002-004, NSC 97-2111-M-002-005, NSC 97-2111-M-002-016-MY3]; Taiwan Central Weather Bureau [MOTC-CWB-97-6M-01]; Office of Naval Research [N00173-08-1-G007, N00014-09-WR20008]; national THORPEX project office; NSF through U.S. THORPEX project Office; Lower Atmospheric Observing Facilities; international THORPEX project office; Office of Polar Programs (OPP); Directorate For Geosciences [1143790] Funding Source: National Science Foundation</t>
  </si>
  <si>
    <t>National Science Foundation's Division of Atmospheric and Geospace Sciences; Office of Polar Programs(National Science Foundation (NSF)NSF - Directorate for Geosciences (GEO)); National Oceanic and Atmospheric Administration(National Oceanic Atmospheric Admin (NOAA) - USA); National Science Council of Taiwan(Ministry of Science and Technology, Taiwan); Taiwan Central Weather Bureau; Office of Naval Research(Office of Naval Research); national THORPEX project office; NSF through U.S. THORPEX project Office; Lower Atmospheric Observing Facilities; international THORPEX project office; Office of Polar Programs (OPP); Directorate For Geosciences(National Science Foundation (NSF)NSF - Directorate for Geosciences (GEO))</t>
  </si>
  <si>
    <t>We are grateful for funding support from the National Science Foundation's Division of Atmospheric and Geospace Sciences and Office of Polar Programs (Grants ATM-0301213, ATM-9732665, ANT-0733007, ANT-1002057, and AGS-0736003), the National Oceanic and Atmospheric Administration (Grant NA17GP1376), the National Science Council of Taiwan (Grants NSC 96-2745-M-002-004, NSC 97-2111-M-002-005, and NSC 97-2111-M-002-016-MY3), the Taiwan Central Weather Bureau (Grant MOTC-CWB-97-6M-01), the Office of Naval Research (Grants N00173-08-1-G007 and N00014-09-WR20008), and the support of the national and international THORPEX project offices. NSF further supported these field projects through their support of the U.S. THORPEX project Office, and the Lower Atmospheric Observing Facilities.</t>
  </si>
  <si>
    <t>10.1175/BAMS-D-12-00075.1</t>
  </si>
  <si>
    <t>265CG</t>
  </si>
  <si>
    <t>WOS:000327926700005</t>
  </si>
  <si>
    <t>Simpson, SL; Spadaro, DA; O'Brien, D</t>
  </si>
  <si>
    <t>Simpson, Stuart L.; Spadaro, David A.; O'Brien, Dom</t>
  </si>
  <si>
    <t>Incorporating bioavailability into management limits for copper in sediments contaminated by antifouling paint used in aquaculture</t>
  </si>
  <si>
    <t>CHEMOSPHERE</t>
  </si>
  <si>
    <t>Sediment quality guidelines; Chronic toxicity; Risk assessment; Antifoulant; Fish</t>
  </si>
  <si>
    <t>AMPHIPOD REPRODUCTION TEST; ACID-VOLATILE SULFIDE; BENTHIC INVERTEBRATES; RISK-ASSESSMENT; METAL TOXICITY; CADMIUM; ZINC; BIOACCUMULATION; GUIDELINES; RELEASE</t>
  </si>
  <si>
    <t>Although now well embedded within many risk-based sediment quality guideline (SQG) frameworks, contaminant bioavailability is still often overlooked in assessment and management of contaminated sediments. To optimise management limits for metal contaminated sediments, we assess the appropriateness of a range methods for modifying SQGs based on bioavailability considerations. The impairment of reproduction of the amphipod, Melita plumulosa, and harpacticoid copepod, Nitocra spinipes, was assessed for sediments contaminated with copper from antifouling paint, located below aquaculture cages. The measurement of dilute acid-extractable copper (AE-Cu) was found to provide the most useful means for monitoring the risks posed by sediment copper and setting management limits. Acid-volatile sulfide was found to be ineffective as a SQG-modifying factor as these organisms live mostly at the more oxidised sediment water interface. SQGs normalised to %-silt/organic carbon were effective, but the benefits gained were too small to justify this approach. The effectiveness of SQGs based on AE-Cu was attributed to a small portion of the total copper being present in potentially bioavailable forms (typically &lt;10% of the total). Much of the non-bioavailable form of copper was likely present as paint flakes in the form of copper (I) oxide, the active ingredient of the antifoulant formulation. While the concentrations of paint-associated copper are very high in some sediments, as the transformation of this form of copper to AE-Cu appears slow, monitoring and management limits should assess the more bioavailable AE-Cu forms, and further efforts be made to limit the release of paint particles into the environment. Crown Copyright (C) 2013 Published by Elsevier Ltd. All rights reserved.</t>
  </si>
  <si>
    <t>[Simpson, Stuart L.; Spadaro, David A.] CSIRO Land &amp; Water, Ctr Environm Contaminants Res, Kirrawee, NSW 2232, Australia; [O'Brien, Dom] Huon Aquaculture Grp, Dover, Tas 7117, Australia</t>
  </si>
  <si>
    <t>Simpson, SL (corresponding author), CSIRO Land &amp; Water, Ctr Environm Contaminants Res, Locked Bag 2007, Kirrawee, NSW 2232, Australia.</t>
  </si>
  <si>
    <t>stuart.simpson@csiro.au</t>
  </si>
  <si>
    <t>Simpson, Stuart L/JCE-1589-2023; Simpson, Stuart L/A-6044-2011</t>
  </si>
  <si>
    <t>Simpson, Stuart L/0000-0003-1759-0564</t>
  </si>
  <si>
    <t>CSIRO Wealth from Oceans Flagship; Fisheries Research and Development Corporation [FRDC 2011-041 IMAS]</t>
  </si>
  <si>
    <t>CSIRO Wealth from Oceans Flagship(Commonwealth Scientific &amp; Industrial Research Organisation (CSIRO)); Fisheries Research and Development Corporation</t>
  </si>
  <si>
    <t>This research was funded by the CSIRO Wealth from Oceans Flagship and a grant from the Fisheries Research and Development Corporation (FRDC 2011-041 IMAS Study). Ian Hamilton is thanked for assisting with the analyses and bioassays. Dom O'Brien and Cameron Dalgleish on behalf of Huon Aquaculture and Tassal Group coordinated collection and transport of the sediments to CSIRO. Ian Hamilton and Chad Jarolimek (CSIRO Land and Water) is thanked for contributions to the sample analyses and tests. We thank Graeme Batley (CSIRO), Lisa Golding (CSIRO), Marie Jesus Belzunce Segarra (AZTI - Tecnalia, Spain), Catriona McLeod and Ruth Erikson (Institute for Marine &amp; Antarctic Studies - Fisheries, Aquaculture &amp; Coasts Division (IMAS-FAC), University of Tasmania), and Graham Woods and Erik Brain (Department of Primary Industries, Parks, Water and Environment, Tasmania) for reviewing of this study.</t>
  </si>
  <si>
    <t>0045-6535</t>
  </si>
  <si>
    <t>1879-1298</t>
  </si>
  <si>
    <t>Chemosphere</t>
  </si>
  <si>
    <t>10.1016/j.chemosphere.2013.08.100</t>
  </si>
  <si>
    <t>260AE</t>
  </si>
  <si>
    <t>WOS:000327566600039</t>
  </si>
  <si>
    <t>Reed, AJ; Morris, JP; Linse, K; Thatje, S</t>
  </si>
  <si>
    <t>Reed, Adam J.; Morris, James P.; Linse, Katrin; Thatje, Sven</t>
  </si>
  <si>
    <t>Plasticity in shell morphology and growth among deep-sea protobranch bivalves of the genus Yoldiella (Yoldiidae) from contrasting Southern Ocean regions</t>
  </si>
  <si>
    <t>Antarctic; Bivalve; Plasticity; Growth; Morphology; Southern Ocean</t>
  </si>
  <si>
    <t>POPULATION DIFFERENTIATION DECREASES; PENINSULA CONTINENTAL-SHELF; ANTARCTIC ICE-SHEET; SEDIMENT FOOD BANK; SIGNY ISLAND; WEDDELL SEA; LATERNULA-ELLIPTICA; EPIBENTHIC SLEDGE; ROSS SEA; ATLANTIC</t>
  </si>
  <si>
    <t>The ecology of Antarctic deep-sea fauna is poorly understood and few studies have gone beyond assessing biodiversity when comparing deep regions of the Southern Ocean. Protobranch bivalves are ubiquitous in the deep ocean and are widely distributed in the Southern Ocean. This paper examines the potential responses to environmental differences in the common protobranchs Yoldiella valettei, Yoldiella ecaudata, and Yoldiella sabrina from contrasting deep-sea environments of the Weddell Sea, Scotia Sea, Amundsen Sea, and South Atlantic. There are significant differences in morphology between deep-sea regions in all species and a significant difference in shell weight in Y. valettei between the Amundsen Sea and Weddell Seas. Growth rates of Y valettei and Y ecaudata in the Amundsen Sea are also higher than elsewhere and Y valettei have heaviest shells in the Amundsen Sea, suggesting more favourable conditions for calcification and growth. The plasticity observed among deep-sea regions in the Southern Ocean is likely to be driven by different oceanographic influences affecting temperature and food fluxes to the benthos, and demonstrate the species' ability to differentially adapt between cold-stenothermal environments. This study suggests that subtle changes in the environment may lead to a divergence in the ecology of invertebrate populations and showcases the protobranch bivalves as a future model group for the study of speciation and radiation processes through cold-stenothermal environments. (c) 2013 Elsevier Ltd. All rights reserved.</t>
  </si>
  <si>
    <t>[Reed, Adam J.; Morris, James P.; Thatje, Sven] Univ Southampton, Natl Oceanog Ctr, Southampton SO14 3ZH, Hants, England; [Linse, Katrin] British Antarctic Survey, NERC, Cambridge CB3 0ET, England</t>
  </si>
  <si>
    <t>University of Southampton; NERC National Oceanography Centre; UK Research &amp; Innovation (UKRI); Natural Environment Research Council (NERC); NERC British Antarctic Survey</t>
  </si>
  <si>
    <t>Reed, AJ (corresponding author), Univ Southampton, Natl Oceanog Ctr, European Way, Southampton SO14 3ZH, Hants, England.</t>
  </si>
  <si>
    <t>ajr104@soton.ac.uk</t>
  </si>
  <si>
    <t>; Reed, Adam/Q-7276-2017</t>
  </si>
  <si>
    <t>Morris, James/0000-0002-4804-3312; Reed, Adam/0000-0003-2200-5067; Linse, Katrin/0000-0003-3477-3047</t>
  </si>
  <si>
    <t>Natural Environment Research Council; NERC, ANDEEP; SCAR 'EBA' programme; Natural Environment Research Council [bas0100026] Funding Source: researchfish; NERC [bas0100026] Funding Source: UKRI</t>
  </si>
  <si>
    <t>Natural Environment Research Council(UK Research &amp; Innovation (UKRI)Natural Environment Research Council (NERC)); NERC, ANDEEP(UK Research &amp; Innovation (UKRI)Natural Environment Research Council (NERC)); SCAR 'EBA' programme; Natural Environment Research Council(UK Research &amp; Innovation (UKRI)Natural Environment Research Council (NERC)); NERC(UK Research &amp; Innovation (UKRI)Natural Environment Research Council (NERC))</t>
  </si>
  <si>
    <t>Adam J. Reed was supported through a Natural Environment Research Council PhD studentship. We are grateful to the cruise leaders, captains, officers and crews of PFS Polarstern (ANT XIX/3&amp;4 ANDEEP I&amp;II, ANT XIX/5 LAMPOS, ANT XXI/2 BENDEX, ANT XXII/3 ANDEEP III) and of RRS James Clark Ross (JR 144 BIOPEARL I, JR179 BIOPEARL II) who enabled us to collect the samples for this study. We thank Huw Griffiths (BAS) for providing the map and Richard Pearce (UoS) for help with SEM analysis. This paper is a contribution to British Antarctic Survey core project `EVOLHIST' with financial support from NERC, ANDEEP, and linked with the SCAR 'EBA' programme.</t>
  </si>
  <si>
    <t>10.1016/j.dsr.2013.07.006</t>
  </si>
  <si>
    <t>235RJ</t>
  </si>
  <si>
    <t>WOS:000325738100002</t>
  </si>
  <si>
    <t>Saunders, RA; Fielding, S; Thorpe, SE; Tarling, GA</t>
  </si>
  <si>
    <t>Saunders, Ryan A.; Fielding, Sophie; Thorpe, Sally E.; Tarling, Geraint A.</t>
  </si>
  <si>
    <t>School characteristics of mesopelagic fish at South Georgia</t>
  </si>
  <si>
    <t>Acoustics; Myctophid fish; Predator foraging; Schooling behaviour; South Georgia</t>
  </si>
  <si>
    <t>KRILL EUPHAUSIA-SUPERBA; SCOTIA SEA; ANTARCTIC KRILL; APTENODYTES-PATAGONICUS; TEMPORAL VARIABILITY; MARTIALIA-HYADESI; MYCTOPHID FISHES; FEEDING ECOLOGY; KING PENGUINS; SUMMER</t>
  </si>
  <si>
    <t>In this paper, we describe the variation in myctophid schools characteristics at South Georgia using multifrequency acoustic data collected annually between November 2007 and January 2012. We studied the relationship between the proximity of land and the distribution and schooling characteristics of myctophid fish. We also examined patterns in schooling behaviour in relation to oceanographic data. Fish schools were identified using a dual-frequency dB identification method (Sv120-38 kHz), where negative Sv120-38 kHz is indicative of gas-bearing organisms, such as swimbladdered fish. Available net data were used to provide information on the meosopelagic fish community in the region. School morphometrics (e.g. length, thickness, area) data were extracted and pooled according to their distance from the shore (0-30 km, 30-60 km, 60-90 km, 90-120 km). A total of 578 schools were detected in the survey region and there was high variation in school backscattering strength (NASC), length, height, perimeter, depth and horizontal distribution between surveys, including distinct inter-annual variation in these parameters when surveys were conducted in the same season (2009-2012). Schools were distributed predominantly on-shelf (0-500 m isobaths) during some summer surveys (2007 and 2012) and predominantly off-shelf on others ( &gt; 500 m isobaths; 2009,2010 and 2011). There was also evidence of bathymetric separation in the horizontal distribution of schools. Schools observed in the late-season in 2008 had the greatest NASC, largest height and the deepest depth distribution. Most schools occurred at depths between similar to 60 and 300 m, but they did not occupy the same water masses during each survey. Schools became progressively thinner, shallower and acoustically weaker with increasing distance to land, whilst school length and perimeter increased correspondingly. The change in fish schooling behaviour between environments could be a response to a combination of local predatory threats over short spatial/temporal scales and differences in oceanographic conditions, such as current velocity. The trend could also be evidence of spatial habitat partitioning of myctophids, with different schooling species, or different life-stages, orientating along a bathymetric gradient at South Georgia. (c) 2013 Elsevier Ltd. All rights reserved.</t>
  </si>
  <si>
    <t>[Saunders, Ryan A.; Fielding, Sophie; Thorpe, Sally E.; Tarling, Geraint A.] British Antarctic Survey, NERC, Cambridge CB3 0ET, England</t>
  </si>
  <si>
    <t>Saunders, RA (corresponding author), British Antarctic Survey, NERC, High Cross,Madingley Rd, Cambridge CB3 0ET, England.</t>
  </si>
  <si>
    <t>ryaund@bas.ac.uk</t>
  </si>
  <si>
    <t>Fielding, Sophie/E-5137-2012</t>
  </si>
  <si>
    <t>BAS Ecosystems Long-term Monitoring and Surveys programme; NERC [bas010020, bas0100025] Funding Source: UKRI; Natural Environment Research Council [bas0100025, bas010020] Funding Source: researchfish</t>
  </si>
  <si>
    <t>BAS Ecosystems Long-term Monitoring and Surveys programme; NERC(UK Research &amp; Innovation (UKRI)Natural Environment Research Council (NERC)); Natural Environment Research Council(UK Research &amp; Innovation (UKRI)Natural Environment Research Council (NERC))</t>
  </si>
  <si>
    <t>This work was funded as part of the BAS Ecosystems Long-term Monitoring and Surveys programme. We are grateful to the officers, crew and scientist on RRS James Clark Ross for their assistance with the sampling programme. We also thank D. Connor for compiling CTD data, T. Klevjer for assistance with programming greatest circle algorithms in R, M. Biszczuk for assistance with the spatial analyses, and M. Belchier for constructive comments on this manuscript. We thank three anonymous reviewers for their helpful comments that improved the manuscript.</t>
  </si>
  <si>
    <t>10.1016/j.dsr.2013.07.007</t>
  </si>
  <si>
    <t>WOS:000325738100006</t>
  </si>
  <si>
    <t>Sun, LG; Emslie, SD; Huang, T; Blais, JM; Xie, ZQ; Liu, XD; Yin, XB; Wang, YH; Huang, W; Hodgson, DA; Smol, JP</t>
  </si>
  <si>
    <t>Sun, L. G.; Emslie, S. D.; Huang, T.; Blais, J. M.; Xie, Z. Q.; Liu, X. D.; Yin, X. B.; Wang, Y. H.; Huang, W.; Hodgson, D. A.; Smol, J. P.</t>
  </si>
  <si>
    <t>Vertebrate records in polar sediments: Biological responses to past climate change and human activities</t>
  </si>
  <si>
    <t>EARTH-SCIENCE REVIEWS</t>
  </si>
  <si>
    <t>Polar; Pygoscelid penguins; Seals; Ornithogenic sediments; Biovectors; Anthropogenic impacts</t>
  </si>
  <si>
    <t>ABANDONED PENGUIN COLONIES; KING-GEORGE-ISLAND; ROSS SEA; LATE-HOLOCENE; POPULATION-DYNAMICS; PYGOSCELIS-PAPUA; ADELIE PENGUINS; SEABIRD COLONY; MARGUERITE BAY; DEVON ISLAND</t>
  </si>
  <si>
    <t>Biological responses to climate and environmental changes in remote polar regions are of increasing interest in global change research. Terrestrial and marine polar ecosystems have suffered from impacts of both rapid climate change and intense human activities, and large fluctuations in the population sizes of seabirds, seals, and Antarctic krill have been observed in the past decades. To understand the mechanisms driving these regime shifts in polar ecosystems, it is important to first distinguish the influences of natural forcing from anthropogenic activities. Therefore, investigations of past changes of polar ecosystems prior to human contact are relevant for placing recent human-induced changes within a long-term historical context. Here we focus our review on the fossil, sub-fossil, archaeological, and biogeochemical remains of marine vertebrates in polar sediments. These remains include well-preserved tissues such as bones, hairs and feathers, and biogeochemical markers and other proxy indicators, including deposits of guano and excrement, which can accumulate in lake and terrestrial sediments over thousands of years. Analyses of these remains have provided insight into both natural and anthropogenic impacts on marine vertebrates over millennia and have helped identify the causal agents for these impacts. Furthermore, land-based seabirds and marine mammals have been shown to play an important role as bio-vectors in polar environments as they transport significant amounts of nutrients and anthropogenic contaminants between ocean and terrestrial ecosystems. (C) 2013 The Authors. Published by Elsevier B.V. All rights reserved.</t>
  </si>
  <si>
    <t>[Sun, L. G.; Huang, T.; Xie, Z. Q.; Liu, X. D.; Yin, X. B.; Wang, Y. H.; Huang, W.] Univ Sci &amp; Technol China, Sch Earth &amp; Space Sci, Inst Polar Environm, Hefei 230026, Peoples R China; [Emslie, S. D.] Univ N Carolina, Dept Biol &amp; Marine Biol, Wilmington, NC USA; [Blais, J. M.] Univ Ottawa, Dept Biol, Program Chem &amp; Environm, Ottawa, ON, Canada; [Hodgson, D. A.] British Antarctic Survey, Cambridge CB3 0ET, England; [Smol, J. P.] Queens Univ, Dept Biol, Paleoecol Environm Assessment &amp; Res Lab, Kingston, ON K7L 3N6, Canada</t>
  </si>
  <si>
    <t>Chinese Academy of Sciences; University of Science &amp; Technology of China, CAS; University of North Carolina; University of North Carolina Wilmington; University of Ottawa; UK Research &amp; Innovation (UKRI); Natural Environment Research Council (NERC); NERC British Antarctic Survey; Queens University - Canada</t>
  </si>
  <si>
    <t>Sun, LG (corresponding author), Univ Sci &amp; Technol China, Sch Earth &amp; Space Sci, Inst Polar Environm, Hefei 230026, Peoples R China.</t>
  </si>
  <si>
    <t>sIg@ustc.edu.cn</t>
  </si>
  <si>
    <t>Smol, John P/A-8838-2015; Blais, Jules/AAV-2321-2020; xie, zhouqing/P-9661-2019</t>
  </si>
  <si>
    <t>Blais, Jules/0000-0002-7188-3598; Smol, John/0000-0002-2499-6696</t>
  </si>
  <si>
    <t>NSFC [40076032, 40476001, 40676004, 40730107]; Chinese Polar Environment Comprehensive Investigation AMP; Assessment Programmes [CHINARE2013-02-01-03]; International Cooperation in Polar Research support by CAA [IC201305]; Natural Sciences and Engineering Research Council; Polar Continental Shelf Program; UK Natural Environment Research Council; Natural Environment Research Council [bas0100024] Funding Source: researchfish; NERC [bas0100024] Funding Source: UKRI; Directorate For Geosciences; Office of Polar Programs (OPP) [0739575] Funding Source: National Science Foundation</t>
  </si>
  <si>
    <t>NSFC(National Natural Science Foundation of China (NSFC)); Chinese Polar Environment Comprehensive Investigation AMP; Assessment Programmes; International Cooperation in Polar Research support by CAA; Natural Sciences and Engineering Research Council(Natural Sciences and Engineering Research Council of Canada (NSERC)); Polar Continental Shelf Program; UK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 Directorate For Geosciences; Office of Polar Programs (OPP)(National Science Foundation (NSF)NSF - Directorate for Geosciences (GEO))</t>
  </si>
  <si>
    <t>The authors are grateful to the Chinese Arctic and Antarctic Administration (CAA) and Australian Antarctic Division for logistical support in the field work. Most of our works in this paper were funded successively by NSFC (No. 40076032, 40476001, 40676004 and 40730107) and the Chinese Polar Environment Comprehensive Investigation &amp; Assessment Programmes (CHINARE2013-02-01-03) and the International Cooperation in Polar Research support by CAA (IC201305). The Canadian research was primarily funded by the Natural Sciences and Engineering Research Council and the Polar Continental Shelf Program and the UK research by the UK Natural Environment Research Council. Helpful comments on the manuscript were provided by anonymous reviews as well as by Neal Michelutti.</t>
  </si>
  <si>
    <t>0012-8252</t>
  </si>
  <si>
    <t>1872-6828</t>
  </si>
  <si>
    <t>EARTH-SCI REV</t>
  </si>
  <si>
    <t>Earth-Sci. Rev.</t>
  </si>
  <si>
    <t>10.1016/j.earscirev.2013.08.004</t>
  </si>
  <si>
    <t>278YC</t>
  </si>
  <si>
    <t>WOS:000328924800008</t>
  </si>
  <si>
    <t>Sokol, ER; Herbold, CW; Lee, CK; Cary, SC; Barrett, JE</t>
  </si>
  <si>
    <t>Sokol, Eric R.; Herbold, Craig W.; Lee, Charles K.; Cary, S. Craig; Barrett, J. E.</t>
  </si>
  <si>
    <t>Local and regional influences over soil microbial metacommunities in the Transantarctic Mountains</t>
  </si>
  <si>
    <t>ECOSPHERE</t>
  </si>
  <si>
    <t>Antarctica; beta diversity; biogeography; diversity partitioning; McMurdo Dry Valleys; metacommunities; soil microbial ecology; Transantarctic Mountains; variation partitioning</t>
  </si>
  <si>
    <t>MCMURDO DRY VALLEYS; SOUTHERN VICTORIA LAND; ROSS SEA REGION; CYANOBACTERIAL DIVERSITY; TAYLOR VALLEY; COMMUNITY COMPOSITION; BACTERIAL DIVERSITY; ECOLOGICAL DATA; DISPERSAL; BIOGEOGRAPHY</t>
  </si>
  <si>
    <t>The metacommunity concept provides a useful framework to assess the influence of local and regional controls over diversity patterns. Culture-independent studies of soil microbial communities in the McMurdo Dry Valleys of East Antarctica (77 degrees S) have shown that bacterial diversity is related to soil geochemical gradients, while studies targeting edaphic cyanobacteria have linked local diversity patterns to dispersal-based processes. In this study, we increased the spatial extent of observed soil microbial communities to cover the Beardmore Glacier region in the central Transantarctic Mountains (84 degrees S). We used community profiling techniques to characterize diversity patterns for bacteria and the cyanobacterial subcomponent of the microbial community. Diversity partitioning was used to calculate beta diversity and estimate among-site dissimilarity in the metacommunity. We then used variation partitioning to assess the relationship between beta diversity and environmental and spatial gradients. We found that dominant groups in the soil bacterial metacommunity were influenced by gradients in pH and soil moisture at the Transantarctic scale (800 km). Conversely, beta diversity for the cyanobacterial component of the edaphic microbial metacommunity was decoupled from these environmental gradients, and was more related to spatial filters, suggesting that wind-driven dispersal dynamics created cyanobacterial biogeography at a local scale (&lt;3 km).</t>
  </si>
  <si>
    <t>[Sokol, Eric R.; Barrett, J. E.] Virginia Polytech Inst &amp; State Univ, Dept Biol Sci, Blacksburg, VA 24060 USA; [Herbold, Craig W.; Lee, Charles K.; Cary, S. Craig] Univ Waikato, Dept Biol Sci, Hamilton, New Zealand; [Herbold, Craig W.; Lee, Charles K.; Cary, S. Craig] Univ Waikato, Int Ctr Terr Antarctic Res, Hamilton, New Zealand; [Cary, S. Craig] Univ Delaware, Coll Earth &amp; Ocean Sci, Newark, DE 19716 USA</t>
  </si>
  <si>
    <t>Virginia Polytechnic Institute &amp; State University; University of Waikato; University of Waikato; University of Delaware</t>
  </si>
  <si>
    <t>Sokol, ER (corresponding author), Virginia Polytech Inst &amp; State Univ, Dept Biol Sci, Blacksburg, VA 24060 USA.</t>
  </si>
  <si>
    <t>sokole@vt.edu</t>
  </si>
  <si>
    <t>Sokol, Eric R./HZL-4014-2023; Herbold, Craig William/S-4397-2018; lee, charles/AAW-6627-2021; Sokol, Eric R/D-3956-2011; Lee, Charles/AAC-9417-2019; Barrett, John/D-5851-2016</t>
  </si>
  <si>
    <t>Sokol, Eric R./0000-0001-5923-0917; Herbold, Craig William/0000-0003-3479-0197; lee, charles/0000-0001-6906-4895; Lee, Charles/0000-0002-6562-4733; Barrett, John/0000-0002-7610-0505; Cary, Stephen/0000-0002-2876-2387</t>
  </si>
  <si>
    <t>US National Science Foundation [OPP-0944560, OPP-1246292, OPP-0944556]; New Zealand Marsden Fund [UOW0802, UOW1003]; Foundation for Research, Science and Technology of New Zealand [UOWX0715]; Directorate For Geosciences; Office of Polar Programs (OPP) [1115245] Funding Source: National Science Foundation; Division Of Polar Programs; Directorate For Geosciences [0944556] Funding Source: National Science Foundation; Office of Polar Programs (OPP); Directorate For Geosciences [0944560] Funding Source: National Science Foundation</t>
  </si>
  <si>
    <t>US National Science Foundation(National Science Foundation (NSF)); New Zealand Marsden Fund(Royal Society of New ZealandMarsden Fund (NZ)); Foundation for Research, Science and Technology of New Zealand(New Zealand Foundation for Research, Science and Technology); Directorate For Geosciences; Office of Polar Programs (OPP)(National Science Foundation (NSF)NSF - Directorate for Geosciences (GEO)); Division Of Polar Programs; Directorate For Geosciences(National Science Foundation (NSF)NSF - Directorate for Geosciences (GEO)); Office of Polar Programs (OPP); Directorate For Geosciences(National Science Foundation (NSF)NSF - Directorate for Geosciences (GEO))</t>
  </si>
  <si>
    <t>This work was funded by the US National Science Foundation (OPP-0944560 and OPP-1246292 awarded to S. C. C., and OPP-0944556 to J. E. B.). C. W. H. and S. C. C. were additionally supported by the New Zealand Marsden Fund (UOW0802). C. K. L. was supported by the Foundation for Research, Science and Technology of New Zealand (UOWX0715) and the New Zealand Marsden Fund (UOW1003). We thank the Crary Lab Staff, Raytheon Polar Services and PHI for logistical support in the field. This work would not have been possible without help in the lab from Tom Niederberger, Adaline King, Eric Bottos, Roanna Richards, and Bobbie Niederlehner.</t>
  </si>
  <si>
    <t>2150-8925</t>
  </si>
  <si>
    <t>Ecosphere</t>
  </si>
  <si>
    <t>10.1890/ES13-00136.1</t>
  </si>
  <si>
    <t>257JY</t>
  </si>
  <si>
    <t>WOS:000327380900004</t>
  </si>
  <si>
    <t>Foster, SD; Givens, GH; Dornan, GJ; Dunstan, PK; Darnell, R</t>
  </si>
  <si>
    <t>Foster, S. D.; Givens, G. H.; Dornan, G. J.; Dunstan, P. K.; Darnell, R.</t>
  </si>
  <si>
    <t>Modelling biological regions from multi-species and environmental data</t>
  </si>
  <si>
    <t>ENVIRONMETRICS</t>
  </si>
  <si>
    <t>assemblage; mixture model; mixture of experts; region of common profile; species distribution</t>
  </si>
  <si>
    <t>Partitioning the environment into areas that appear to contain similar biological content is useful for investigating questions of distribution and habitat and for helping guide resource conservation and utilization. The statistical task requires relating presence/absence data from multiple species to co-located environmental data. In this article, we introduce a statistical modelling framework that models the environment as a set of regions where the vector of probabilities of observing a set of species remains approximately constant within a region and distinct between regions. This is achieved within a mixture-of-experts model framework, which treats the region type as a latent variable whose distribution varies as a function of the environment. This approach allows us to predict probabilities of region types for sampled and unsampled locations. The model synthesizes biological and environmental data, incorporating both in a single likelihood that enables propagation of uncertainty through the entire model. The method is demonstrated using a synthetic example and data from a survey of fish from the North West Shelf, which is located off Western Australia. An R package, RCPmod, which implements the methods described in this article, is available from CRAN. Copyright (c) 2013 John Wiley &amp; Sons, Ltd.</t>
  </si>
  <si>
    <t>[Foster, S. D.] CSIRO, CSIROs Div Computat Informat, Marine Lab, Hobart, Tas 7001, Australia; [Foster, S. D.] CSIRO, Div Computat Informat, Hobart, Tas 7001, Australia; [Foster, S. D.; Dunstan, P. K.] CSIRO, Wealth Oceans Flagship, Hobart, Tas 7001, Australia; [Givens, G. H.] Colorado State Univ, Dept Stat, Ft Collins, CO 80523 USA; [Dornan, G. J.] Steadmon Philippon Res Inst, Vail, CO 81657 USA; [Darnell, R.] CSIRO, Div COmputat Informativs, Brisbane, Qld 4001, Australia</t>
  </si>
  <si>
    <t>Commonwealth Scientific &amp; Industrial Research Organisation (CSIRO); Commonwealth Scientific &amp; Industrial Research Organisation (CSIRO); Commonwealth Scientific &amp; Industrial Research Organisation (CSIRO); Colorado State University; Steadman Philippon Research Institute; Commonwealth Scientific &amp; Industrial Research Organisation (CSIRO)</t>
  </si>
  <si>
    <t>Foster, SD (corresponding author), CSIRO, CSIROs Div Computat Informat, Marine Lab, Hobart, Tas 7001, Australia.</t>
  </si>
  <si>
    <t>scott.foster@csiro.au</t>
  </si>
  <si>
    <t>Dornan, Grant/ABC-7409-2020; Dunstan, Piers/B-7309-2016; Foster, Scott/E-9311-2010; Darnell, Ross/B-3823-2009</t>
  </si>
  <si>
    <t>Dornan, Grant/0000-0001-9039-9163; Dunstan, Piers/0000-0002-2568-5945; Foster, Scott/0000-0002-6719-8002; Darnell, Ross/0000-0002-7973-6322</t>
  </si>
  <si>
    <t>Marine Biodiversity Hub; Australian Government's National Environmental Research Program (NERP); Institute for Marine and Antarctic Studies, University of Tasmania; CSIRO Wealth from Oceans National Flagship, Geoscience Australia; Australian Institute of Marine Science, Museum Victoria; Charles Darwin University; University of Western Australia; Division Of Mathematical Sciences; Direct For Mathematical &amp; Physical Scien [1106862] Funding Source: National Science Foundation</t>
  </si>
  <si>
    <t>Marine Biodiversity Hub; Australian Government's National Environmental Research Program (NERP)(Australian Government); Institute for Marine and Antarctic Studies, University of Tasmania; CSIRO Wealth from Oceans National Flagship, Geoscience Australia; Australian Institute of Marine Science, Museum Victoria; Charles Darwin University; University of Western Australia; Division Of Mathematical Sciences; Direct For Mathematical &amp; Physical Scien(National Science Foundation (NSF)NSF - Directorate for Mathematical &amp; Physical Sciences (MPS))</t>
  </si>
  <si>
    <t>G. Givens wishes to thank CSIRO's Division of Computational Informatics for hosting his sabbatical when this work began. We heartily thank D. Warton, K. Hayes, B. Venables, two anonymous referees and the associate editor for helpful discussions and advice. S. Foster and P. Dunstan were supported by the Marine Biodiversity Hub, a collaborative partnership supported through funding from the Australian Government's National Environmental Research Program (NERP). NERP Marine Biodiversity Hub partners include the Institute for Marine and Antarctic Studies, University of Tasmania; CSIRO Wealth from Oceans National Flagship, Geoscience Australia, Australian Institute of Marine Science, Museum Victoria, Charles Darwin University and the University of Western Australia.</t>
  </si>
  <si>
    <t>1180-4009</t>
  </si>
  <si>
    <t>1099-095X</t>
  </si>
  <si>
    <t>Environmetrics</t>
  </si>
  <si>
    <t>10.1002/env.2245</t>
  </si>
  <si>
    <t>Environmental Sciences; Mathematics, Interdisciplinary Applications; Statistics &amp; Probability</t>
  </si>
  <si>
    <t>Environmental Sciences &amp; Ecology; Mathematics</t>
  </si>
  <si>
    <t>255NP</t>
  </si>
  <si>
    <t>WOS:000327247100006</t>
  </si>
  <si>
    <t>Duarte, AWF; Dayo-Owoyemi, I; Nobre, FS; Pagnocca, FC; Chaud, LCS; Pessoa, A; Felipe, MGA; Sette, LD</t>
  </si>
  <si>
    <t>Duarte, A. W. F.; Dayo-Owoyemi, I.; Nobre, F. S.; Pagnocca, F. C.; Chaud, L. C. S.; Pessoa, A.; Felipe, M. G. A.; Sette, L. D.</t>
  </si>
  <si>
    <t>Taxonomic assessment and enzymes production by yeasts isolated from marine and terrestrial Antarctic samples</t>
  </si>
  <si>
    <t>Antarctic; Yeast; Cold-active enzymes; Biodiversity; Biotechnology</t>
  </si>
  <si>
    <t>EXTRACELLULAR ENZYMATIC-ACTIVITIES; COLD ADAPTATION; PROTEASE; ENVIRONMENTS; FUNGI; PURIFICATION; DIVERSITY; XYLANASE; LIPASES</t>
  </si>
  <si>
    <t>The aim of the present study was to investigate the taxonomic identity of yeasts isolated from the Antarctic continent and to evaluate their ability to produce enzymes (lipase, protease and xylanase) at low and moderate temperatures. A total of 97 yeast strains were recovered from marine and terrestrial samples collected in the Antarctica. The highest amount of yeast strains was obtained from marine sediments, followed by lichens, ornithogenic soils, sea stars, Salpa sp., algae, sea urchin, sea squirt, stone with lichens, Nacella concinna, sea sponge, sea isopod and sea snail. Data from polyphasic taxonomy revealed the presence of 21 yeast species, distributed in the phylum Ascomycota (n = 8) and Basidiomycota (n = 13). Representatives of encapsulated yeasts, belonging to genera Rhodotorula and Cryptococcus were recovered from 7 different Antarctic samples. Moreover, Candida glaebosa, Cryptococcus victoriae, Meyerozyma (Pichia) guilliermondii, Rhodotorula mucilaginosa and R. laryngis were the most abundant yeast species recovered. This is the first report of the occurrence of some species of yeasts recovered from Antarctic marine invertebrates. Additionally, results from enzymes production at low/moderate temperatures revealed that the Antarctic environment contains metabolically diverse cultivable yeasts, which could be considered as a target for biotechnological applications. Among the evaluated yeasts in the present study 46.39, 37.11 and 14.43 % were able to produce lipase (at 15 A degrees C), xylanase (at 15 A degrees C) and protease (at 25 A degrees C), respectively. The majority of lipolytic, proteolytic and xylanolytic strains were distributed in the phylum Basidiomycota and were mainly recovered from sea stars, lichens, sea urchin and marine sediments.</t>
  </si>
  <si>
    <t>[Duarte, A. W. F.; Nobre, F. S.; Sette, L. D.] Univ Estadual Campinas, Div Recursos Microbianos CPQBA, UNICAMP, Sao Paulo, Brazil; [Dayo-Owoyemi, I.] Univ Estadual Paulista, Ctr Insetos Sociais, UNESP, Sao Paulo, Brazil; [Pagnocca, F. C.; Sette, L. D.] Univ Estadual Paulista, Dept Bioquim &amp; Microbiol, UNESP, Sao Paulo, Brazil; [Chaud, L. C. S.; Felipe, M. G. A.] Univ Sao Paulo, Dept Biotecnol, Escola Engn Lorena, Sao Paulo, Brazil; [Pessoa, A.] Univ Sao Paulo, Fac Ciencias Farmaceut, Dept Tecnol Bioquim Farmaceut, Sao Paulo, Brazil</t>
  </si>
  <si>
    <t>Universidade Estadual de Campinas; Universidade Estadual Paulista; Universidade Estadual Paulista; Universidade de Sao Paulo; Universidade de Sao Paulo</t>
  </si>
  <si>
    <t>Sette, LD (corresponding author), Univ Estadual Paulista, Dept Bioquim &amp; Microbiol, UNESP, Sao Paulo, Brazil.</t>
  </si>
  <si>
    <t>larasette@rc.unesp.br</t>
  </si>
  <si>
    <t>de Almeida Felipe, Maria das Graças/AAC-8558-2019; Sette, Lara Durães/C-8298-2013; Duarte, Alysson Wagner Fernandes/S-8062-2019; Pessoa-Junior, Adalberto/B-7963-2012</t>
  </si>
  <si>
    <t>de Almeida Felipe, Maria das Graças/0000-0002-2754-5866; Sette, Lara Durães/0000-0002-5980-3786; Duarte, Alysson Wagner Fernandes/0000-0001-9626-7524; Pessoa-Junior, Adalberto/0000-0002-5268-8690</t>
  </si>
  <si>
    <t>CAPES; FAPESP [2010/08352-5, 2010/17033-0]; European Community; Fundacao de Amparo a Pesquisa do Estado de Sao Paulo (FAPESP) [10/08352-5, 10/17033-0] Funding Source: FAPESP</t>
  </si>
  <si>
    <t>CAPES(Coordenacao de Aperfeicoamento de Pessoal de Nivel Superior (CAPES)); FAPESP(Fundacao de Amparo a Pesquisa do Estado de Sao Paulo (FAPESP)); European Community; Fundacao de Amparo a Pesquisa do Estado de Sao Paulo (FAPESP)(Fundacao de Amparo a Pesquisa do Estado de Sao Paulo (FAPESP))</t>
  </si>
  <si>
    <t>The authors would like to thank Prof. Vivian Helena Pellizari, Prof. Itamar Soares Melo and Prof. Eduardo Carlos Hadju for their contribution in the collection of marine and terrestrial Antarctic samples, as well as Raymond J. Burgess for the English Review. A. Duarte was supported by Ph.D. grants from CAPES and FAPESP (2010/08352-5). Part of the research was supported by the European Community's Seventh Framework Program (FP7 2010-2013, BAMMBO Project). L. D. Sette thanks FAPESP for the financial support (FAPESP grant 2010/17033-0) and PROANTAR Program for the sampling support.</t>
  </si>
  <si>
    <t>10.1007/s00792-013-0584-y</t>
  </si>
  <si>
    <t>WOS:000326046200014</t>
  </si>
  <si>
    <t>Fowler, AC; Rickaby, REM; Wolff, EW</t>
  </si>
  <si>
    <t>Fowler, A. C.; Rickaby, R. E. M.; Wolff, E. W.</t>
  </si>
  <si>
    <t>Exploration of a simple model for ice ages</t>
  </si>
  <si>
    <t>GEM-INTERNATIONAL JOURNAL ON GEOMATHEMATICS</t>
  </si>
  <si>
    <t>Ice ages; Milankovic; Energy balance model; Proglacial lakes; Carbonate weathering</t>
  </si>
  <si>
    <t>SOLAR-RADIATION VARIATIONS; CARBON-DIOXIDE; GLACIAL CYCLES; CLIMATE MODEL; OSCILLATIONS; VOLUME; PHASE; CO2</t>
  </si>
  <si>
    <t>We argue that, while Milankovic variations in solar radiation undoubtedly have a major influence on the timing of the Quaternary ice ages, they are partly incidental to their underlying causes. Based on observations of the significance of CO2, we propose a conceptually simple (but complicated in detail) energy balance type model which has the ability to explain the underlying oscillatory nature of ice ages. We are led to develop amodel which combines ice sheet growth and atmospheric energy balance with ocean carbon balance. In order to provide results which mimic the basic features of the observations, we develop novel hypotheses as follows. The succession of the most recent ice ages can be explained as being due to an oscillation due to the interaction of the growing northern hemisphere ice sheets and proglacial lakes which form as they migrate south. The CO2 signal which faithfully follows the proxy temperature signal can then be explained as being due to a combination of thermally activated ocean biomass production, which enables the rapid CO2 rise at glacial terminations, and enhanced glacial carbonate weathering through the exposure of continental shelves, which enables CO2 to passively follow the subsequent glacial cooling cycle. Milankovic variations provide for modulations of the amplitude and periods of the resulting signals.</t>
  </si>
  <si>
    <t>[Fowler, A. C.] Univ Limerick, MACSI, Limerick, Ireland; [Fowler, A. C.] Univ Oxford, OCIAM, Oxford, England; [Rickaby, R. E. M.] Univ Oxford, Dept Earth Sci, Oxford, England; [Wolff, E. W.] British Antarctic Survey, Cambridge, England</t>
  </si>
  <si>
    <t>University of Limerick; University of Oxford; University of Oxford; UK Research &amp; Innovation (UKRI); Natural Environment Research Council (NERC); NERC British Antarctic Survey</t>
  </si>
  <si>
    <t>Fowler, AC (corresponding author), Univ Limerick, MACSI, Limerick, Ireland.</t>
  </si>
  <si>
    <t>andrew.fowler@ul.ie</t>
  </si>
  <si>
    <t>Wolff, Eric W/D-7925-2014</t>
  </si>
  <si>
    <t>Wolff, Eric W/0000-0002-5914-8531; Rickaby, Rosalind/0000-0002-6095-8419</t>
  </si>
  <si>
    <t>Mathematics Applications Consortium for Science and Industry - Science Foundation Ireland mathematics initiative grant [06/MI/005]; NERC [bas0100024] Funding Source: UKRI</t>
  </si>
  <si>
    <t>Mathematics Applications Consortium for Science and Industry - Science Foundation Ireland mathematics initiative grant(Science Foundation Ireland); NERC(UK Research &amp; Innovation (UKRI)Natural Environment Research Council (NERC))</t>
  </si>
  <si>
    <t>A.C.F. acknowledges the support of the Mathematics Applications Consortium for Science and Industry (http://www.macsi.ul.ie) funded by the Science Foundation Ireland mathematics initiative grant 06/MI/005.</t>
  </si>
  <si>
    <t>1869-2672</t>
  </si>
  <si>
    <t>1869-2680</t>
  </si>
  <si>
    <t>GEM INT J GEOMATHEMA</t>
  </si>
  <si>
    <t>GEM Int. J. Geomathematics</t>
  </si>
  <si>
    <t>10.1007/s13137-012-0040-7</t>
  </si>
  <si>
    <t>Mathematics, Interdisciplinary Applications</t>
  </si>
  <si>
    <t>V08ZM</t>
  </si>
  <si>
    <t>WOS:000214113300006</t>
  </si>
  <si>
    <t>Crossin, GT; Phillips, RA; Lattin, CR; Romero, LM; Williams, TD</t>
  </si>
  <si>
    <t>Crossin, Glenn T.; Phillips, Richard A.; Lattin, Christine R.; Romero, L. Michael; Williams, Tony D.</t>
  </si>
  <si>
    <t>Corticosterone mediated costs of reproduction link current to future breeding</t>
  </si>
  <si>
    <t>GENERAL AND COMPARATIVE ENDOCRINOLOGY</t>
  </si>
  <si>
    <t>Breeding-moult overlap; Macronectes; Chick rearing; Feather corticosterone; Foraging behaviour</t>
  </si>
  <si>
    <t>GIANT PETRELS MACRONECTES; ADRENOCORTICAL-RESPONSE; FORAGING BEHAVIOR; SEXUAL CONFLICT; KING PENGUINS; PARENTAL CARE; BASE-LINE; LONG-TERM; MOLT; STRESS</t>
  </si>
  <si>
    <t>Life-history theory predicts that costs are associated with reproduction. One possible mediator of costs involves the secretion of glucocorticoid hormones, which in birds can be measured in feathers grown during the breeding period. Glucocorticoids mediate physiological responses to unpredictable environmental or other stressors, but they can also function as metabolic regulators during more predictable events such as reproduction. Here we show that corticosterone (Cort) in feathers grown during the breeding season reflects reproductive effort in two Antarctic seabird species (giant petrels, Macronectes spp.). In females of both species, but not males, feather Cort (fCort) was nearly 1.5-fold higher in successful than failed breeders (those that lost their eggs/chicks), suggesting a cost of successful reproduction, i.e., high fCort levels in females reflect the elevated plasma Cort levels required to support high metabolic demands of chick-rearing. Successful breeding also led to delayed moult prior to winter migration. The fCort levels and pre-migration moult score that we measured at the end of current breeding were predictive of subsequent reproductive effort in the following year. Birds with high fCort and a delayed initiation of moult were much more likely to defer breeding in the following year. Cort levels and the timing of moult thus provide a potential mechanism for the tradeoff between current and future reproduction. Crown Copyright (C) 2013 Published by Elsevier Inc. All rights reserved.</t>
  </si>
  <si>
    <t>[Crossin, Glenn T.] Dalhousie Univ, Dept Biol, Halifax, NS B3H 4R2, Canada; [Phillips, Richard A.] British Antarctic Survey, Nat Environm Res Council, Cambridge CB3 0ET, England; [Lattin, Christine R.; Romero, L. Michael] Tufts Univ, Dept Biol, Medford, MA 02155 USA; [Williams, Tony D.] Simon Fraser Univ, Dept Biol Sci, Burnaby, BC V5A 1S6, Canada</t>
  </si>
  <si>
    <t>Dalhousie University; UK Research &amp; Innovation (UKRI); Natural Environment Research Council (NERC); NERC British Antarctic Survey; Tufts University; Simon Fraser University</t>
  </si>
  <si>
    <t>Crossin, GT (corresponding author), Dalhousie Univ, Dept Biol, Life Sci Ctr, 1355 Oxford St, Halifax, NS B3H 4R2, Canada.</t>
  </si>
  <si>
    <t>; Lattin, Christine/E-5662-2013</t>
  </si>
  <si>
    <t>Crossin, Glenn/0000-0003-1080-1189; Lattin, Christine/0000-0003-4030-4212</t>
  </si>
  <si>
    <t>British Antarctic Survey through their Antarctic Funding Initiative; National Science and Engineering Research Council (Canada); E-BIRD; NSERC; National Science Foundation (U.S.) [IOS-1048529]; Antarctic Science Bursary; Natural Environment Research Council [bas0100025] Funding Source: researchfish; NERC [bas0100025] Funding Source: UKRI; Division Of Integrative Organismal Systems; Direct For Biological Sciences [1048529] Funding Source: National Science Foundation</t>
  </si>
  <si>
    <t>British Antarctic Survey through their Antarctic Funding Initiative; National Science and Engineering Research Council (Canada)(Natural Sciences and Engineering Research Council of Canada (NSERC)); E-BIRD; NSERC(Natural Sciences and Engineering Research Council of Canada (NSERC)); National Science Foundation (U.S.)(National Science Foundation (NSF)); Antarctic Science Bursary; Natural Environment Research Council(UK Research &amp; Innovation (UKRI)Natural Environment Research Council (NERC)); NERC(UK Research &amp; Innovation (UKRI)Natural Environment Research Council (NERC)); Division Of Integrative Organismal Systems; Direct For Biological Sciences(National Science Foundation (NSF)NSF - Directorate for Biological Sciences (BIO)NSF - Division of Integrative Organismal Systems (IOS))</t>
  </si>
  <si>
    <t>We thank Stacey Ad lard, Fabrice Le Bouard, Ruth Brown, Kristen Gorman, and Andy Wood for assistance. Financial support was provided by the British Antarctic Survey through their Antarctic Funding Initiative, by a National Science and Engineering Research Council (Canada) Post-doctoral Fellowship and E-BIRD funding to GTC, by a NSERC Discovery Grant to TDW, and by a National Science Foundation (U.S.) grant (IOS-1048529) to LMR. GTC was also supported by an Antarctic Science Bursary.</t>
  </si>
  <si>
    <t>0016-6480</t>
  </si>
  <si>
    <t>1095-6840</t>
  </si>
  <si>
    <t>GEN COMP ENDOCR</t>
  </si>
  <si>
    <t>Gen. Comp. Endocrinol.</t>
  </si>
  <si>
    <t>10.1016/j.ygcen.2013.07.011</t>
  </si>
  <si>
    <t>Endocrinology &amp; Metabolism; Zoology</t>
  </si>
  <si>
    <t>244YX</t>
  </si>
  <si>
    <t>Green Accepted, Green Submitted</t>
  </si>
  <si>
    <t>WOS:000326427200014</t>
  </si>
  <si>
    <t>Smith, H; Akiyama, T; Foreman, C; Franklin, M; Woyke, T; Teshima, H; Davenport, K; Daligault, H; Erkkila, T; Goodwin, L; Gu, W; Xu, Y; Chain, P</t>
  </si>
  <si>
    <t>Smith, Heidi; Akiyama, Tatsuya; Foreman, Christine; Franklin, Michael; Woyke, Tanja; Teshima, Hazuki; Davenport, Karen; Daligault, Hajnalka; Erkkila, Tracy; Goodwin, Lynne; Gu, Wei; Xu, Yan; Chain, Patrick</t>
  </si>
  <si>
    <t>Draft Genome Sequence and Description of Janthinobacterium sp. Strain CG3, a Psychrotolerant Antarctic Supraglacial Stream Bacterium</t>
  </si>
  <si>
    <t>Here we present the draft genome sequence of Janthinobacterium sp. strain CG3, a psychrotolerant non-violacein-producing bacterium that was isolated from the Cotton Glacier supraglacial stream. The genome sequence of this organism will provide insight as to the mechanisms necessary for bacteria to survive in UV-stressed icy environments.</t>
  </si>
  <si>
    <t>[Smith, Heidi] Montana State Univ, Dept Land Resources &amp; Environm Sci, Bozeman, MT 59717 USA; [Akiyama, Tatsuya; Franklin, Michael] Montana State Univ, Dept Microbiol, Bozeman, MT 59717 USA; [Foreman, Christine] Montana State Univ, Dept Chem &amp; Biol Engn, Bozeman, MT 59717 USA; [Smith, Heidi; Akiyama, Tatsuya; Foreman, Christine; Franklin, Michael] Montana State Univ, Ctr Biofilm Engin, Bozeman, MT 59717 USA; [Woyke, Tanja] DOE Joint Genome Inst, Walnut Creek, CA USA; [Teshima, Hazuki; Davenport, Karen; Daligault, Hajnalka; Erkkila, Tracy; Goodwin, Lynne; Gu, Wei; Xu, Yan; Chain, Patrick] Los Alamos Natl Lab, Genome Sci Programs, Bioenergy &amp; Biome Sci, Los Alamos, NM USA</t>
  </si>
  <si>
    <t>Montana State University System; Montana State University Bozeman; Montana State University System; Montana State University Bozeman; Montana State University System; Montana State University Bozeman; Montana State University System; Montana State University Bozeman; United States Department of Energy (DOE); United States Department of Energy (DOE); Los Alamos National Laboratory</t>
  </si>
  <si>
    <t>Foreman, C (corresponding author), Montana State Univ, Dept Chem &amp; Biol Engn, Bozeman, MT 59717 USA.</t>
  </si>
  <si>
    <t>cforeman@montana.edu</t>
  </si>
  <si>
    <t>Chain, Patrick/O-4140-2019; Woyke, Tanja/S-7870-2018</t>
  </si>
  <si>
    <t>Chain, Patrick/0000-0003-3949-3634; Akiyama, Tatsuya/0000-0001-6329-6257; Woyke, Tanja/0000-0002-9485-5637</t>
  </si>
  <si>
    <t>National Science Foundation [OPP-0838970, 1141978]; Office of Science of the U.S. Department of Energy [DE-AC02-05CH11231]; NASA Earth and Space Science Fellowship (NESSF) program</t>
  </si>
  <si>
    <t>National Science Foundation(National Science Foundation (NSF)); Office of Science of the U.S. Department of Energy(United States Department of Energy (DOE)); NASA Earth and Space Science Fellowship (NESSF) program</t>
  </si>
  <si>
    <t>Funding for this research came from the National Science Foundation (OPP-0838970 and 1141978). The work conducted by the U.S. Department of Energy Joint Genome Institute is supported by the Office of Science of the U.S. Department of Energy under contract no. DE-AC02-05CH11231. H. Smith was supported by the NASA Earth and Space Science Fellowship (NESSF) program. Logistical support was provided by Raytheon Polar Services and Petroleum Helicopters Incorporated.</t>
  </si>
  <si>
    <t>e00960-13</t>
  </si>
  <si>
    <t>10.1128/genomeA.00960-13</t>
  </si>
  <si>
    <t>VI1AL</t>
  </si>
  <si>
    <t>Green Submitted, Green Published, hybrid</t>
  </si>
  <si>
    <t>WOS:000460360100075</t>
  </si>
  <si>
    <t>Pereira, TTC; Schaefer, CEGR; Ker, JC; Almeida, CC; Almeida, ICC; Pereira, AB</t>
  </si>
  <si>
    <t>Pereira, Thiago Torres C.; Schaefer, Carlos Ernesto G. R.; Ker, Joao C.; Almeida, Cecilia C.; Almeida, Ivan C. C.; Pereira, Antonio Batista</t>
  </si>
  <si>
    <t>Genesis, mineralogy and ecological significance of ornithogenic soils from a semi-desert polar landscape at Hope Bay, Antarctic Peninsula</t>
  </si>
  <si>
    <t>GEODERMA</t>
  </si>
  <si>
    <t>Soil formation; Phosphatization; Kaolinite</t>
  </si>
  <si>
    <t>PERMAFROST-AFFECTED SOILS; MARITIME ANTARCTICA; PEDOGENIC ZONATION; ORGANIC-MATTER; CRYOSOLS; PHOSPHATIZATION; GELISOLS; REGION</t>
  </si>
  <si>
    <t>Large amounts of organic matter of marine origin are seasonally deposited on ice-free soils by birds and mammals, especially penguins, in some restricted Antarctic terrestrial ecosystems. The incorporation of this material into the mineral soil matrix becomes the main pathway for the widespread formation of phosphate minerals and ornithogenic soils, enhancing local biodiversity and complexity. These soils have been well-studied in Maritime Antarctica, and comparatively neglected in the cold, dry polar Antarctica. Hence, we studied the influence of penguins on soil and landscape formation at Hope Bay, a transition climatic zone in Antarctic Peninsula, where no previous pedological study has been undertaken with regards to soil phosphatization. Ten pedons, nine of which are ornithogenic, were described, sampled, and analyzed for physical, chemical and mineralogical properties. Results indicate that the slow mineralization of bird guano, coupled with high levels of organic matter and reduced leaching, notably Ca, contribute to reduced soil acidification and low exchangeable Al3+ content, unlike ornithogenic soils from Maritime Antarctica. Phosphate minerals typical of the phosphatization process, such as taranakite, minyulite, leucophosphite, struvite, and fluorapatite, were detected. In Hope Bay, they are subjected to very slow rates of dissolution, neoformation of secondary phosphatic minerals, and mineralogical transformation and leaching processes. Ornithogenesis is viewed as a mechanism of sea-land nutrient transfer, enriching the latter, since the parent rocks are chemically poor sedimentary materials. On the other hand, the presence of kaolinite indicates wetter climate conditions in the past, with periods with greater moisture and weathering, compared with the current semi-polar desert environment. We conclude that the phosphatization process overprints previously weathered sedimentary materials. (C) 2013 Elsevier B.V. All rights reserved.</t>
  </si>
  <si>
    <t>[Pereira, Thiago Torres C.] Univ Estado Minas Gerais, Frutal, MG, Brazil; [Schaefer, Carlos Ernesto G. R.; Ker, Joao C.; Almeida, Cecilia C.] Univ Fed Vicosa, INCT Criosfera, Vicosa, MG, Brazil; [Almeida, Ivan C. C.] Inst Fed Norte Minas Gerais, Januaria, MG, Brazil; [Pereira, Antonio Batista] Univ Fed Pampa, INCT APA, Sao Gabriel, RS, Brazil</t>
  </si>
  <si>
    <t>Universidade do Estado de Minas Gerais; Universidade Federal de Vicosa; Instituto Federal do Norte de Minas Gerais (IFNMG); Universidade Federal do Pampa</t>
  </si>
  <si>
    <t>Pereira, TTC (corresponding author), Univ Estado Minas Gerais, Av Prof Mario Palmerio 1001, Frutal, MG, Brazil.</t>
  </si>
  <si>
    <t>thiago.solos@gmail.com</t>
  </si>
  <si>
    <t>Schaefer, Carlos Ernesto/AAY-4977-2020; Pereira, Antonio B/I-8201-2014; DE ALMEIDA, CARLOS CAETANO/K-4265-2016; Pereira, Antonio/AAD-5703-2019</t>
  </si>
  <si>
    <t>Pereira, Antonio B/0000-0003-0368-4594; Ernesto Goncalves Reynaud Schaefer, Carlos/0000-0001-5735-3227; Ernesto Goncalves Reynaud Schaefer, Carlos/0000-0001-7060-1598</t>
  </si>
  <si>
    <t>National Council for Scientific and Technological Development (CNPq); Minas Gerais State Research Foundation (FAPEMIG)</t>
  </si>
  <si>
    <t>National Council for Scientific and Technological Development (CNPq)(Conselho Nacional de Desenvolvimento Cientifico e Tecnologico (CNPQ)); Minas Gerais State Research Foundation (FAPEMIG)(Fundacao de Amparo a Pesquisa do Estado de Minas Gerais (FAPEMIG))</t>
  </si>
  <si>
    <t>The authors acknowledge the financial support of the National Council for Scientific and Technological Development (CNPq) and the Minas Gerais State Research Foundation (FAPEMIG) and the Brazilian Navy for the logistic support during the Antarctic expeditions.</t>
  </si>
  <si>
    <t>0016-7061</t>
  </si>
  <si>
    <t>Geoderma</t>
  </si>
  <si>
    <t>10.1016/j.geoderma.2013.06.012</t>
  </si>
  <si>
    <t>212WV</t>
  </si>
  <si>
    <t>WOS:000324014400011</t>
  </si>
  <si>
    <t>Morgenstern, A; Ulrich, M; Günther, F; Roessler, S; Fedorova, IV; Rudaya, NA; Wetterich, S; Boike, J; Schirrmeister, L</t>
  </si>
  <si>
    <t>Morgenstern, A.; Ulrich, M.; Guenther, F.; Roessler, S.; Fedorova, I. V.; Rudaya, N. A.; Wetterich, S.; Boike, J.; Schirrmeister, L.</t>
  </si>
  <si>
    <t>Evolution of thermokarst in East Siberian ice-rich permafrost: A case study</t>
  </si>
  <si>
    <t>GEOMORPHOLOGY</t>
  </si>
  <si>
    <t>Periglacial landscapes; Permafrost degradation; Spatial analyses; Remote sensing; GIS; Holocene</t>
  </si>
  <si>
    <t>THAW LAKES; COASTAL-PLAIN; LENA DELTA; DEPOSITS; RECORDS; BASINS; ALASKA; AGE</t>
  </si>
  <si>
    <t>Thermokarst lakes and basins are major components of ice-rich permafrost landscapes in East Siberian coastal lowlands and are regarded as indicators of regional climatic changes. We investigate the temporal and spatial dynamics of a 7.5 km(2), partly drained thermokarst basin (alas) using field investigations, remote sensing, Geographic Information Systems (GIS), and sediment analyses. The evolution of the thermokarst basin proceeded in two phases. The first phase started at the Pleistocene/Holocene transition (13 to 12 ka BP) with the initiation of a primary thermokarst lake on the Ice Complex surface. The lake expanded and persisted throughout the early Holocene before it drained abruptly about 5.7 ka BP, thereby creating a &gt;20 m deep alas with residual lakes. The second phase (5.7 ka BP to present) is characterized by alternating stages of lower and higher thermokarst intensity within the alas that were mainly controlled by local hydrological and relief conditions and accompanied by permafrost aggradation and degradation. It included diverse concurrent processes like lake expansion and step-wise drainage, polygonal ice-wedge growth, and the formation of drainage channels and a pingo, which occurred in different parts of the alas. This more dynamic thermokarst evolution resulted in a complex modem thermokarst landscape. However, on the regional scale, the changes during the second evolutionary phase after drainage of the initial thermokarst lakes were less intense than the early Holocene extensive thermokarst development in East Siberian coastal lowlands as a result of a significant regional change to warmer and wetter climate conditions. (C) 2013 Elsevier B.V. All rights reserved.</t>
  </si>
  <si>
    <t>[Morgenstern, A.; Ulrich, M.; Guenther, F.; Roessler, S.; Wetterich, S.; Boike, J.; Schirrmeister, L.] Alfred Wegener Inst, Helmholtz Ctr Polar &amp; Marine Res, Res Unit Potsdam, D-14473 Potsdam, Germany; [Fedorova, I. V.] Arctic &amp; Antarctic Res Inst, Otto Schmidt Lab Polar &amp; Marine Res, St Petersburg 199397, Russia; [Rudaya, N. A.] Russian Acad Sci, Siberian Branch, Inst Archaeol &amp; Ethnog, Ctr Cenozo Geochronol, Novosibirsk 630090, Russia</t>
  </si>
  <si>
    <t>Helmholtz Association; Alfred Wegener Institute, Helmholtz Centre for Polar &amp; Marine Research; Arctic &amp; Antarctic Research Institute; Russian Academy of Sciences; Institute of Archaeology &amp; Ethnography, Siberian Branch of Russian Academy of Sciences</t>
  </si>
  <si>
    <t>Morgenstern, A (corresponding author), Alfred Wegener Inst, Helmholtz Ctr Polar &amp; Marine Res, Res Unit Potsdam, Telegrafenberg A43, D-14473 Potsdam, Germany.</t>
  </si>
  <si>
    <t>Anne.Morgenstem@awi.de</t>
  </si>
  <si>
    <t>Boike, Julia/JZT-8129-2024; Morgenstern, Anne/N-3648-2015; Schirrmeister, Lutz/O-5584-2015; Wetterich, Sebastian/AAD-6569-2019; Rudaya, Natalia/B-1622-2012; Schirrmeister, Lutz/AGW-0545-2022; Günther, Frank/O-5226-2015; Rößler, Sebastian/ADX-0704-2022; Ulrich, Mathias/R-1261-2019; Boike, Julia/JCE-5402-2023; Boike, Julia/R-4766-2016; Fedorova, Irina/N-3436-2013</t>
  </si>
  <si>
    <t>Boike, Julia/0000-0002-5875-2112; Morgenstern, Anne/0000-0002-6466-7571; Schirrmeister, Lutz/0000-0001-9455-0596; Wetterich, Sebastian/0000-0001-9234-1192; Rudaya, Natalia/0000-0003-1536-6470; Schirrmeister, Lutz/0000-0001-9455-0596; Günther, Frank/0000-0001-8298-8937; Ulrich, Mathias/0000-0002-1337-252X; Boike, Julia/0000-0002-5875-2112; Fedorova, Irina/0000-0001-5370-427X</t>
  </si>
  <si>
    <t>German National Academic Foundation; Christiane Nusslein-Volhard-Foundation; Faculty of Mathematics and Natural Science of the University of Potsdam; Helmholtz Association through Planetary Evolution and Life; ESA ADEN, PI H. Lantuit [3616]</t>
  </si>
  <si>
    <t>German National Academic Foundation; Christiane Nusslein-Volhard-Foundation; Faculty of Mathematics and Natural Science of the University of Potsdam; Helmholtz Association through Planetary Evolution and Life(Helmholtz Association); ESA ADEN, PI H. Lantuit</t>
  </si>
  <si>
    <t>Partial support of this work was provided by the German National Academic Foundation, the Christiane Nusslein-Volhard-Foundation, and the Faculty of Mathematics and Natural Science of the University of Potsdam to A M. and by the Helmholtz Association through the Planetary Evolution and Life research alliance to M. U. ALOS PRISM data were kindly provided by JAXA and ESA through the LEDAM project (awarded by ESA ADEN, PI H. Lantuit, ID 3616). We greatly appreciate the efforts of all German and Russian colleagues in organizing and supporting the expeditions to the Lena Delta. We thank J. Stapel, U. Bastian, C. Sawallisch, M. Lamottke, C. Springer, L. Schonicke (all AWI Potsdam), and B. Plessen (GFZ Potsdam) for their support with lab analyses. We also thank G. Schwamborn, H. Meyer, M. N. Grigoriev, V. E. Tumskoy, and T. N. Kaplina for critical discussion. C. O'Connor (University of Alaska, Fair-banks) provided careful language revision. The valuable comments of G. Komatsu and two anonymous reviewers helped to improve the manuscript</t>
  </si>
  <si>
    <t>0169-555X</t>
  </si>
  <si>
    <t>1872-695X</t>
  </si>
  <si>
    <t>Geomorphology</t>
  </si>
  <si>
    <t>10.1016/j.geomorph.2013.07.011</t>
  </si>
  <si>
    <t>249GU</t>
  </si>
  <si>
    <t>WOS:000326766500030</t>
  </si>
  <si>
    <t>Gales, JA; Forwick, M; Laberg, JS; Vorren, TO; Larter, RD; Graham, AGC; Baeten, NJ; Amundsen, HB</t>
  </si>
  <si>
    <t>Gales, J. A.; Forwick, M.; Laberg, J. S.; Vorren, T. O.; Larter, R. D.; Graham, A. G. C.; Baeten, N. J.; Amundsen, H. B.</t>
  </si>
  <si>
    <t>Arctic and Antarctic submarine gullies-A comparison of high latitude continental margins</t>
  </si>
  <si>
    <t>Geomorphology; Submarine gully; Continental margin; Sedimentary processes; Antarctic; Arctic</t>
  </si>
  <si>
    <t>PINE ISLAND BAY; POLAR NORTH-ATLANTIC; LAST GLACIAL MAXIMUM; TROUGH-MOUTH FANS; NORWEGIAN-GREENLAND SEA; WEICHSELIAN ICE-SHEET; SEDIMENTARY PROCESSES; BELLINGSHAUSEN SEA; WEST ANTARCTICA; GEOLOGICAL CONSTRAINTS</t>
  </si>
  <si>
    <t>Submarine gullies are common features of high latitude continental slopes and, over the last decade, have been shown to play a key role in continental margin evolution, submarine erosion, downslope sediment transport, slope deposits, and the architecture of petroleum reservoirs. However, the processes that form these gullies, the timescales over which they develop, and the environmental controls influencing their morphology remain poorly constrained. We present the first systematic and comparative analysis between Arctic and Antarctic gullies with the aim of identifying differences in slope character, from which we infer differences in processes operating in these environments. Quantitative analysis of multibeam echosounder data along 2441 km of the continental shelf and upper slope and morphometric signatures of over 1450 gullies show that six geomorphically distinct gully types exist on high latitude continental margins. We identify distinct differences between Arctic and Antarctic gully morphologies. In the Arctic data sets, deep relief (&gt;30 m gully incision depth at 50 m below the shelf edge) and shelfincising gullies are lacking. These differences have implications for the timescales over which the gullies were formed and for the magnitude of the flows that formed them. We consider two hypotheses for these differences: (1) some Antarctic gullies developed through several glacial cycles; and (2) larger Antarctic gullies were formed since the Last Glacial Maximum as a result of erosive flows (i.e., sediment-laden subglacial meltwater) being more abundant on parts of the Antarctic margin over longer timescales. A second difference is that unique gully signatures are observed on Arctic and on Antarctic margins. Environmental controls, such as the oceanographic regime and geotechnical differences, may lead to particular styles of gully erosion observed on Arctic and Antarctic margins. Crown Copyright (C) 2013 Published by Elsevier B.V. All rights reserved.</t>
  </si>
  <si>
    <t>[Gales, J. A.; Larter, R. D.; Graham, A. G. C.] British Antarctic Survey, Cambridge CB3 0ET, England; [Forwick, M.; Laberg, J. S.; Vorren, T. O.; Baeten, N. J.; Amundsen, H. B.] Univ Tromso, Dept Geol, N-9037 Tromso, Norway</t>
  </si>
  <si>
    <t>UK Research &amp; Innovation (UKRI); Natural Environment Research Council (NERC); NERC British Antarctic Survey; UiT The Arctic University of Tromso</t>
  </si>
  <si>
    <t>Gales, JA (corresponding author), British Geol Survey, Murchison House,West Mains Rd, Edinburgh EH9 3LA, Midlothian, Scotland.</t>
  </si>
  <si>
    <t>jgales@bgs.ac.uk</t>
  </si>
  <si>
    <t>Forwick, Matthias/0000-0001-6153-5891; Larter, Robert/0000-0002-8414-7389; Gales, Jenny/0000-0003-4402-5800; Graham, Alastair/0000-0002-2880-2908</t>
  </si>
  <si>
    <t>Natural Environmental Research Council (NERC); Research Council of Norway under the YGGDRASIL (Young Guest and Doctoral Researchers Annual Grant for Investigation and Learning); NERC [NE/G523539/1]; Det norske oljeselskap ASA; Research Council of Norway; NERC [bas0100027] Funding Source: UKRI; Natural Environment Research Council [bas0100027] Funding Source: researchfish</t>
  </si>
  <si>
    <t>Natural Environmental Research Council (NERC)(UK Research &amp; Innovation (UKRI)Natural Environment Research Council (NERC)); Research Council of Norway under the YGGDRASIL (Young Guest and Doctoral Researchers Annual Grant for Investigation and Learning)(Research Council of Norway); NERC(UK Research &amp; Innovation (UKRI)Natural Environment Research Council (NERC)); Det norske oljeselskap ASA; Research Council of Norway(Research Council of Norway); NERC(UK Research &amp; Innovation (UKRI)Natural Environment Research Council (NERC)); Natural Environment Research Council(UK Research &amp; Innovation (UKRI)Natural Environment Research Council (NERC))</t>
  </si>
  <si>
    <t>This study is part of the British Antarctic Survey Polar Science for Planet Earth Programme. The research was funded by the Natural Environmental Research Council (NERC) and the Research Council of Norway under the YGGDRASIL (Young Guest and Doctoral Researchers Annual Grant for Investigation and Learning). The first author was funded by NERC studentship NE/G523539/1, MF was supported by Det norske oljeselskap ASA, and JSL was funded by the Research Council of Norway. The Norwegian multibeam bathymetric data were acquired by the MAREANO-program (www.mareano.no) and the University of Tromso. We thank Julia Wellner and an anonymous reviewer for their constructive comments on the manuscript.</t>
  </si>
  <si>
    <t>10.1016/j.geomorph.2013.07.018</t>
  </si>
  <si>
    <t>WOS:000326766500035</t>
  </si>
  <si>
    <t>Okuno, J; Miura, H</t>
  </si>
  <si>
    <t>Okuno, Jun'ichi; Miura, Hideki</t>
  </si>
  <si>
    <t>Last deglacial relative sea level variations in Antarctica derived from glacial isostatic adjustment modelling</t>
  </si>
  <si>
    <t>GEOSCIENCE FRONTIERS</t>
  </si>
  <si>
    <t>We present relative sea level (RSL) curves in Antarctica derived from glacial isostatic adjustment (CIA) predictions based on the melting scenarios of the Antarctic ice sheet since the Last Glacial Maximum (LGM) given in previous works. Simultaneously, Holocene-age RSL observations obtained at the raised beaches along the coast of Antarctica are shown to be in agreement with the CIA predictions. The differences from previously published ice-loading models regarding the spatial distribution and total mass change of the melted ice are significant. These models were also derived from CIA modelling; the variations can be attributed to the lack of geological and geographical evidence regarding the history of crustal movement due to ice sheet evolution. Next, we summarise the previously published ice load models and demonstrate the RSL curves based on combinations of different ice and earth models. The RSL curves calculated by GIA models indicate that the model dependence of both the ice and earth models is significantly large at several sites where RSL observations were obtained. In particular, GIA predictions based on the thin lithospheric thickness show the spatial distributions that are dependent on the melted ice thickness at each sites. These characteristics result from the short-wavelength deformation of the Earth. However, our predictions strongly suggest that it is possible to find the average ice model despite the use of the different models of lithospheric thickness. By sea level and crustal movement observations, we can deduce the geometry of the post-LGM ice sheets in detail and remove the CIA contribution from the crustal deformation and gravity change observed by space geodetic techniques, such as GPS and GRACE, for the estimation of the Antarctic ice mass change associated with recent global warming. (C) 2012, China University of Geosciences (Beijing) and Peking University. Production and hosting by Elsevier B.V. All rights reserved.</t>
  </si>
  <si>
    <t>[Okuno, Jun'ichi; Miura, Hideki] Natl Inst Polar Res, Tachikawa, Tokyo 1908518, Japan</t>
  </si>
  <si>
    <t>Research Organization of Information &amp; Systems (ROIS); National Institute of Polar Research (NIPR) - Japan</t>
  </si>
  <si>
    <t>Okuno, J (corresponding author), Natl Inst Polar Res, 10-3 Midori Cho, Tachikawa, Tokyo 1908518, Japan.</t>
  </si>
  <si>
    <t>okuno@jamstec.go.jp; miura@nipr.ac.jp</t>
  </si>
  <si>
    <t>Grants-in-Aid for Scientific Research [23244102, 21253001, 23501255] Funding Source: KAKEN</t>
  </si>
  <si>
    <t>Grants-in-Aid for Scientific Research(Ministry of Education, Culture, Sports, Science and Technology, Japan (MEXT)Japan Society for the Promotion of ScienceGrants-in-Aid for Scientific Research (KAKENHI))</t>
  </si>
  <si>
    <t>CHINA UNIV GEOSCIENCES, BEIJING</t>
  </si>
  <si>
    <t>HAIDIAN DISTRICT</t>
  </si>
  <si>
    <t>29 XUEYUAN RD, HAIDIAN DISTRICT, 100083, PEOPLES R CHINA</t>
  </si>
  <si>
    <t>1674-9871</t>
  </si>
  <si>
    <t>GEOSCI FRONT</t>
  </si>
  <si>
    <t>Geosci. Front.</t>
  </si>
  <si>
    <t>10.1016/j.gsf.2012.11.004</t>
  </si>
  <si>
    <t>260EI</t>
  </si>
  <si>
    <t>WOS:000327577400002</t>
  </si>
  <si>
    <t>Jadoon, WA; Nakai, R; Naganuma, T</t>
  </si>
  <si>
    <t>Jadoon, Waqar Azeem; Nakai, Ryosuke; Naganuma, Takeshi</t>
  </si>
  <si>
    <t>Biogeographical note on Antarctic microflorae: Endemism and cosmopolitanism</t>
  </si>
  <si>
    <t>This study deals with the biogeography of Antarctic microflora (Antarctica acts as best model to study microbial biogeography) such as cyanobacteria and selected halophiles with special emphasis on Halomonas variabilis and Bacillus licheniformis. Halophiles are known to be resistant not only to salt stress, but also to extreme temperature, pressure, and aridity and they are capable of surviving in harsh environments such as polar regions, deep-sea habitats, and deserts. Many microbes are known to be resistant to hostile environmental conditions, and are capable of surviving in harsh environments. Our group has isolated 444 strains belonging to 28 genera of halophiles from various environments around the world. The 16S rRNA gene sequences revealed that many of the isolated strains from geographically distant habitats having different environmental conditions, were closely related to each other, with some strains possessing 100% identical sequences. Organisms possessing survival mechanism such as spore formation are usually ubiquitous. The genus Halomonas is represented by potentially endemic strains and the ubiquitous H. variabilis, while spore-forming B. licheniformis showed cosmopolitan distribution. One potentially endemic (moderate endemicity that is regional and/or continental distribution) strain was reported from Syowa station, East Antarctica, and Mario Zucchelli station, West Antarctica, which are geographically separated by 3000 km. Moreover, 15 strains having 100% similarity with B. licheniformis were considered cosmopolitans. The results of this work provide support for the middle-ground model that some microbes have moderate endemicity and others have cosmopolitan distribution. These results will contribute to a greater understanding of microbial biogeography with special emphasis on Antarctica. (C) 2012, China University of Geosciences (Beijing) and Peking University. Production and hosting by Elsevier B.V. All rights reserved.</t>
  </si>
  <si>
    <t>[Jadoon, Waqar Azeem; Naganuma, Takeshi] Hiroshima Univ, Grad Sch Biosphere Sci, Higashihiroshima, Hiroshima 7398528, Japan</t>
  </si>
  <si>
    <t>Hiroshima University</t>
  </si>
  <si>
    <t>Naganuma, T (corresponding author), Hiroshima Univ, Grad Sch Biosphere Sci, 1-4-4 Kagamiyama, Higashihiroshima, Hiroshima 7398528, Japan.</t>
  </si>
  <si>
    <t>takn@hiroshima-u.ac.jp</t>
  </si>
  <si>
    <t>Naganuma, Takeshi/AAX-7064-2021; Jadoon, Waqar/U-6842-2019; Nakai, Ryosuke/O-6217-2015</t>
  </si>
  <si>
    <t>Naganuma, Takeshi/0000-0003-1925-9461; Jadoon, Waqar/0000-0002-5750-3173; Nakai, Ryosuke/0000-0002-3078-6695</t>
  </si>
  <si>
    <t>Grants-in-Aid for Scientific Research [11J30005, 23570117] Funding Source: KAKEN</t>
  </si>
  <si>
    <t>10.1016/j.gsf.2012.11.002</t>
  </si>
  <si>
    <t>WOS:000327577400003</t>
  </si>
  <si>
    <t>Teniswood, CMH; Roberts, D; Howard, WR; Bradby, JE</t>
  </si>
  <si>
    <t>Teniswood, Clara M. H.; Roberts, Donna; Howard, William R.; Bradby, Jodie E.</t>
  </si>
  <si>
    <t>A quantitative assessment of the mechanical strength of the polar pteropod Limacina helicina antarctica shell</t>
  </si>
  <si>
    <t>ICES JOURNAL OF MARINE SCIENCE</t>
  </si>
  <si>
    <t>calcifying; mechanical properties; nanoindentation; ocean acidification; pteropods; Southern Ocean</t>
  </si>
  <si>
    <t>OCEAN ACIDIFICATION; NANOMECHANICAL PROPERTIES; REDUCED CALCIFICATION; ANTHROPOGENIC CO2; ATMOSPHERIC CO2; CARBON-DIOXIDE; IMPACT; INDENTATION; NACRE; NANOINDENTATION</t>
  </si>
  <si>
    <t>This work directly measures the mechanical properties of pteropod shells collected from the Southern Ocean on the 2007 midsummer Subantarctic Zone Sensitivity to Environmental Change (SAZ-Sense) voyage. Shells from the common Southern Ocean pteropod Limacina helicina antarctica were subjected to mechanical analyses in combination with detailed morphological studies. Average hardness and modulus of 2.30 +/- 0.07 GPa and 45.27 +/- 0.91 GPa, respectively were calculated from several hundred nanoindentation measurements taken from multiple positions across twelve shells of the same species collected under identical conditions. Quantitative data such as these are critical to establish a reference point for future comparative studies and to both understand and evaluate the implications of further ocean acidification on the structural integrity of these common polar calcifiers, particularly in light of their role in the Southern Ocean carbon cycle and food web.</t>
  </si>
  <si>
    <t>[Teniswood, Clara M. H.; Bradby, Jodie E.] Australian Natl Univ, Res Sch Phys &amp; Engn, Canberra, ACT 0200, Australia; [Roberts, Donna] Univ Tasmania, Antarctic Climate &amp; Ecosyst Cooperat Res Ctr, Hobart, Tas 7001, Australia; [Howard, William R.] Australian Natl Univ, Res Sch Earth Sci, Canberra, ACT 0200, Australia</t>
  </si>
  <si>
    <t>Australian National University; Antarctic Climate &amp; Ecosystems Cooperative Research Centre (ACE CRC); University of Tasmania; Australian National University</t>
  </si>
  <si>
    <t>Bradby, JE (corresponding author), Australian Natl Univ, Res Sch Phys &amp; Engn, GPO Box 4, Canberra, ACT 0200, Australia.</t>
  </si>
  <si>
    <t>jodie.bradby@anu.edu.au</t>
  </si>
  <si>
    <t>Bradby, Jodie E/A-8963-2009</t>
  </si>
  <si>
    <t>Bradby, Jodie E/0000-0002-9560-8400; Roberts, Donna/0000-0001-6701-6662</t>
  </si>
  <si>
    <t>Australian Government through the Department of Climate Change; Australian Cooperative Research Centres Program; Australian Antarctic Division (AAS) [2720]</t>
  </si>
  <si>
    <t>Australian Government through the Department of Climate Change(Australian Government); Australian Cooperative Research Centres Program(Australian GovernmentDepartment of Industry, Innovation and ScienceCooperative Research Centres (CRC) Programme); Australian Antarctic Division (AAS)</t>
  </si>
  <si>
    <t>This work was supported by the Australian Government through the Department of Climate Change, the Australian Cooperative Research Centres Program and the Australian Antarctic Division (AAS Grant #2720).</t>
  </si>
  <si>
    <t>1054-3139</t>
  </si>
  <si>
    <t>1095-9289</t>
  </si>
  <si>
    <t>ICES J MAR SCI</t>
  </si>
  <si>
    <t>ICES J. Mar. Sci.</t>
  </si>
  <si>
    <t>10.1093/icesjms/fst100</t>
  </si>
  <si>
    <t>Fisheries; Marine &amp; Freshwater Biology; Oceanography</t>
  </si>
  <si>
    <t>239RB</t>
  </si>
  <si>
    <t>WOS:000326042000022</t>
  </si>
  <si>
    <t>Giebel, HA; Kalhoefer, D; Gahl-Janssen, R; Choo, YJ; Lee, K; Cho, JC; Tindall, BJ; Rhiel, E; Beardsley, C; Aydogmus, ÖO; Voget, S; Daniel, R; Simon, M; Brinkhoff, T</t>
  </si>
  <si>
    <t>Giebel, Helge-Ansgar; Kalhoefer, Daniela; Gahl-Janssen, Renate; Choo, Yoe-Jin; Lee, Kiyoung; Cho, Jang-Cheon; Tindall, Brian J.; Rhiel, Erhard; Beardsley, Christine; Aydogmus, Oemer O.; Voget, Sonja; Daniel, Rolf; Simon, Meinhard; Brinkhoff, Thorsten</t>
  </si>
  <si>
    <t>Planktomarina temperata gen. nov., sp nov., belonging to the globally distributed RCA cluster of the marine Roseobacter clade, isolated from the German Wadden Sea</t>
  </si>
  <si>
    <t>NORTH-SEA; BACTERIAL COMMUNITIES; LIPID-COMPOSITION; SOUTHERN-OCEAN; WESER ESTUARY; RIBOSOMAL-RNA; COMB.-NOV; DIVERSITY; RECLASSIFICATION; ALPHAPROTEOBACTERIUM</t>
  </si>
  <si>
    <t>Four heterotrophic bacterial strains belonging to the globally distributed marine RCA (Roseobacter clade-affiliated) cluster (family Rhodobacteraceae, class Alphaproteobacteria) were obtained from coastal seawater samples. Strain RCA23(T) was isolated from a 10(-7) dilution culture inoculated with seawater from the German Wadden Sea (southern North Sea), reflecting the high abundance of RCA bacteria in this habitat. Strains IMCC1909, IMCC1923 and IMCC1933 were isolated from diluted seawater (10(-3)) of the Yellow Sea, South Korea. Based on 16S rRNA gene sequence comparison, Octadecabacter antarcticus 307(T) is the closest described relative of the RCA strains, with 95.4-95.5% sequence similarity. Cells of RCA23(T), IMCC1909, IMCC1923 and IMCC1933 are small motile rods requiring sodium ions. Optimal growth of RCA23(T) occurs at 25 degrees C and within a very narrow pH range (pH 7-8, optimum pH 7.5). The DNA G+C base content of RCA23(T) is 53.67 mol%. The major respiratory lipoquinone is ubiquinone-10 (Q-10) and the dominant fatty acids (&gt;1%) are 12 : 1 3-OH, 16 : 1 omega 7c, 16 : 0, 18 : 1 omega 7c, 18 : 0 and 11-methyl 18 : 1 omega 7c. The polar lipid pattern indicated the presence of phosphatidylglycerol, two unidentified aminolipids and two unidentified phospholipids. On marine agar, RCA23(T) forms non-pigmented, transparent to light beige, small (&lt;1 mm), circular, convex colonies. Strain RCA23(T) harbours all genes for the production of bacteriochlorophyll a (BChl a). Genes encoding the light-harvesting reaction centre of BChl a (pufM) were identified in all RCA strains. No visible pigmentation was observed for any of the strains under laboratory conditions, but spectrophotometric analysis revealed weak production of BChl a by RCA23(T). Morphological, physiological and genotypic features of strain RCA23(T) suggest that it represents a novel species of a new genus within the Rhodobacteraceae, for which we propose the name Planktomarina temperata gen. nov., sp. nov., described previously by Giebel et al. [ISME J5 (201 1), 8-19] as 'Candidatus Planktomarina temperata'. The type strain of Planktomarina temperata is RCA23(T) (=DSM 22400(T)=JCM 18269(T)).</t>
  </si>
  <si>
    <t>[Giebel, Helge-Ansgar; Kalhoefer, Daniela; Gahl-Janssen, Renate; Rhiel, Erhard; Beardsley, Christine; Aydogmus, Oemer O.; Simon, Meinhard; Brinkhoff, Thorsten] Carl von Ossietzky Univ Oldenburg, Inst Chem &amp; Biol Marine Environm ICBM, D-26111 Oldenburg, Germany; [Choo, Yoe-Jin; Lee, Kiyoung; Cho, Jang-Cheon] Inha Univ, Div Biol &amp; Ocean Sci, Inchon, South Korea; [Tindall, Brian J.] Deutsch Sammlung Mikroorganismen &amp; Zellkulturen, Leibniz Inst, D-38124 Braunschweig, Germany; [Voget, Sonja; Daniel, Rolf] Univ Gottingen, Inst Microbiol &amp; Genet Genom &amp; Appl Microbiol, D-37077 Gottingen, Germany; [Voget, Sonja; Daniel, Rolf] Univ Gottingen, Gottingen Genom Lab, D-37077 Gottingen, Germany</t>
  </si>
  <si>
    <t>Carl von Ossietzky Universitat Oldenburg; Inha University; Leibniz Institut fur Deutsche Sammlung von Mikroorganismen und Zellkulturen (DSMZ); University of Gottingen; University of Gottingen</t>
  </si>
  <si>
    <t>Brinkhoff, T (corresponding author), Carl von Ossietzky Univ Oldenburg, Inst Chem &amp; Biol Marine Environm ICBM, D-26111 Oldenburg, Germany.</t>
  </si>
  <si>
    <t>t.brinkhoff@icbm.de</t>
  </si>
  <si>
    <t>Cho, Jang-Cheon/B-4676-2013; Daniel, Rolf/AAQ-5933-2021</t>
  </si>
  <si>
    <t>Daniel, Rolf/0000-0002-8646-7925; Cho, Jang-Cheon/0000-0002-0666-3791; Giebel, Helge-Ansgar/0000-0002-9452-0810</t>
  </si>
  <si>
    <t>Deutsche Forschungsgemeinschaft (DFG) within the Special Priority Program on Antarctic Research; Transregional Collaborative Research Center [TRR-51]; 21C Frontier Program of Microbial Genomics and Applications; MEST, Republic of Korea</t>
  </si>
  <si>
    <t>Deutsche Forschungsgemeinschaft (DFG) within the Special Priority Program on Antarctic Research(German Research Foundation (DFG)); Transregional Collaborative Research Center; 21C Frontier Program of Microbial Genomics and Applications(Ministry of Education, Science &amp; Technology (MEST), Republic of Korea); MEST, Republic of Korea(Ministry of Education, Science &amp; Technology (MEST), Republic of Korea)</t>
  </si>
  <si>
    <t>We thank Andrea Schlingloff, Birgit Kurzel, Mathias Wolterink, Rolf Weinert and Michael Pilzen for technical assistance. We are most grateful to the Oregon State University High Throughput Culturing Laboratory, headed by Steven Giovannoni, and to Farooq Azam and Xavier Mayali for providing strains HTCC2150 and LE17, respectively. This work was supported by the Deutsche Forschungsgemeinschaft (DFG) within the Special Priority Program on Antarctic Research, the Transregional Collaborative Research Center (TRR-51) and the 21C Frontier Program of Microbial Genomics and Applications funded by MEST, Republic of Korea.</t>
  </si>
  <si>
    <t>SOC GENERAL MICROBIOLOGY</t>
  </si>
  <si>
    <t>READING</t>
  </si>
  <si>
    <t>MARLBOROUGH HOUSE, BASINGSTOKE RD, SPENCERS WOODS, READING RG7 1AG, BERKS, ENGLAND</t>
  </si>
  <si>
    <t>10.1099/ijs.0.053249-0</t>
  </si>
  <si>
    <t>WOS:000328666600044</t>
  </si>
  <si>
    <t>Makhalanyane, TP; Valverde, A; Birkeland, NK; Cary, SC; Tuffin, IM; Cowan, DA</t>
  </si>
  <si>
    <t>Makhalanyane, Thulani P.; Valverde, Angel; Birkeland, Nils-Kare; Cary, Stephen C.; Tuffin, I. Marla; Cowan, Don A.</t>
  </si>
  <si>
    <t>Evidence for successional development in Antarctic hypolithic bacterial communities</t>
  </si>
  <si>
    <t>Antarctica; community assembly; hypoliths; pyrosequencing; soil; succession; T-RFLP</t>
  </si>
  <si>
    <t>RIBOSOMAL-RNA SEQUENCES; MCMURDO DRY VALLEYS; MICROBIAL COMMUNITIES; BETA-DIVERSITY; ECOLOGY; PHOTOSYNTHESIS; COLONIZATION; PATTERNS; GRADIENT; GENES</t>
  </si>
  <si>
    <t>Hypoliths (cryptic microbial assemblages that develop on the undersides of translucent rocks) are significant contributors to regional C and N budgets in both hot and cold deserts. Previous studies in the Dry Valleys of Eastern Antarctica have reported three morphologically distinct hypolithic community types: cyanobacteria dominated (type I), fungus dominated (type II) and moss dominated (type III). Here we present terminal-restriction fragment length polymorphism analyses to elucidate the bacterial community structure in hypolithons and the surrounding soils. We show clear and robust distinction in bacterial composition between bulk surface soils and hypolithons. Moreover, the bacterial assemblages were similar in types II and III hypolithons and clearly distinct from those found in type I. Through 16S rRNA gene 454 pyrosequencing, we show that Proteobacteria dominated all three types of hypolithic communities. As expected, Cyanobacteria were more abundant in type I hypolithons, whereas Actinobacteria were relatively more abundant in types II and III hypolithons, and were the dominant group in soils. Using a probabilistic dissimilarity metric and random sampling, we demonstrate that deterministic processes are more important in shaping the structure of the bacterial community found in types II and III hypolithons. Most notably, the data presented in this study suggest that hypolithic bacterial communities establish via a successional model, with the type I hypolithons acting as the basal development state.</t>
  </si>
  <si>
    <t>[Makhalanyane, Thulani P.; Valverde, Angel; Tuffin, I. Marla; Cowan, Don A.] Univ Pretoria, Ctr Microbial Ecol &amp; Genom, Dept Genet, ZA-0028 Pretoria, South Africa; [Makhalanyane, Thulani P.; Valverde, Angel; Cowan, Don A.] Univ Western Cape, Inst Microbial Biotechnol &amp; Metagenom, Cape Town, South Africa; [Birkeland, Nils-Kare] Univ Bergen, Dept Biol, Ctr Geobiol, Bergen, Norway; [Cary, Stephen C.] Univ Waikato, Dept Biol Sci, Hamilton, New Zealand</t>
  </si>
  <si>
    <t>University of Pretoria; University of the Western Cape; University of Bergen; University of Waikato</t>
  </si>
  <si>
    <t>Cowan, DA (corresponding author), Univ Pretoria, Ctr Microbial Ecol &amp; Genom, Dept Genet, ZA-0028 Pretoria, South Africa.</t>
  </si>
  <si>
    <t>don.cowan@up.ac.za</t>
  </si>
  <si>
    <t>Cowan, Donald A/E-3991-2012; Makhalanyane, Thulani P./C-6815-2012; Trindade, Marla/AAU-9730-2020; Valverde, Angel/C-1308-2009</t>
  </si>
  <si>
    <t>Cowan, Donald A/0000-0001-8059-861X; Makhalanyane, Thulani P./0000-0002-8173-1678; Trindade, Marla/0000-0002-2478-0270; Valverde, Angel/0000-0003-0439-9605; Cary, Stephen/0000-0002-2876-2387</t>
  </si>
  <si>
    <t>National Research Foundation (South Africa); Research Council of Norway (the South Africa Program) [180352]; University of the Western Cape</t>
  </si>
  <si>
    <t>National Research Foundation (South Africa)(National Research Foundation - South AfricaSouth African Medical Research Council); Research Council of Norway (the South Africa Program); University of the Western Cape</t>
  </si>
  <si>
    <t>We gratefully acknowledge financial support from the following organizations: the National Research Foundation (South Africa), the Research Council of Norway (the South Africa Program; grant no. 180352) and the University of the Western Cape for funding TPM, AV, N-KB and DAC. Logistical support for field research was provided by Antarctica New Zealand and the University of Waikato FRST research project (Understanding, valuing and protecting Antarctica's unique terrestrial ecosystems: Predicting biocomplexity in Dry Valley ecosystems). We also wish to thank Dr Katharina Besemer (University of Vienna) for providing us with her R script.</t>
  </si>
  <si>
    <t>SPRINGERNATURE</t>
  </si>
  <si>
    <t>10.1038/ismej.2013.94</t>
  </si>
  <si>
    <t>240JD</t>
  </si>
  <si>
    <t>Bronze, Green Submitted, Green Published</t>
  </si>
  <si>
    <t>WOS:000326090800003</t>
  </si>
  <si>
    <t>Feng, S; Powell, SM; Wilson, R; Bowman, JP</t>
  </si>
  <si>
    <t>Feng, Shi; Powell, Shane M.; Wilson, Richard; Bowman, John P.</t>
  </si>
  <si>
    <t>Light-stimulated growth of proteorhodopsin-bearing sea-ice psychrophile Psychroflexus torquis is salinity dependent</t>
  </si>
  <si>
    <t>post-transcriptional regulation; proteomics; proteorhodopsin; salinity stress; sea-ice</t>
  </si>
  <si>
    <t>GENE-EXPRESSION; MARINE; BACTERIA; BIOENERGETICS; PHOTOTROPHY</t>
  </si>
  <si>
    <t>Proteorhodopsins (PRs) are commonly found in marine prokaryotes and allow microbes to use light as an energy source. In recent studies, it was reported that PR stimulates growth and survival under nutrient-limited conditions. In this study, we tested the effect of nutrient and salinity stress on the extremely psychrophilic sea-ice bacterial species Psychroflexus torquis, which possesses PR. We demonstrated for the first time that light-stimulated growth occurs under conditions of salinity stress rather than nutrient limitation and that elevated salinity is related to increased growth yields, PR levels and associated proton-pumping activity. PR abundance in P. torquis also is post-transcriptionally regulated by both light and salinity and thus could represent an adaptation to its sea-ice habitat. Our findings extend the existing paradigm that light provides an energy source for marine prokaryotes under stress conditions other than nutrient limitation.</t>
  </si>
  <si>
    <t>[Feng, Shi; Powell, Shane M.; Bowman, John P.] Univ Tasmania, Tasmanian Inst Agr, Sch Agr Sci, Food Safety Ctr, Hobart, Tas 7005, Australia; [Wilson, Richard] Univ Tasmania, Cent Sci Lab, Hobart, Tas 7005, Australia</t>
  </si>
  <si>
    <t>Bowman, JP (corresponding author), Univ Tasmania, Tasmanian Inst Agr, Sch Agr Sci, Food Safety Ctr, Coll Rd, Hobart, Tas 7005, Australia.</t>
  </si>
  <si>
    <t>john.bowman@utas.edu.au</t>
  </si>
  <si>
    <t>Bowman, John P/C-2414-2014; Bowman, John P./ABF-5108-2020; Powell, Shane M/C-2391-2014; Wilson, Richard/H-8429-2012</t>
  </si>
  <si>
    <t>Bowman, John P/0000-0002-4528-9333; Bowman, John P./0000-0002-4528-9333; Wilson, Richard/0000-0003-0152-4394; Powell, Shane/0000-0001-5082-1630</t>
  </si>
  <si>
    <t>Australian Antarctic Science [3127]</t>
  </si>
  <si>
    <t>This work was supported by Australian Antarctic Science Grant no. 3127, SEWPac (DEWHA). We thank Professor Tom McMeekin for critical discussion related to the manuscript. We also want to thank Associate/Professor Noel Davies for performing the HPLC analysis.</t>
  </si>
  <si>
    <t>10.1038/ismej.2013.97</t>
  </si>
  <si>
    <t>WOS:000326090800014</t>
  </si>
  <si>
    <t>Sturt, F; Garrow, D; Bradley, S</t>
  </si>
  <si>
    <t>Sturt, Fraser; Garrow, Duncan; Bradley, Sarah</t>
  </si>
  <si>
    <t>New models of North West European Holocene palaeogeography and inundation</t>
  </si>
  <si>
    <t>Holocene palaeogeography; Sea-level change; GIA modeling; Doggerland; Environmental change; Mesolithic; Neolithic; Bronze Age; Iron Age; Maritime archaeology</t>
  </si>
  <si>
    <t>SEA-LEVEL CHANGE; POSTGLACIAL ISOSTATIC-ADJUSTMENT; BRITISH-ISLES; BRITAIN; COAST</t>
  </si>
  <si>
    <t>This paper presents new 500 year interval palaeogeographic models for Britain, Ireland and the North West French coast from 11000 cal. BP to present. These models are used to calculate the varying rates of inundation for different geographical zones over the study period. This allows for consideration of the differential impact that Holocene sea-level rise had across space and time, and on past societies. In turn, consideration of the limitations of the models helps to foreground profitable areas for future research. (C) 2013 The Authors. Published by Elsevier Ltd. All rights reserved.</t>
  </si>
  <si>
    <t>[Sturt, Fraser] Univ Southampton, Southampton SO17 1BF, Hants, England; [Garrow, Duncan] Univ Liverpool, Liverpool L69 3GS, Merseyside, England; [Bradley, Sarah] British Antarctic Survey, Cambridge CB3 9ET, England</t>
  </si>
  <si>
    <t>University of Southampton; University of Liverpool; UK Research &amp; Innovation (UKRI); Natural Environment Research Council (NERC); NERC British Antarctic Survey</t>
  </si>
  <si>
    <t>Sturt, F (corresponding author), Univ Southampton, Southampton SO17 1BF, Hants, England.</t>
  </si>
  <si>
    <t>f.sturt@soton.ac.uk; Duncan.Garrow@liverpool.ac.uk; d80ngv@gmail.com</t>
  </si>
  <si>
    <t>Garrow, Duncan/HPF-0485-2023</t>
  </si>
  <si>
    <t>Garrow, Duncan/0000-0002-3164-2618; Sturt, Fraser/0000-0002-3010-990X</t>
  </si>
  <si>
    <t>AHRC [AH/I021841/1]; AHRC [AH/I021841/1] Funding Source: UKRI; NERC [bas0100027] Funding Source: UKRI; Arts and Humanities Research Council [AH/I021841/1] Funding Source: researchfish; Natural Environment Research Council [bas0100027] Funding Source: researchfish</t>
  </si>
  <si>
    <t>AHRC(UK Research &amp; Innovation (UKRI)Arts &amp; Humanities Research Council (AHRC)); AHRC(UK Research &amp; Innovation (UKRI)Arts &amp; Humanities Research Council (AHRC)); NERC(UK Research &amp; Innovation (UKRI)Natural Environment Research Council (NERC)); Arts and Humanities Research Council(UK Research &amp; Innovation (UKRI)Arts &amp; Humanities Research Council (AHRC)); Natural Environment Research Council(UK Research &amp; Innovation (UKRI)Natural Environment Research Council (NERC))</t>
  </si>
  <si>
    <t>We are indebted to: Digimap Guernsey and the Ordnance Survey for provision of VORF data; and Tony Brooks, Justin Dix and John Renouf for early conversations on this topic. The GIS work described above and the broader background research was carried out as part of the AHRC funded [AH/I021841/1] Stepping Stones to the Neolithic project.</t>
  </si>
  <si>
    <t>10.1016/j.jas.2013.05.023</t>
  </si>
  <si>
    <t>217KM</t>
  </si>
  <si>
    <t>WOS:000324358400014</t>
  </si>
  <si>
    <t>Frants, M; Damerell, GM; Gille, ST; Heywood, KJ; MacKinnon, J; Sprintall, J</t>
  </si>
  <si>
    <t>Frants, Marina; Damerell, Gillian M.; Gille, Sarah T.; Heywood, Karen J.; MacKinnon, Jennifer; Sprintall, Janet</t>
  </si>
  <si>
    <t>An Assessment of Density-Based Finescale Methods for Estimating Diapycnal Diffusivity in the Southern Ocean</t>
  </si>
  <si>
    <t>JOURNAL OF ATMOSPHERIC AND OCEANIC TECHNOLOGY</t>
  </si>
  <si>
    <t>Diapycnal mixing; Mixing; In situ oceanic observations; Ship observations</t>
  </si>
  <si>
    <t>DISSIPATION; SCALES; SHEAR; TOPOGRAPHY; TURBULENCE; OVERTURNS; THORPE; STRAIN</t>
  </si>
  <si>
    <t>Finescale estimates of diapycnal diffusivity are computed from CTD and expendable CTD (XCTD) data sampled in Drake Passage and in the eastern Pacific sector of the Southern Ocean and are compared against microstructure measurements from the same times and locations. The microstructure data show vertical diffusivities that are one-third to one-fifth as large over the smooth abyssal plain in the southeastern Pacific as they are in Drake Passage, where diffusivities are thought to be enhanced by the flow of the Antarctic Circumpolar Current over rough topography. Finescale methods based on vertical strain estimates are successful at capturing the spatial variability between the low-mixing regime in the southeastern Pacific and the high-mixing regime of Drake Passage. Thorpe-scale estimates for the same dataset fail to capture the differences between Drake Passage and eastern Pacific estimates. XCTD profiles have lower vertical resolution and higher noise levels after filtering than CTD profiles, resulting in XCTD estimates that are, on average, an order of magnitude higher than CTD estimates. Overall, microstructure diffusivity estimates are better matched by strain-based estimates than by estimates based on Thorpe scales, and CTD data appear to perform better than XCTD data. However, even the CTD-based strain diffusivity estimates can differ from microstructure diffusivities by nearly an order of magnitude, suggesting that density-based fine-structure methods of estimating mixing from CTD or XCTD data have real limitations in low-stratification regimes such as the Southern Ocean.</t>
  </si>
  <si>
    <t>[Frants, Marina; Gille, Sarah T.; MacKinnon, Jennifer; Sprintall, Janet] Univ Calif San Diego, Scripps Inst Oceanog, La Jolla, CA 92093 USA; [Damerell, Gillian M.; Heywood, Karen J.] Univ E Anglia, Sch Environm Sci, Norwich NR4 7TJ, Norfolk, England</t>
  </si>
  <si>
    <t>University of California System; University of California San Diego; Scripps Institution of Oceanography; University of East Anglia</t>
  </si>
  <si>
    <t>Frants, M (corresponding author), Univ New S Wales, Sydney, NSW 2052, Australia.</t>
  </si>
  <si>
    <t>m.frants@unsw.edu.au</t>
  </si>
  <si>
    <t>Gille, Sarah T./B-3171-2012; Heywood, Karen/L-1757-2016</t>
  </si>
  <si>
    <t>Heywood, Karen/0000-0001-9859-0026; Damerell, Gillian/0000-0001-5808-0822; MacKinnon, Jennifer/0000-0002-7690-1185; Gille, Sarah/0000-0001-9144-4368</t>
  </si>
  <si>
    <t>U.S. National Science Foundation [ANT-0444134, ANT-0948338, OCE-0622740, OCE-0957342]; Australian Research Council [ARC DP120100674]; U.K. DIMES NERC [NE/E005985/1]; NERC; NERC [NE/E007058/1, NE/E005985/1, NE/G001502/1] Funding Source: UKRI; Natural Environment Research Council [NE/E005985/1, NE/E007058/1, NE/G001502/1] Funding Source: researchfish; Office of Polar Programs (OPP); Directorate For Geosciences [0948338] Funding Source: National Science Foundation</t>
  </si>
  <si>
    <t>U.S. National Science Foundation(National Science Foundation (NSF)); Australian Research Council(Australian Research Council); U.K. DIMES NERC; NERC(UK Research &amp; Innovation (UKRI)Natural Environment Research Council (NERC)); NERC(UK Research &amp; Innovation (UKRI)Natural Environment Research Council (NERC)); Natural Environment Research Council(UK Research &amp; Innovation (UKRI)Natural Environment Research Council (NERC)); Office of Polar Programs (OPP); Directorate For Geosciences(National Science Foundation (NSF)NSF - Directorate for Geosciences (GEO))</t>
  </si>
  <si>
    <t>We are grateful to Jim Ledwell, Lou St. Laurent, and Andreas Thurnherr for the useful discussions. We also thank the crew and scientific party aboard R/V Thomas G. Thompson for facilitating the deployment of XCTDs as well as other instruments needed for this study. This research was supported by the U.S. National Science Foundation (Grants ANT-0444134, ANT-0948338, OCE-0622740, and OCE-0957342), the Australian Research Council Grant ARC DP120100674, and by the U.K. DIMES NERC Grant NE/E005985/1 and a NERC doctoral studentship.</t>
  </si>
  <si>
    <t>0739-0572</t>
  </si>
  <si>
    <t>1520-0426</t>
  </si>
  <si>
    <t>J ATMOS OCEAN TECH</t>
  </si>
  <si>
    <t>J. Atmos. Ocean. Technol.</t>
  </si>
  <si>
    <t>10.1175/JTECH-D-12-00241.1</t>
  </si>
  <si>
    <t>Engineering, Ocean; Meteorology &amp; Atmospheric Sciences</t>
  </si>
  <si>
    <t>Engineering; Meteorology &amp; Atmospheric Sciences</t>
  </si>
  <si>
    <t>251SQ</t>
  </si>
  <si>
    <t>WOS:000326951400011</t>
  </si>
  <si>
    <t>Jackson, K; Wilkinson, J; Maksym, T; Meldrum, D; Beckers, J; Haas, C; Mackenzie, D</t>
  </si>
  <si>
    <t>Jackson, Keith; Wilkinson, Jeremy; Maksym, Ted; Meldrum, David; Beckers, Justin; Haas, Christian; Mackenzie, David</t>
  </si>
  <si>
    <t>A Novel and Low-Cost Sea Ice Mass Balance Buoy</t>
  </si>
  <si>
    <t>Sea ice; Buoy observations; In situ oceanic observations; Instrumentation; sensors</t>
  </si>
  <si>
    <t>THERMAL-CONDUCTIVITY; THICKNESS; COVER; ANTARCTICA; WINTER; SNOW</t>
  </si>
  <si>
    <t>The understanding of sea ice mass balance processes requires continuous monitoring of the seasonal evolution of the ice thickness. While autonomous ice mass balance (IMB) buoys deployed over the past two decades have contributed to scientists' understanding of ice growth and decay processes, deployment has been limited, in part, by the cost of such systems. Routine, basinwide monitoring of the ice cover is realistically achievable through a network of reliable and affordable autonomous instrumentation. This paper describes the development of a novel autonomous platform and sensor that replaces the traditional thermistor strings for monitoring temperature profiles in the ice and snow using a chain of inexpensive digital temperature chip sensors linked by a single-wire data bus. By incorporating a heating element into each sensor, the instrument is capable of resolving material interfaces (e.g., air-snow and ice-ocean boundaries) even under isothermal conditions. The instrument is small, low cost, and easy to deploy. Field and laboratory tests of the sensor chain demonstrate that the technology can reliably resolve material boundaries to within a few centimeters. The discrimination between different media based on sensor thermal response is weak in some deployments and efforts to optimize the performance continue.</t>
  </si>
  <si>
    <t>[Jackson, Keith; Wilkinson, Jeremy; Meldrum, David] Scottish Assoc Marine Sci, Oban, Argyll, Scotland; [Maksym, Ted] Woods Hole Oceanog Inst, Woods Hole, MA 02543 USA; [Beckers, Justin; Haas, Christian] Univ Alberta, Edmonton, AB, Canada; [Mackenzie, David] Univ Oxford, Oxford, England</t>
  </si>
  <si>
    <t>UHI Millennium Institute; Woods Hole Oceanographic Institution; University of Alberta; University of Oxford</t>
  </si>
  <si>
    <t>Jackson, K (corresponding author), Univ Aberdeen, Oceanlab, Newburgh AB41 6AA, Aberdeen, Scotland.</t>
  </si>
  <si>
    <t>keith.jackson@abdn.ac.uk</t>
  </si>
  <si>
    <t>Beckers, Justin/I-2806-2014; Haas, Christian/L-5279-2016</t>
  </si>
  <si>
    <t>Beckers, Justin/0000-0003-0751-3995; Haas, Christian/0000-0002-7674-3500</t>
  </si>
  <si>
    <t>Natural Environment Research Council (NERC) of the United Kingdom; EU; Office of Naval Research's Marginal Ice Zone DRI program; Natural Environment Research Council [NE/G001006/1, NE/I02867X/1, bas0100023] Funding Source: researchfish; NERC [NE/G001006/1, bas0100023, NE/I02867X/1] Funding Source: UKRI</t>
  </si>
  <si>
    <t>Natural Environment Research Council (NERC) of the United Kingdom(UK Research &amp; Innovation (UKRI)Natural Environment Research Council (NERC)); EU(European Union (EU)); Office of Naval Research's Marginal Ice Zone DRI program; Natural Environment Research Council(UK Research &amp; Innovation (UKRI)Natural Environment Research Council (NERC)); NERC(UK Research &amp; Innovation (UKRI)Natural Environment Research Council (NERC))</t>
  </si>
  <si>
    <t>The original development of the SAMS IMB buoy was funded by the Natural Environment Research Council (NERC) of the United Kingdom under a project called Novel Ice Characterisation Experiment -1 (NICE-1). Refinements were made possible through the NERC ASBO, ICEBELL and TEA-COSI projects as well as EU-funded DAMOCLES and ACCESS programs and the Office of Naval Research's Marginal Ice Zone DRI program. Commercial development, marketing, and sales of the device has been supported by SAMS Research Services Ltd. (SRSL). Figure 3 is by Peter Bucktrout of the British Antarctic Survey.</t>
  </si>
  <si>
    <t>10.1175/JTECH-D-13-00058.1</t>
  </si>
  <si>
    <t>WOS:000326951400013</t>
  </si>
  <si>
    <t>Chaubey, JP; Moorthy, KK; Babu, SS; Gogoi, MM</t>
  </si>
  <si>
    <t>Chaubey, Jai Prakash; Moorthy, K. Krishna; Babu, S. Suresh; Gogoi, Mukunda M.</t>
  </si>
  <si>
    <t>Spatio-temporal variations in aerosol properties over the oceanic regions between coastal India and Antarctica</t>
  </si>
  <si>
    <t>Aerosol optical depth; Black carbon; Southern ocean; Antarctic aerosol; Marine aerosols</t>
  </si>
  <si>
    <t>OPTICAL DEPTH; SIZE DISTRIBUTIONS; ARABIAN SEA; ATMOSPHERIC AEROSOLS; SATELLITE RETRIEVALS; PHYSICAL-PROPERTIES; ATLANTIC-OCEAN; SUMMER; SOUTHERN; PARTICLES</t>
  </si>
  <si>
    <t>Measurements of aerosol optical depth (AOD), mass concentrations of black carbon (M-B) and composite aerosols (M-T) in the marine atmospheric boundary layer (MABL) were made during onward [Dec 2007 to Jan 2008; Northern Hemispheric (NH) winter] and return (Mar-Apr 2008; NH spring) legs of the transcontinental cruise of 27th Indian Scientific Expedition to Antarctica (ISEA) during International Polar Year of 2007-2008. Large latitudinal gradients are seen; with AOD decreasing from coastal India (AOD similar to 0.45) to coastal Antarctica (AOD similar to 0.04) during NH winter. The measurements also evidenced a strong seasonality of AOD over all regions, with a decrease of the values and gradient in NH spring. BC concentration in the MABL decreases exponentially from 3800 ng m(-3) (over 10 degrees N) to 624 ng m(-3) near equator and much lower values (&lt; 100 ng m(-3)) over southern oceanic region. Seasonality in the latitudinal gradients of AOD, M-B and M-T exists over regions north of 20 degrees S. Multi campaign [Pilot Expedition to Southern Ocean (2004), Special Expedition to Larsemann Hills (2007) and Tropical Indian Ocean cruise (2010)] analysis over these oceanic regions showed that the pattern over the regions (south of 20 degrees S) remained the same. Seasonality of AOD exists over Atlantic Ocean as well. Temporal variation of AOD at different latitudes derived from AERONET data also showed marked seasonality and latitudinal variation in northern hemisphere than in southern Hemisphere. Satellite retrieved AOD showed good correlation with the ship borne measurements; while GOCART retrieved AOD underestimates but gives a measure of the spatial variations. (C) 2013 Elsevier Ltd. All rights reserved.</t>
  </si>
  <si>
    <t>[Chaubey, Jai Prakash; Moorthy, K. Krishna; Babu, S. Suresh; Gogoi, Mukunda M.] Vikram Sarabhai Space Ctr, Space Phys Lab, Trivandrum 695022, Kerala, India</t>
  </si>
  <si>
    <t>Department of Space (DoS), Government of India; Indian Space Research Organisation (ISRO); Vikram Sarabhai Space Center (VSSC)</t>
  </si>
  <si>
    <t>Gogoi, MM (corresponding author), Vikram Sarabhai Space Ctr, Space Phys Lab, Trivandrum 695022, Kerala, India.</t>
  </si>
  <si>
    <t>dr_mukunda@vssc.gov.in</t>
  </si>
  <si>
    <t>MOORTHY, KRISHNA/AAG-6807-2019</t>
  </si>
  <si>
    <t>Moorthy, K. Krishna/0000-0002-7234-3868</t>
  </si>
  <si>
    <t>10.1016/j.jastp.2013.08.004</t>
  </si>
  <si>
    <t>WOS:000327232100003</t>
  </si>
  <si>
    <t>Sommerfeld, J; Kato, A; Ropert-Coudert, Y; Garthe, S; Hindell, MA</t>
  </si>
  <si>
    <t>Sommerfeld, Julia; Kato, Akiko; Ropert-Coudert, Yan; Garthe, Stefan; Hindell, Mark A.</t>
  </si>
  <si>
    <t>The individual counts: within sex differences in foraging strategies are as important as sex-specific differences in masked boobies Sula dactylatra</t>
  </si>
  <si>
    <t>JOURNAL OF AVIAN BIOLOGY</t>
  </si>
  <si>
    <t>BODY CONDITION; DIVING BEHAVIOR; PARENTAL EFFORT; ANTARCTIC PETREL; TRIP DURATION; SEABIRD; CHICK; SIZE; DIMORPHISM; ISLAND</t>
  </si>
  <si>
    <t>Understanding how animals allocate their foraging time is a central question in behavioural ecology. Intrinsic factors, such as body mass and size differences between sexes or species, influence animals' foraging behaviour, but studies investigating the effects of individual differences in body mass and size within the same sex are scarce. We investigated this in chick-rearing masked boobies Sula dactylatra, a species with reversed sexual dimorphism, through the simultaneous deployment of GPS and depth-acceleration loggers to obtain information on foraging movements and activity patterns. Heavier females performed shorter trips closer to the colony than lighter females. During these shorter trips, heavier females spent higher proportions of their flight time flapping and less time resting on the water than lighter females did during longer trips. In contrast, body mass did not affect trip duration of males, however heavier males spent less time flapping and more time resting on the water than lighter males. This may occur as a result of higher flight costs associated with body mass and allow conservation of energy during locomotion. Body size (i.e. wing length) had no effect on any of the foraging parameters. Dive depths and dive rates (dives h(-1)) were not affected by body mass, but females dived significantly deeper than males, suggesting that other factors are important. Other studies demonstrated that females are the parent in charge of provisioning the chick, and maintain a flexible investment under regulation of their own body mass. Variation in trip length therefore seems to be triggered by body condition in females, but not in males. Consequently, shorter trips are presumably used to provision the chick, while longer trips are for self-maintenance. Our findings underline the importance of accounting for the effects of body mass differences within the same sex, if sex-specific foraging parameters in dimorphic species are being investigated.</t>
  </si>
  <si>
    <t>[Sommerfeld, Julia; Hindell, Mark A.] Univ Tasmania, Inst Marine &amp; Antarctic Studies, Hobart, Tas 7001, Australia; [Sommerfeld, Julia; Garthe, Stefan] Univ Kiel, Res &amp; Technol Ctr FTZ, DE-25761 Busum, Germany; [Kato, Akiko; Ropert-Coudert, Yan] Univ Strasbourg, IPHC, FR-67087 Strasbourg, France; [Kato, Akiko; Ropert-Coudert, Yan] CNRS, UMR7178, FR-67037 Strasbourg, France</t>
  </si>
  <si>
    <t>University of Tasmania; University of Kiel; Universites de Strasbourg Etablissements Associes; Universite de Strasbourg; Centre National de la Recherche Scientifique (CNRS); CNRS - National Institute of Nuclear and Particle Physics (IN2P3); Universites de Strasbourg Etablissements Associes; Universite de Strasbourg</t>
  </si>
  <si>
    <t>Sommerfeld, J (corresponding author), Univ Tasmania, Inst Marine &amp; Antarctic Studies, Private Bag 129, Hobart, Tas 7001, Australia.</t>
  </si>
  <si>
    <t>julia.sommerfeld@utas.edu.au</t>
  </si>
  <si>
    <t>Hindell, Mark A/K-1131-2013; Kato, Akiko/W-2447-2019</t>
  </si>
  <si>
    <t>Hindell, Mark/0000-0002-7823-7185; Kato, Akiko/0000-0002-8947-3634</t>
  </si>
  <si>
    <t>Australian Holsworth Wildlife Research Endowment; Australian Geographic Society; Birds Australia; International Postgraduate Research Scholarship</t>
  </si>
  <si>
    <t>Australian Holsworth Wildlife Research Endowment; Australian Geographic Society; Birds Australia; International Postgraduate Research Scholarship(Australian Government)</t>
  </si>
  <si>
    <t>This research study was funded by the Australian Holsworth Wildlife Research Endowment, the Australian Geographic Society and Birds Australia. JS was supported by an International Postgraduate Research Scholarship. We are greatly thankful for the logistical support provided by Norfolk Islands National Park. We deeply thank D. and J. Bigg from Norfolk Islands Charter Marine for safe boat trips to and from Phillip Island and for providing accommodation. Special thanks to P. Buffet and J. C. Bailey for providing accommodation for our volunteers. Our gratitude goes to H. McCoy and B. and O. Evans for their support and invaluable knowledge. For assistance in the field, we thank M. Holdsworth, K. Kreger, R. Hohnen and F. McDuie. We thank F. Korner-Nievergelt from Oikostat, Switzerland, and S. Wotherspoon from the Inst. for Marine and Antarctic studies, Australia, for statistical guidance. This study was carried out under the permission of Norfolk Islands National Park and in accordance with the principles and guidelines of the Animal ethics committee of the Univ. of Tasmania.</t>
  </si>
  <si>
    <t>0908-8857</t>
  </si>
  <si>
    <t>1600-048X</t>
  </si>
  <si>
    <t>J AVIAN BIOL</t>
  </si>
  <si>
    <t>J. Avian Biol.</t>
  </si>
  <si>
    <t>10.1111/j.1600-048X.2013.00135.x</t>
  </si>
  <si>
    <t>255ED</t>
  </si>
  <si>
    <t>WOS:000327221300003</t>
  </si>
  <si>
    <t>Kazama, K; Hirata, K; Yamamoto, T; Hashimoto, H; Takahashi, A; Niizuma, Y; Trathan, PN; Watanuki, Y</t>
  </si>
  <si>
    <t>Kazama, Kentaro; Hirata, Kazuhiko; Yamamoto, Takashi; Hashimoto, Hiroshi; Takahashi, Akinori; Niizuma, Yasuaki; Trathan, Philip N.; Watanuki, Yutaka</t>
  </si>
  <si>
    <t>Movements and activities of male black-tailed gulls in breeding and sabbatical years</t>
  </si>
  <si>
    <t>STREAKED SHEARWATERS; BEHAVIOR; POPULATION; SURVIVAL; CLIMATE; SEABIRD; ARRIVAL; COST; AGE</t>
  </si>
  <si>
    <t>Long-lived animals sometimes skip one or more breeding seasons; however, little is known about their movements and activities during such sabbatical' periods. Here we present novel data on year-round movements and activities of two male black-tailed gulls Larus crassirostris during a sabbatical year. We compare the data with those in a year when they bred and with those of two other breeding males. The year-round migration routes of two sabbatical males were consistent with those of the breeding males: they returned to the breeding area but did not visit the colony in the sabbatical year. They landed more frequently on water (a potential index of foraging effort) during the non-breeding autumn and winter prior to the sabbatical year than before breeding. Sabbatical gulls may forage more intensively to recover body condition immediately after breeding.</t>
  </si>
  <si>
    <t>[Kazama, Kentaro; Hirata, Kazuhiko; Watanuki, Yutaka] Hokkaido Univ, Grad Sch Fisheries Sci, Lab Marine Ecol, JP-0418611 Hakodate, Hokkaido, Japan; [Yamamoto, Takashi; Takahashi, Akinori] Natl Inst Polar Res, JP-1908518 Tachikawa, Tokyo, Japan; [Hashimoto, Hiroshi] Meijo Univ, Lab Landscape Design, Fac Agr, Tenpa Ku, JP-4688502 Nagoya, Aichi, Japan; [Trathan, Philip N.] British Antarctic Survey, Nat Environm Res Council, Cambridge CB3 0ET, England</t>
  </si>
  <si>
    <t>Hokkaido University; Research Organization of Information &amp; Systems (ROIS); National Institute of Polar Research (NIPR) - Japan; Meijo University; UK Research &amp; Innovation (UKRI); Natural Environment Research Council (NERC); NERC British Antarctic Survey</t>
  </si>
  <si>
    <t>Kazama, K (corresponding author), Meijo Univ, Fac Agr, Lab Environm Zool, Tenpa Ku, 1-501 Shiogamaguchi, JP-4688502 Nagoya, Aichi, Japan.</t>
  </si>
  <si>
    <t>kntkzma@gmail.com</t>
  </si>
  <si>
    <t>Kazama, Kentaro/D-1191-2012</t>
  </si>
  <si>
    <t>Kazama, Kentaro/0000-0002-8995-0357</t>
  </si>
  <si>
    <t>Strategic Research Foundation from the Ministry of Education, Culture, Sport, Science, and Technology, Japan (MEXT) [S0801056]; Grants-in-Aid for Scientific Research [23657024, 24810031, 13J05174] Funding Source: KAKEN; NERC [bas0100025] Funding Source: UKRI; Natural Environment Research Council [bas0100025] Funding Source: researchfish</t>
  </si>
  <si>
    <t>Strategic Research Foundation from the Ministry of Education, Culture, Sport, Science, and Technology, Japan (MEXT); Grants-in-Aid for Scientific Research(Ministry of Education, Culture, Sports, Science and Technology, Japan (MEXT)Japan Society for the Promotion of ScienceGrants-in-Aid for Scientific Research (KAKENHI)); NERC(UK Research &amp; Innovation (UKRI)Natural Environment Research Council (NERC)); Natural Environment Research Council(UK Research &amp; Innovation (UKRI)Natural Environment Research Council (NERC))</t>
  </si>
  <si>
    <t>We thank K. Kosugi, M. Sato, R. Sato, N. Takahashi, J. Kaji, K. Nakaya, T. Kawabata, T. Nishijima, K. Nishijima, S. Okada and H. Fujii for their support and assistance in the field. We are grateful to T. Alerstam for very helpful comments and suggestions to improve the manuscript. We would also like to thank Mark Brazil, Scientific Editing Services, for assistance in the preparation of the final draft of the manuscript. Hokkaido Soya sub-prefectural office gave us permission to work on the black-tailed gulls in the study areas on Rishiri Island. This study was conducted with support by the Strategic Research Foundation Grant-aided Project for Private Universities (S0801056) from the Ministry of Education, Culture, Sport, Science, and Technology, Japan (MEXT).</t>
  </si>
  <si>
    <t>10.1111/j.1600-048X.2013.00103.x</t>
  </si>
  <si>
    <t>WOS:000327221300012</t>
  </si>
  <si>
    <t>van Haren, H; Morozov, E; Gostiaux, L; Tarakanov, R</t>
  </si>
  <si>
    <t>van Haren, Hans; Morozov, Eugene; Gostiaux, Louis; Tarakanov, Roman</t>
  </si>
  <si>
    <t>Convective and shear-induced turbulence in the deep Kane Gap</t>
  </si>
  <si>
    <t>internal waves; turbulence; high-sampling rate thermistors; Kane Gap</t>
  </si>
  <si>
    <t>BOTTOM BOUNDARY-LAYER; CONTINENTAL-SLOPE; STRATIFIED FLOW; INTERNAL WAVES; SHELF; OCEAN; TEMPERATURE; DISSIPATION; OVERTURNS; CHANNEL</t>
  </si>
  <si>
    <t>The boundary layer above a 4569 m deep slope in the near-equatorial N-Atlantic Ocean Kane Gap, a throughflow for Antarctic Bottom Water (AABW), is characterized by two distinct turbulent regimes that differ by an order of magnitude in intensity depending on the direction of throughflow. During southward and downward flow, vertical mixing is vigorous. This is inferred from high-resolution temperature observations between 6 and 132 m above the bottom. For a representative case study of 2 days, average values are found for dissipation rate of epsilon=2.11 x 10(-9) W kg(-1) and eddy diffusivity of K-z=74 x 10(-4) m(2) s(-1). The mixing is across relatively large vertical overturns. During northward and upward flow, smaller overturns are more horizontal as in stratified shear flow (with representative 2 day mean epsilon=63 x 10(-11) W kg(-1), K-z=42 x 10(-5) m(2) s(-1)). Stratification is approximately the same during both flow directions. Although the different turbulence regimes are partially associated with frictional boundary layers of large-scale flows above sloping topography, but not with those over flat bottoms, and partially with flow across a hill-promontory, internal waves are a dominant process in promoting turbulence. In addition, internal waves are observed to push stratification toward the bottom thereby importantly contributing to the mixing of AABW.</t>
  </si>
  <si>
    <t>[van Haren, Hans] Royal Netherlands Inst Sea Res NIOZ, NL-1790 AB Den Burg, Texel, Netherlands; [Morozov, Eugene; Tarakanov, Roman] Russian Acad Sci, Shirshov Inst Oceanol, Moscow, Russia; [Gostiaux, Louis] Univ Lyon, Ecole Cent Lyon, Lab Mecan Fluides &amp; Acoust, Ecully, France</t>
  </si>
  <si>
    <t>Utrecht University; Royal Netherlands Institute for Sea Research (NIOZ); Russian Academy of Sciences; Shirshov Institute of Oceanology; Centre National de la Recherche Scientifique (CNRS); Ecole Centrale de Lyon; Institut National des Sciences Appliquees de Lyon - INSA Lyon; Universite Claude Bernard Lyon 1; Universite Jean Monnet</t>
  </si>
  <si>
    <t>van Haren, H (corresponding author), Royal Netherlands Inst Sea Res NIOZ, POB 59, NL-1790 AB Den Burg, Texel, Netherlands.</t>
  </si>
  <si>
    <t>hans.van.haren@nioz.nl</t>
  </si>
  <si>
    <t>Morozov, Eugene G/L-3023-2018; Tarakanov, Roman/R-3325-2016</t>
  </si>
  <si>
    <t>Tarakanov, Roman/0000-0002-8711-1859; Morozov, Eugene/0000-0002-0251-3454; Gostiaux, Louis/0000-0001-9683-4461</t>
  </si>
  <si>
    <t>Netherlands Organization for the advancement of scientific research (NWO)</t>
  </si>
  <si>
    <t>Netherlands Organization for the advancement of scientific research (NWO)(Netherlands Organization for Scientific Research (NWO))</t>
  </si>
  <si>
    <t>The project RUSNL10 (coordinator L. Maas) was financed in part by the Netherlands Organization for the advancement of scientific research (NWO). We thank captains and crews of R/Vs Ak. Ioffe and Ak. Sergey Vavilov for their assistance. We thank Martin Laan for the development of NIOZ-thermistors and mooring preparation.</t>
  </si>
  <si>
    <t>10.1002/2013JC009282</t>
  </si>
  <si>
    <t>291YD</t>
  </si>
  <si>
    <t>WOS:000329867900005</t>
  </si>
  <si>
    <t>Aoki, S; Kitade, Y; Shimada, K; Ohshima, KI; Tamura, T; Bajish, CC; Moteki, M; Rintoul, SR</t>
  </si>
  <si>
    <t>Aoki, S.; Kitade, Y.; Shimada, K.; Ohshima, K. I.; Tamura, T.; Bajish, C. C.; Moteki, M.; Rintoul, S. R.</t>
  </si>
  <si>
    <t>Widespread freshening in the Seasonal Ice Zone near 140°E off the Adelie Land Coast, Antarctica, from 1994 to</t>
  </si>
  <si>
    <t>freshening; Antarctic Bottom Water; Winter Water; global hydrological cycle; freshwater flux</t>
  </si>
  <si>
    <t>BOTTOM WATER; SOUTHERN-OCEAN; HYDROLOGICAL CYCLE; SALINITY; TRENDS; LAYER</t>
  </si>
  <si>
    <t>Long-term water mass changes during 1994-2012 are examined from nine repeat hydrographic sections in the Seasonal Ice Zone along 140 degrees E, off Antarctica. Significant freshening trends are detected within most of the water masses from the bottom to surface. Bottom Water freshened by 0.008-0.009 decade(-1) below isopycnal surfaces and its layer thickness decreased by 120-160 dbar decade(-1) throughout the study period. In addition to general thinning, the layer thickness was anomalously thin in 2012, suggesting a possible link with the sudden calving of the Mertz Glacier Tongue and subsequent reduction in sea-ice production. Winter Water freshened by 0.03 decade(-1) throughout the study period, with significant interannual variability. In the offshore region, a long-term increase in precipitation can explain a substantial portion of the freshening trend. The Lower Circumpolar Deep Water on the continental slope underwent freshening at the same rate as the Bottom Water during the last two decades. Modified Shelf Water also shows robust freshening at a rate of 0.03 decade(-1). Combined with the freshening of near-surface and Bottom Water masses in this region, these data indicate freshening of the entire water column over the continental slope. This widespread freshening is broadly consistent with the enhancement of the global hydrological cycle, together with a possible acceleration of land ice melting.</t>
  </si>
  <si>
    <t>[Aoki, S.; Ohshima, K. I.] Hokkaido Univ, Inst Low Temp Sci, Sapporo, Hokkaido 0600819, Japan; [Aoki, S.; Tamura, T.; Rintoul, S. R.] Univ Tasmania, Antarctic Climate &amp; Ecosyst Cooperat Res Ctr, Hobart, Tas, Australia; [Kitade, Y.; Moteki, M.] Tokyo Univ Marine Sci &amp; Technol, Dept Ocean Sci, Tokyo, Japan; [Shimada, K.] Tokyo Univ Marine Sci &amp; Technol, Oceanog Observat Ctr, Tokyo, Japan; [Tamura, T.] Natl Inst Polar Res, Tokyo, Japan; [Tamura, T.] Grad Univ Adv Studies, Tokyo, Japan; [Bajish, C. C.] Hokkaido Univ, Grad Sch Environm Sci, Sapporo, Hokkaido 0600819, Japan; [Rintoul, S. R.] CSIRO, Hobart, Tas, Australia; [Rintoul, S. R.] Ctr Australian Weather &amp; Climate Res, Hobart, Tas, Australia; [Rintoul, S. R.] Wealth Oceans Natl Res Flagship, Hobart, Tas, Australia</t>
  </si>
  <si>
    <t>Hokkaido University; Antarctic Climate &amp; Ecosystems Cooperative Research Centre (ACE CRC); University of Tasmania; Tokyo University of Marine Science &amp; Technology; Tokyo University of Marine Science &amp; Technology; Research Organization of Information &amp; Systems (ROIS); National Institute of Polar Research (NIPR) - Japan; Graduate University for Advanced Studies - Japan; Hokkaido University; Commonwealth Scientific &amp; Industrial Research Organisation (CSIRO); Commonwealth Scientific &amp; Industrial Research Organisation (CSIRO); Commonwealth Scientific &amp; Industrial Research Organisation (CSIRO)</t>
  </si>
  <si>
    <t>Aoki, S (corresponding author), Hokkaido Univ, Inst Low Temp Sci, Kita Ku, N19W8, Sapporo, Hokkaido 0600819, Japan.</t>
  </si>
  <si>
    <t>shigeru@lowtem.hokudai.ac.jp</t>
  </si>
  <si>
    <t>Ohshima, Kay I/D-6909-2012; Aoki, Shigeru/D-9105-2012; Rintoul, Stephen R/A-1471-2012; KITADE, Yujiro/O-1912-2014</t>
  </si>
  <si>
    <t>Rintoul, Stephen R/0000-0002-7055-9876; KITADE, Yujiro/0000-0002-9312-6870; , Bajish/0000-0002-5909-094X</t>
  </si>
  <si>
    <t>MEXT of the Japanese Government [21310002, 20221001]; Australian Government's Cooperative Research Centres Program, through the Antarctic Climate and Ecosystems Cooperative Research Centre (ACE CRC); Department of Industry, Innovation, Climate Change, Science, Research and Tertiary Education through the Australian Climate Change Science Program; Grants-in-Aid for Scientific Research [25241001, 24810030, 21310002] Funding Source: KAKEN</t>
  </si>
  <si>
    <t>MEXT of the Japanese Government(Ministry of Education, Culture, Sports, Science and Technology, Japan (MEXT)); Australian Government's Cooperative Research Centres Program, through the Antarctic Climate and Ecosystems Cooperative Research Centre (ACE CRC)(Australian GovernmentDepartment of Industry, Innovation and ScienceCooperative Research Centres (CRC) Programme); Department of Industry, Innovation, Climate Change, Science, Research and Tertiary Education through the Australian Climate Change Science Program; Grants-in-Aid for Scientific Research(Ministry of Education, Culture, Sports, Science and Technology, Japan (MEXT)Japan Society for the Promotion of ScienceGrants-in-Aid for Scientific Research (KAKENHI))</t>
  </si>
  <si>
    <t>We are most grateful to the captains and crews on board R/V Umitaka maru and Aurora Australis. Thanks are extended to A. H. Orsi and T. Whitworth III who kindly provide and maintain WOCE Southern Ocean Atlas (http://woceSOatlas.tamu.edu) and K. Yoshimura for his providing and instructing the precipitation data set of IsoGSM. We also thank anonymous reviewers for their helpful comments. The global ocean heat flux and evaporation products were provided by the WHOI OAFlux project (http://oaflux.whoi.edu) funded by the NOAA Climate Observations and Monitoring (COM) program. This work was supported by Grant-in-Aid for Scientific Research (21310002 and 20221001) of the MEXT of the Japanese Government, by the Australian Government's Cooperative Research Centres Program, through the Antarctic Climate and Ecosystems Cooperative Research Centre (ACE CRC), and by the Department of Industry, Innovation, Climate Change, Science, Research and Tertiary Education through the Australian Climate Change Science Program.</t>
  </si>
  <si>
    <t>10.1002/2013JC009009</t>
  </si>
  <si>
    <t>WOS:000329867900014</t>
  </si>
  <si>
    <t>Kwon, EY</t>
  </si>
  <si>
    <t>Kwon, Eun Young</t>
  </si>
  <si>
    <t>Temporal variability of transformation, formation, and subduction rates of upper Southern Ocean waters</t>
  </si>
  <si>
    <t>transformation and formation; temporal variability; Southern annular mode; coupled climate model; Southern Ocean; diapycnal mixing</t>
  </si>
  <si>
    <t>AIR-SEA FLUXES; MASS TRANSFORMATION; INTERMEDIATE WATER; DECADAL CHANGES; MODE WATER; PART I; CIRCULATION; LAYER; EDDIES; DRIVEN</t>
  </si>
  <si>
    <t>Kinematic and thermodynamic approaches are employed to diagnose the time-dependent transformation, formation, and subduction rates of upper Southern Ocean waters in a multidecadal simulation within an eddy-permitting coupled climate model. In the Subantarctic Mode Water (SAMW) density class, a convergence of diapycnal volume fluxes leads to the formation and inflation of mixed layer waters during winter. A portion of this water is detrained into the pycnocline during early spring, when surface heating restratifies the deep winter mixed layer. The annually averaged subduction rate of SAMW shows pronounced interannual variability, partly controlled by the temporal tendency of the winter mixed layer depth from one year to the next. No significant correlation between the Southern Annular Mode (SAM) and the isopycnally integrated SAMW subduction rate is apparent. However, Ekman downwelling/upwelling intensities modulated by the SAM influence interannual variations in the subduction rates of water masses lighter and heavier than SAMW with an opposing sign: during positive phases of the SAM, more pycnocline waters are entrained into the mixed layer and transformed into lighter densities within the Antarctic Intermediate Water density class, whereas more mixed layer waters are subducted into the pycnocline within the Subtropical Mode Water density class. Such distinct responses of upper Southern Ocean water masses to the SAM are qualitatively consistent with observational constraints. Based on a comparison between offline kinematic and thermodynamic diagnostics, we infer that diapycnal mixing within the mixed layer may contribute up to 50% of the formation rate of SAMW on interannual timescales.</t>
  </si>
  <si>
    <t>Seoul Natl Univ, Res Inst Oceanog, Seoul 151742, South Korea</t>
  </si>
  <si>
    <t>Seoul National University (SNU)</t>
  </si>
  <si>
    <t>Kwon, EY (corresponding author), Seoul Natl Univ, Res Inst Oceanog, Seoul 151742, South Korea.</t>
  </si>
  <si>
    <t>ekwon76@snu.ac.kr</t>
  </si>
  <si>
    <t>National Science Foundation (NSF); Ministry of Land, Transport and Maritime Affairs, Korea</t>
  </si>
  <si>
    <t>National Science Foundation (NSF)(National Science Foundation (NSF)); Ministry of Land, Transport and Maritime Affairs, Korea(Ministry of Land, Transport and Maritime Affairs (MLTM), Republic of Korea)</t>
  </si>
  <si>
    <t>I would like to thank Stephen Griffies, Gualtiero Badin, Stephanie Downes, and Tim DeVries for valuable comments on this manuscript. I also thank Jorge Sarmiento and GFDL scientists who graciously allowed access to the GFDL high performance computing system for the analysis of the model solutions. I am particularly grateful to Andrey Proshutinsky and three anonymous reviewers for their constructive and detailed comments. The CORE2 flux data were obtained from the Research Data Archive (RDA) which is maintained by the Computational and Information Systems Laboratory (CISL) at the National Center for Atmospheric Research (NCAR). NCAR is sponsored by the National Science Foundation (NSF). The original data are available from the RDA (http://rda.ucar.edu). I also thank ECMWF for making the ERA-40 reanalysis product available. This research is a part of the project titled Ocean Climate Change: Analyses, Projections, Adaptation (OCCAPA) funded by the Ministry of Land, Transport and Maritime Affairs, Korea.</t>
  </si>
  <si>
    <t>10.1002/2013JC008823</t>
  </si>
  <si>
    <t>WOS:000329867900028</t>
  </si>
  <si>
    <t>Melet, A; Nikurashin, M; Muller, C; Falahat, S; Nycander, J; Timko, PG; Arbic, BK; Goff, JA</t>
  </si>
  <si>
    <t>Melet, Angelique; Nikurashin, Maxim; Muller, Caroline; Falahat, S.; Nycander, Jonas; Timko, Patrick G.; Arbic, Brian K.; Goff, John A.</t>
  </si>
  <si>
    <t>Internal tide generation by abyssal hills using analytical theory</t>
  </si>
  <si>
    <t>internal waves; internal tide generation; linear wave theory; small-scale topography; ocean mixing</t>
  </si>
  <si>
    <t>SEA-FLOOR MORPHOLOGY; OVERTURNING CIRCULATION; STOCHASTIC-ANALYSIS; DEEP-OCEAN; WAVES; DISSIPATION; CONVERSION; RIDGE; ENERGETICS; PACIFIC</t>
  </si>
  <si>
    <t>Internal tide driven mixing plays a key role in sustaining the deep ocean stratification and meridional overturning circulation. Internal tides can be generated by topographic horizontal scales ranging from hundreds of meters to tens of kilometers. State of the art topographic products barely resolve scales smaller than approximate to 10 km in the deep ocean. On these scales abyssal hills dominate ocean floor roughness. The impact of abyssal hill roughness on internal-tide generation is evaluated in this study. The conversion of M-2 barotropic to baroclinic tidal energy is calculated based on linear wave theory both in real and spectral space using the Shuttle Radar Topography Mission SRTM30_PLUS bathymetric product at 1/120 degrees resolution with and without the addition of synthetic abyssal hill roughness. Internal tide generation by abyssal hills integrates to 0.1 TW globally or 0.03 TW when the energy flux is empirically corrected for supercritical slope (i.e., approximate to 10% of the energy flux due to larger topographic scales resolved in standard products in both cases). The abyssal hill driven energy conversion is dominated by mid-ocean ridges, where abyssal hill roughness is large. Focusing on two regions located over the Mid-Atlantic Ridge and the East Pacific Rise, it is shown that regionally linear theory predicts an increase of the energy flux due to abyssal hills of up to 100% or 60% when an empirical correction for supercritical slopes is attempted. Therefore, abyssal hills, unresolved in state of the art topographic products, can have a strong impact on internal tide generation, especially over mid-ocean ridges.</t>
  </si>
  <si>
    <t>[Melet, Angelique] Princeton Univ, Program Atmospher &amp; Ocean Sci, Princeton, NJ 08544 USA; [Nikurashin, Maxim] Univ Tasmania, Inst Marine &amp; Antarctic Studies, Hobart, Tas, Australia; [Muller, Caroline] Ecole Polytech, CNRS, Lab Hydrodynam, F-91128 Palaiseau, France; [Falahat, S.; Nycander, Jonas] Stockholm Univ, Dept Meteorol, S-10691 Stockholm, Sweden; [Timko, Patrick G.] Bangor Univ, Ctr Appl Marine Sci, Menai Bridge, Gwynedd, Wales; [Arbic, Brian K.] Bangor Univ, Ctr Appl Marine Sci, Menai Bridge, Gwynedd, Wales; [Goff, John A.] Univ Texas Austin, Inst Geophys, Jackson Sch Geosci, Austin, TX USA</t>
  </si>
  <si>
    <t>Princeton University; National Oceanic Atmospheric Admin (NOAA) - USA; University of Tasmania; Institut Polytechnique de Paris; Centre National de la Recherche Scientifique (CNRS); Stockholm University; Bangor University; Bangor University; University of Texas System; University of Texas Austin</t>
  </si>
  <si>
    <t>Melet, A (corresponding author), NOAA, Geophys Fluid Dynam Lab, Princeton Univ Forrestal Campus,201 Forrestal Rd, Princeton, NJ 08540 USA.</t>
  </si>
  <si>
    <t>amelet@princeton.edu</t>
  </si>
  <si>
    <t>Nycander, Jonas/E-1334-2011; Melet, Angelique/ABE-5148-2020; Nikurashin, Maxim/J-3506-2013; Nikurashin, Maxim/P-4018-2019</t>
  </si>
  <si>
    <t>Nycander, Jonas/0000-0002-4414-6859; Melet, Angelique/0000-0003-3888-8159; Timko, Patrick/0000-0003-2869-561X; Nikurashin, Maxim/0000-0002-5714-8343; Arbic, Brian K/0000-0002-7969-2294</t>
  </si>
  <si>
    <t>National Science Foundation [OCE-0968721, OCE-096878, OCE-0924481]; National Oceanic and Atmospheric Administration, U.S. Department of Commerce [NA08OAR4320752]; University of Texas Jackson School of Geosciences Development grant; Naval Research Laboratory [N000173-06-2-C003]; Office of Naval Research grants [N00014-07-1-0392, N00014-09-1-1003, N00014-11-1-0487]</t>
  </si>
  <si>
    <t>National Science Foundation(National Science Foundation (NSF)); National Oceanic and Atmospheric Administration, U.S. Department of Commerce(National Oceanic Atmospheric Admin (NOAA) - USA); University of Texas Jackson School of Geosciences Development grant; Naval Research Laboratory(United States Department of Defense); Office of Naval Research grants(Office of Naval Research)</t>
  </si>
  <si>
    <t>The authors would like to thank three anonymous reviewers as well as Sonya Legg for helpful comments leading to improvements in the manuscript. They also acknowledge the use of the SOSIE software for interpolation of data. The work of AM and BKA on this paper is a component of the Internal-wave driven mixing Climate Process Team funded by National Science Foundation grants OCE-0968721 and OCE-096878 and the National Oceanic and Atmospheric Administration, U.S. Department of Commerce, award NA08OAR4320752. The statements, findings, conclusions, and recommendations are those of the authors and do not necessarily reflect the views of the National Oceanic and Atmospheric Administration, or the U.S. Department of Commerce. BKA, PGT, and JAG also acknowledge support from a University of Texas Jackson School of Geosciences Development grant, Naval Research Laboratory contract N000173-06-2-C003, Office of Naval Research grants N00014-07-1-0392, N00014-09-1-1003, and N00014-11-1-0487, and National Science Foundation grant OCE-0924481.</t>
  </si>
  <si>
    <t>10.1002/2013JC009212</t>
  </si>
  <si>
    <t>Green Accepted, Green Published, Bronze</t>
  </si>
  <si>
    <t>WOS:000329867900029</t>
  </si>
  <si>
    <t>Clilverd, MA; Cobbett, N; Rodger, CJ; Brundell, JB; Denton, MH; Hartley, DP; Rodriguez, JV; Danskin, D; Raita, T; Spanswick, EL</t>
  </si>
  <si>
    <t>Clilverd, Mark A.; Cobbett, Neil; Rodger, Craig J.; Brundell, James B.; Denton, Michael H.; Hartley, David P.; Rodriguez, Juan V.; Danskin, Donald; Raita, Tero; Spanswick, Emma L.</t>
  </si>
  <si>
    <t>Energetic electron precipitation characteristics observed from Antarctica during a flux dropout event</t>
  </si>
  <si>
    <t>energetic electron precipitation; Antarctica; flux dropout event</t>
  </si>
  <si>
    <t>OUTER RADIATION BELT; RELATIVISTIC ELECTRONS; VLF; ACCELERATION; ELF</t>
  </si>
  <si>
    <t>Data from two autonomous VLF radio receiver systems installed in a remote region of the Antarctic in 2012 is used to take advantage of the juxtaposition of the L=4.6 contour, and the Hawaii-Halley, Antarctica, great circle path as it passes over thick Antarctic ice shelf. The ice sheet conductivity leads to high sensitivity to changing D region conditions, and the quasi constant L shell highlights outer radiation belt processes. The ground-based instruments observed several energetic electron precipitation events over a moderately active 24 h period, during which the outer radiation belt electron flux declined at most energies and subsequently recovered. Combining the ground-based data with low and geosynchronous orbiting satellite observations on 27 February 2012, different driving mechanisms were observed for three precipitation events with clear signatures in phase space density and electron anisotropy. Comparison between flux measurements made by Polar-orbiting Operational Environmental Satellites (POES) in low Earth orbit and by the Antarctic instrumentation provides evidence of different cases of weak and strong diffusion into the bounce loss cone, helping to understand the physical mechanisms controlling the precipitation of energetic electrons into the atmosphere. Strong diffusion events occurred as the &lt;600 keV fluxes began to recover as a result of adiabatic transport of electrons. One event appeared to have a factor of about 10 to 100 times more flux than was reported by POES, consistent with weak diffusion into the bounce loss cone. Two events had a factor of about 3 to 10 times more &gt;30 keV flux than was reported by POES, more consistent with strong diffusion conditions.</t>
  </si>
  <si>
    <t>[Clilverd, Mark A.; Cobbett, Neil] British Antarctic Survey, Cambridge CB3 0ET, England; [Rodger, Craig J.; Brundell, James B.] Univ Otago, Dept Phys, Dunedin, New Zealand; [Denton, Michael H.; Hartley, David P.] Univ Lancaster, Dept Phys, Lancaster, England; [Rodriguez, Juan V.] Univ Colorado, Cooperat Inst Res Environm Sci, Boulder, CO 80309 USA; [Rodriguez, Juan V.] NOAA, Natl Geophys Data Ctr, Boulder, CO 80303 USA; [Danskin, Donald] Nat Resources Canada, Geomagnet Lab, Ottawa, ON, Canada; [Raita, Tero] Univ Oulu, Sodankyla Geophys Observ, Sodankyla, Finland; [Spanswick, Emma L.] Univ Calgary, Calgary, AB, Canada</t>
  </si>
  <si>
    <t>UK Research &amp; Innovation (UKRI); Natural Environment Research Council (NERC); NERC British Antarctic Survey; University of Otago; Lancaster University; University of Colorado System; University of Colorado Boulder; National Oceanic Atmospheric Admin (NOAA) - USA; Natural Resources Canada; University of Oulu; University of Calgary</t>
  </si>
  <si>
    <t>Clilverd, MA (corresponding author), British Antarctic Survey NERC, Madingley Rd, Cambridge CB3 0ET, England.</t>
  </si>
  <si>
    <t>macl@bas.ac.uk</t>
  </si>
  <si>
    <t>Rodger, Craig/A-1501-2011; Spanswick, Emma/JDC-7880-2023; Rodriguez, Juan/AAA-3588-2022; Brundell, James/F-3196-2013</t>
  </si>
  <si>
    <t>Danskin, Donald William/0000-0002-4968-9094; Brundell, James/0000-0002-8753-4720; Rodger, Craig J./0000-0002-6770-2707; Denton, Michael/0000-0002-1748-3710; Spanswick, Emma/0000-0001-8003-5091; Raita, Tero/0000-0002-0455-5746; Hartley, David/0000-0001-8630-8054</t>
  </si>
  <si>
    <t>Natural Environmental Research Council under the Antarctic Funding Initiative [AFI/11/22]; New Zealand Marsden Fund; STFC [ST/I000801/1]; STFC PhD Studentship; GOES-R Risk Reduction Program; Natural Environment Research Council [bas0100023, NE/H014888/1, NE/H014330/1] Funding Source: researchfish; Science and Technology Facilities Council [ST/I000801/1] Funding Source: researchfish; NERC [NE/H014330/1, NE/H014888/1, bas0100023] Funding Source: UKRI; STFC [ST/I000801/1] Funding Source: UKRI</t>
  </si>
  <si>
    <t>Natural Environmental Research Council under the Antarctic Funding Initiative; New Zealand Marsden Fund(Royal Society of New ZealandMarsden Fund (NZ)); STFC(UK Research &amp; Innovation (UKRI)Science &amp; Technology Facilities Council (STFC)); STFC PhD Studentship(UK Research &amp; Innovation (UKRI)Science &amp; Technology Facilities Council (STFC)); GOES-R Risk Reduction Program; Natural Environment Research Council(UK Research &amp; Innovation (UKRI)Natural Environment Research Council (NERC)); Science and Technology Facilities Council(UK Research &amp; Innovation (UKRI)Science &amp; Technology Facilities Council (STFC)); NERC(UK Research &amp; Innovation (UKRI)Natural Environment Research Council (NERC)); STFC(UK Research &amp; Innovation (UKRI)Science &amp; Technology Facilities Council (STFC))</t>
  </si>
  <si>
    <t>M.A. C. and N.C.O. would like to acknowledge the important contributions from Nick Alford and Tom Stroud, particularly for their skill and assistance in building and deploying the Autonomous AARDDVARK systems. The authors would like to thank the Space Physics Data Facility (SPDF) for providing the solar and geomagnetic data. The research leading to these results has received funding from the Natural Environmental Research Council under the Antarctic Funding Initiative (AFI/11/22). C.J.R. was supported by the New Zealand Marsden Fund. M. H. D. was supported by STFC grant ST/I000801/1 and D. H. was supported by a STFC PhD Studentship. And J.V.R. was supported by the GOES-R Risk Reduction Program.</t>
  </si>
  <si>
    <t>10.1002/2013JA019067</t>
  </si>
  <si>
    <t>293SB</t>
  </si>
  <si>
    <t>WOS:000329992900011</t>
  </si>
  <si>
    <t>Hartmann, K</t>
  </si>
  <si>
    <t>Hartmann, Klaas</t>
  </si>
  <si>
    <t>The equivalence of two phylogenetic biodiversity measures: the Shapley value and Fair Proportion index</t>
  </si>
  <si>
    <t>JOURNAL OF MATHEMATICAL BIOLOGY</t>
  </si>
  <si>
    <t>Phylogenetic diversity; Biodiversity; Conservation; Shapley; Fair proportion</t>
  </si>
  <si>
    <t>NOAHS-ARK PROBLEM; DIVERSITY; CONSERVATION; TREES</t>
  </si>
  <si>
    <t>Most biodiversity conservation programs are forced to prioritise species in order to allocate their funding. This paper contains a mathematical proof that provides biological support for one common approach based on phylogenetic indices. Phylogenetic trees describe the evolutionary relationships between a group of taxa. Two indices for computing the distinctiveness of each taxon in a phylogenetic tree are considered here-the Shapley value and the Fair Proportion index. These indices provide a measure of the importance of each taxon for overall biodiversity and have been used to prioritise taxa for conservation. The Shapley value is the biodiversity contribution a taxon is expected to make if all taxa are equally likely to become extinct. This interpretation makes it appealing to use the Shapley value in biodiversity conservation applications. The Fair Proportion index lacks a convenient interpretation, however it is significantly easier to calculate and understand. It has been empirically observed that there is a high correlation between the two indices. This paper shows the mathematical basis for this correlation and proves that as the number of taxa increases, the indices become equivalent. Consequently in biodiversity prioritisation the simpler Fair Proportion index can be used whilst retaining the appealing interpretation of the Shapley value.</t>
  </si>
  <si>
    <t>Univ Tasmania, Inst Marine &amp; Antarctic Studies, Hobart, Tas, Australia</t>
  </si>
  <si>
    <t>Hartmann, K (corresponding author), Univ Tasmania, Inst Marine &amp; Antarctic Studies, Hobart, Tas, Australia.</t>
  </si>
  <si>
    <t>klaas.hartmann@utas.edu.au</t>
  </si>
  <si>
    <t>Hartmann, Klaas/B-3991-2008</t>
  </si>
  <si>
    <t>0303-6812</t>
  </si>
  <si>
    <t>1432-1416</t>
  </si>
  <si>
    <t>J MATH BIOL</t>
  </si>
  <si>
    <t>J. Math. Biol.</t>
  </si>
  <si>
    <t>10.1007/s00285-012-0585-y</t>
  </si>
  <si>
    <t>Biology; Mathematical &amp; Computational Biology</t>
  </si>
  <si>
    <t>Life Sciences &amp; Biomedicine - Other Topics; Mathematical &amp; Computational Biology</t>
  </si>
  <si>
    <t>232BK</t>
  </si>
  <si>
    <t>WOS:000325463200006</t>
  </si>
  <si>
    <t>Katsumata, K; Sloyan, BM; Masuda, S</t>
  </si>
  <si>
    <t>Katsumata, K.; Sloyan, B. M.; Masuda, S.</t>
  </si>
  <si>
    <t>Diapycnal and Isopycnal Transports in the Southern Ocean Estimated by a Box Inverse Model</t>
  </si>
  <si>
    <t>Southern Hemisphere; Meridional overturning circulation; Mixing; Upwelling; downwelling; Mixed layer; Inverse methods</t>
  </si>
  <si>
    <t>ANTARCTIC CIRCUMPOLAR CURRENT; LARGE-SCALE CIRCULATION; HYDROGRAPHIC SECTION; BOTTOM WATER; DRAKE PASSAGE; REANALYSIS; FLOW; PARAMETERIZATION; OCEANOGRAPHY; EDDIES</t>
  </si>
  <si>
    <t>Quantitative descriptions of Circumpolar Deep Water upwelling and evolution into a lighter mode and heavier bottom waters in the Southern Ocean are still not well constrained. Here, data from two occupations of eight hydrographic sections are combined and used in a box inverse model to estimate isopycnal and diapycnal transports in the Southern Ocean. A mixed layer box allows diapycnal transports in the surface mixed layer to be estimated separately. Current velocity at 1000 dbar was constrained by the mean velocity field estimated from subsurface float drift data. The estimated isopycnal transports are largely consistent with past estimates and with outputs of three ocean general circulation models. The estimated subduction and upwelling at the base of the Southern Ocean mixed layer show that Upper Circumpolar Deep Water upwells [16 +/- 15 and 17 +/- 21 Sv (where 1 Sv 10(6) m(3) s(-1)) by different inversion methods] and evolves into heavier Lower Circumpolar Deep Water (5 +/- 13 and 6 +/- 18 Sv) and Bottom Water (8 +/- 9 and 8 +/- 13 Sv) or lighter Mode and Intermediate Waters (9 +/- 18 and 13 +/- 24 Sv). Meridional transport in the surface mixed layer is due to northward Ekman transport and mostly southward eddy transport. In seasonal ice-covered areas near Antarctica, a significant (14 +/- 14 Sv) southward transport was found. The southward eddy transport is largest north of the Antarctic Circumpolar Current and decreases poleward because of the poleward decrease in the eddy diffusivity. The interior diapycnal transports, which can be either upward (gaining buoyancy) or downward (gaining density), are comparable in magnitude to the horizontal diapycnal transports within the surface mixed layer.</t>
  </si>
  <si>
    <t>[Katsumata, K.; Masuda, S.] RIGC JAMSTEC, Yokosuka, Kanagawa 2370061, Japan; [Sloyan, B. M.] CSIRO, Ctr Australian Weather &amp; Climate, Hobart, Tas, Australia; [Sloyan, B. M.] CSIRO Wealth Ocean Natl Res Flagship, Hobart, Tas, Australia</t>
  </si>
  <si>
    <t>Japan Agency for Marine-Earth Science &amp; Technology (JAMSTEC); Commonwealth Scientific &amp; Industrial Research Organisation (CSIRO); Commonwealth Scientific &amp; Industrial Research Organisation (CSIRO)</t>
  </si>
  <si>
    <t>Katsumata, K (corresponding author), RIGC JAMSTEC, 2-15 Natsushima, Yokosuka, Kanagawa 2370061, Japan.</t>
  </si>
  <si>
    <t>k.katsumata@jamstec.go.jp</t>
  </si>
  <si>
    <t>Katsumata, Katsuro/AAR-5034-2020; Sloyan, Bernadette/N-8989-2014</t>
  </si>
  <si>
    <t>Katsumata, Katsuro/0000-0002-4683-7610; Sloyan, Bernadette/0000-0003-0250-0167</t>
  </si>
  <si>
    <t>Australian Climate Change Science Program; Department of Climate Change and Energy Efficiency; CSIRO</t>
  </si>
  <si>
    <t>Australian Climate Change Science Program; Department of Climate Change and Energy Efficiency; CSIRO(Commonwealth Scientific &amp; Industrial Research Organisation (CSIRO))</t>
  </si>
  <si>
    <t>The hydrographic data were collected as contribution to World Ocean Circulation Experiment and GO-SHIP (www.go-ship.org). We appreciate the efforts of all scientific and ship personnel who enabled collection of the data. The Argo data were collected and made freely available by the International Argo Project and associated contributing national programs (http://www.argo.ucsd.edu,http://argo.jcommops.org). Argo is a pilot program of the Global Ocean Observing System. The CARS2009 data were obtained through the CSIRO Marine Laboratories. NCEP Reanalysis 2 data were provided by the NOAA/OAR/ESRL PSD, Boulder, Colorado, from its website (http://www.esrl.noaa.gov/psd). The OFES data were made available by Dr. H. Sasaki, the Earth Simulator Center, JAMSTEC. The data for subduction/upwelling constraints (26.2 &lt; gamman &lt; 27.3) as well as diffusivity for Fig. 7 were provided by courtesy of Dr. Sallee. BMS was supported by the Australian Climate Change Science Program, funded jointly by the Department of Climate Change and Energy Efficiency and CSIRO.</t>
  </si>
  <si>
    <t>10.1175/JPO-D-12-0210.1</t>
  </si>
  <si>
    <t>290SJ</t>
  </si>
  <si>
    <t>Green Accepted, Bronze, Green Submitted</t>
  </si>
  <si>
    <t>WOS:000329778300002</t>
  </si>
  <si>
    <t>Brearley, JA; Sheen, KL; Garabato, ACN; Smeed, DA; Waterman, S</t>
  </si>
  <si>
    <t>Brearley, J. Alexander; Sheen, Katy L.; Garabato, Alberto C. Naveira; Smeed, David A.; Waterman, Stephanie</t>
  </si>
  <si>
    <t>Eddy-Induced Modulation of Turbulent Dissipation over Rough Topography in the Southern Ocean</t>
  </si>
  <si>
    <t>Diapycnal mixing; Eddies; Internal waves; Mixing</t>
  </si>
  <si>
    <t>ANTARCTIC CIRCUMPOLAR CURRENT; INTERNAL WAVES; HEAT-FLUX; ENERGY; CIRCULATION; SATELLITE; VARIABILITY; BREAKING</t>
  </si>
  <si>
    <t>Mesoscale eddies are universal features of the ocean circulation, yet the processes by which their energy is dissipated remain poorly understood. One hypothesis argues that the interaction of strong geostrophic flows with rough bottom topography effects an energy transfer between eddies and internal waves, with the breaking of these waves causing locally elevated dissipation focused near the sea floor. This study uses hydrographic and velocity data from a 1-yr mooring cluster deployment in the Southern Ocean to test this hypothesis. The moorings were located over a small (similar to 10 km) topographic obstacle to the east of Drake Passage in a region of high eddy kinetic energy, and one was equipped with an ADCP at 2800-m depth from which internal wave shear variance and dissipation rates were calculated. Examination of the ADCP time series revealed a predominance of upward-propagating internal wave energy and a significant correlation (r = 0.45) between shear variance levels and subinertial near-bottom current speeds. Periods of strong near-bottom flow coincided with increased convergence of eddy-induced interfacial form stress in the bottom 1500 m. Predictions of internal wave energy radiation were made from theory using measured near-bottom current speeds, and the mean value of wave radiation (5.3 mW m(-2)) was sufficient to support the dissipated power calculated from the ADCP. A significant temporal correlation was also observed between radiated and dissipated power. Given the ubiquity of strong eddy flows and rough topography in the Southern Ocean, the transfer from eddy to internal wave energy is likely to be an important term in closing the ocean energy budget.</t>
  </si>
  <si>
    <t>[Brearley, J. Alexander; Sheen, Katy L.; Garabato, Alberto C. Naveira; Waterman, Stephanie] Univ Southampton, Natl Oceanog Ctr Southampton, Southampton SO14 3ZH, Hants, England; [Smeed, David A.] Natl Oceanog Ctr Southampton, Southampton, Hants, England; [Waterman, Stephanie] Univ New S Wales, Climate Change Res Ctr, Sydney, NSW, Australia; [Waterman, Stephanie] Univ New S Wales, ARC Ctr Excellence Climate Syst Sci, Sydney, NSW, Australia</t>
  </si>
  <si>
    <t>University of Southampton; NERC National Oceanography Centre; University of Southampton; NERC National Oceanography Centre; University of New South Wales Sydney; ARC Centre of Excellence for Climate System Science; University of New South Wales Sydney</t>
  </si>
  <si>
    <t>Brearley, JA (corresponding author), Univ Southampton, Natl Oceanog Ctr Southampton, Waterfront Campus,European Way, Southampton SO14 3ZH, Hants, England.</t>
  </si>
  <si>
    <t>jab5@noc.soton.ac.uk</t>
  </si>
  <si>
    <t>Waterman, Stephanie/AAY-6033-2020; Smeed, David/B-4726-2012; Garabato, Alberto Naveira/AAQ-1114-2020</t>
  </si>
  <si>
    <t>Waterman, Stephanie/0000-0001-5797-1092; Smeed, David/0000-0003-1740-1778; Garabato, Alberto Naveira/0000-0001-6071-605X</t>
  </si>
  <si>
    <t>Natural Environment Research Council [NE/F020252/1]; Natural Environment Research Council [NE/E007058/1, NE/F020252/1, noc010012, NE/G001502/1] Funding Source: researchfish; NERC [NE/E007058/1, NE/G001502/1, NE/F020252/1] Funding Source: UKRI</t>
  </si>
  <si>
    <t>We thank Dr. Nathan Cunningham at Schmidt Ocean (formerly at BAS) for processing the multibeam data and Dr. Xinfeng Liang at LDEO for assistance with the wavelet analysis. Comments on the manuscript by Dr. Kurt Polzin at WHOI and three anonymous reviewers are gratefully acknowledged. Funding for the U.K. component of DIMES was provided by the Natural Environment Research Council, Grant NE/F020252/1. We thank the technicians and crew of RRS James Cook.</t>
  </si>
  <si>
    <t>10.1175/JPO-D-12-0222.1</t>
  </si>
  <si>
    <t>WOS:000329778300003</t>
  </si>
  <si>
    <t>Årthun, M; Holland, PR; Nicholls, KW; Feltham, DL</t>
  </si>
  <si>
    <t>Arthun, Marius; Holland, Paul R.; Nicholls, Keith W.; Feltham, Daniel L.</t>
  </si>
  <si>
    <t>Eddy-Driven Exchange between the Open Ocean and a Sub-Ice Shelf Cavity</t>
  </si>
  <si>
    <t>Geographic location; entity; Antarctica; Ice shelves; Circulation; Dynamics; Convection; Eddies; Models and modeling; Ocean models</t>
  </si>
  <si>
    <t>WATER MASS MODIFICATION; SOUTHERN WEDDELL SEA; CONTINENTAL-SHELF; COASTAL POLYNYAS; THERMOHALINE CIRCULATION; BENEATH; ANTARCTICA; MODEL; VARIABILITY; FRONT</t>
  </si>
  <si>
    <t>The exchange between the open ocean and sub-ice shelf cavities is important to both water mass transformations and ice shelf melting. Here, the authors use a high-resolution (500 m) numerical model to investigate to which degree eddies produced by frontal instability at the edge of a polynya are capable of transporting dense high-salinity shelf water (HSSW) underneath an ice shelf. The applied surface buoyancy flux and ice shelf geometry is based on Ronne Ice Shelf in the southern Weddell Sea, an area of intense wintertime sea ice production where a flow of HSSW into the cavity has been observed. Results show that eddies are able to enter the cavity at the southwestern corner of the polynya where an anticyclonic rim current intersects the ice shelf front. The size and time scale of simulated eddies are in agreement with observations close to the Ronne Ice Front. The properties and strength of the inflow are sensitive to the prescribed total ice production, flushing the ice shelf cavity at a rate of 0.2-0.4 x 10(6) m(3) s(-1) depending on polynya size and magnitude of surface buoyancy flux. Eddy-driven HSSW transport into the cavity is reduced by about 50% if the model grid resolution is decreased to 2-5 km and eddies are not properly resolved.</t>
  </si>
  <si>
    <t>[Arthun, Marius; Holland, Paul R.; Nicholls, Keith W.] British Antarctic Survey, Cambridge CB3 0ET, England; [Feltham, Daniel L.] Univ Reading, Dept Meteorol, Reading, Berks, England</t>
  </si>
  <si>
    <t>UK Research &amp; Innovation (UKRI); Natural Environment Research Council (NERC); NERC British Antarctic Survey; University of Reading</t>
  </si>
  <si>
    <t>Årthun, M (corresponding author), Univ Bergen, Inst Geophys, Allegaten 70, N-5007 Bergen, Norway.</t>
  </si>
  <si>
    <t>marius.arthun@gfi.uib.no</t>
  </si>
  <si>
    <t>Holland, Paul R/G-2796-2012</t>
  </si>
  <si>
    <t>Feltham, Daniel/0000-0003-2289-014X; Arthun, Marius/0000-0003-4500-1691</t>
  </si>
  <si>
    <t>U.K. Natural Environment Research Council [NE/I025867/1]; NERC [NE/I025867/1, NE/I023708/2, NE/I023708/1, bas0100028] Funding Source: UKRI; Natural Environment Research Council [NE/I025867/1, NE/I023708/1, NE/I023708/2, bas0100028] Funding Source: researchfish</t>
  </si>
  <si>
    <t>U.K.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</si>
  <si>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This study was supported by the U.K. Natural Environment Research Council, Grant NE/I025867/1. We thank two anonymous reviewers for valuable comments and suggestions.</t>
  </si>
  <si>
    <t>10.1175/JPO-D-13-0137.1</t>
  </si>
  <si>
    <t>WOS:000329778300008</t>
  </si>
  <si>
    <t>Geibert, W; Rodellas, V; Annett, A; van Beek, P; Garcia-Orellana, J; Hsieh, YT; Masque, P</t>
  </si>
  <si>
    <t>Geibert, Walter; Rodellas, Valenti; Annett, Amber; van Beek, Pieter; Garcia-Orellana, Jordi; Hsieh, Yu-Te; Masque, Pere</t>
  </si>
  <si>
    <t>226Ra determination via the rate of 222Rn ingrowth with the Radium Delayed Coincidence Counter (RaDeCC)</t>
  </si>
  <si>
    <t>LIMNOLOGY AND OCEANOGRAPHY-METHODS</t>
  </si>
  <si>
    <t>SUBMARINE GROUNDWATER DISCHARGE; COASTAL WATERS; ISOTOPES; SEAWATER</t>
  </si>
  <si>
    <t>We present a new method to determine Ra-226 in aqueous environmental samples, based on the rate of ingrowth of Rn-222 from Ra-226, using the radium delayed coincidence counter (RaDeCC). We use the same instrument setup that is used for the determination of Ra-223 and Ra-224. In contrast to methods published earlier, the approach does not require a modification of the counting equipment, counting separately for Ra-226, or waiting for radioactive equilibrium. We show that the calibration works from as low as 10 dpm (0.166 Bq) per sample, up to more than 1000 dpm (16.7 Bq). Although uncertainties are larger (typically around 10%) than reported uncertainties for gamma counting, liquid scintillation, or mass spectrometry at comparable activities, the simple setup, low cost, and robustness of the method make it a useful approach for underway measurements, combinations with short-lived radium isotopes, or monitoring purposes when limited funding or infrastructure is available.</t>
  </si>
  <si>
    <t>[Geibert, Walter; Annett, Amber] Univ Edinburgh, Sch Geosci, Edinburgh EH9 3JW, Midlothian, Scotland; [Rodellas, Valenti; Garcia-Orellana, Jordi; Masque, Pere] Univ Autonoma Barcelona, Inst Ciencia &amp; Tecnol Ambientals, Cerdanyola Del Valles 08193, Barcelona, Spain; [van Beek, Pieter] Observ Midi Pyrenees, Lab Etud Geophys &amp; Oceanog Spatiales, LEGOS, F-31400 Toulouse, France; [Garcia-Orellana, Jordi; Masque, Pere] Univ Autonoma Barcelona, Dept Fis, Cerdanyola Del Valles 08193, Barcelona, Spain; [Hsieh, Yu-Te] Univ Oxford, Dept Earth Sci, Oxford OX1 3AN, England</t>
  </si>
  <si>
    <t>University of Edinburgh; Autonomous University of Barcelona; Universite de Toulouse; Universite Toulouse III - Paul Sabatier; Centre National de la Recherche Scientifique (CNRS); Institut de Recherche pour le Developpement (IRD); Laboratoire d'Etudes en Geophysique et oceanographie spatiales; Autonomous University of Barcelona; University of Oxford</t>
  </si>
  <si>
    <t>Geibert, W (corresponding author), Univ Edinburgh, Sch Geosci, Kings Bldg,West Mains Rd, Edinburgh EH9 3JW, Midlothian, Scotland.</t>
  </si>
  <si>
    <t>walter.geibert@ed.ac.uk</t>
  </si>
  <si>
    <t>Rodellas, Valentí/F-3475-2013; Masque, Pere/AAC-9349-2022; Masque, Pere/B-7379-2008; Garcia-Orellana, Jordi/L-7758-2014; Geibert, Walter/ABA-9785-2020</t>
  </si>
  <si>
    <t>Rodellas, Valentí/0000-0002-5896-9987; Masque, Pere/0000-0002-1789-320X; Masque, Pere/0000-0002-1789-320X; Garcia-Orellana, Jordi/0000-0002-0543-2641; Geibert, Walter/0000-0001-8646-2334; Annett, Amber/0000-0002-3730-2438; Hsieh, Yu-Te/0000-0002-9248-5628; van Beek, Pieter/0000-0002-3872-8916</t>
  </si>
  <si>
    <t>National Environmental Research Council through UK Geotraces [NE/H008497/1]; Scottish Alliance for GeoSciences and the Environment; MICINN (Spain) [AP2008-03044]; Antarctic Science research bursary, the British Antarctic Survey, NERC's Collaborative Gearing Scheme by the Natural Sciences and Engineering Research Council of Canada; Antarctic Science research bursary, the British Antarctic Survey, NERC's Collaborative Gearing Scheme by the University of Edinburgh; British Council-Egide Alliance scheme; prize ICREA Academia; Generalitat de Catalunya; NERC [NE/E017738/1, NE/K002023/1, NE/H008497/1] Funding Source: UKRI; Natural Environment Research Council [NE/K002023/1, NE/H008497/1, NE/E017738/1] Funding Source: researchfish</t>
  </si>
  <si>
    <t>National Environmental Research Council through UK Geotraces; Scottish Alliance for GeoSciences and the Environment; MICINN (Spain)(Spanish Government); Antarctic Science research bursary, the British Antarctic Survey, NERC's Collaborative Gearing Scheme by the Natural Sciences and Engineering Research Council of Canada; Antarctic Science research bursary, the British Antarctic Survey, NERC's Collaborative Gearing Scheme by the University of Edinburgh; British Council-Egide Alliance scheme; prize ICREA Academia(ICREA); Generalitat de Catalunya(Generalitat de Catalunya); NERC(UK Research &amp; Innovation (UKRI)Natural Environment Research Council (NERC)); Natural Environment Research Council(UK Research &amp; Innovation (UKRI)Natural Environment Research Council (NERC))</t>
  </si>
  <si>
    <t>We would like to gratefully acknowledge support from funding agencies: W. G. and Y.-T. Hsieh from the National Environmental Research Council through UK Geotraces (NE/H008497/1); W. G. from the Scottish Alliance for GeoSciences and the Environment; V. R. for a PhD fellowship (AP2008-03044) from MICINN (Spain); A. A. from the Antarctic Science research bursary, the British Antarctic Survey, NERC's Collaborative Gearing Scheme, by the Natural Sciences and Engineering Research Council of Canada and by the University of Edinburgh; W. G., A. A., and P. v. B. received travel support from the British Council-Egide Alliance scheme; P. M. through the prize ICREA Academia, funded by the Generalitat de Catalunya. Thanks go to Gideon Henderson, Raja Ganeshram, and Michiel Rutgers van der Loeff; their contributions were essential to enable us to finish this manuscript. Three anonymous reviewers have provided helpful insights that contributed to improve the manuscript substantially.</t>
  </si>
  <si>
    <t>1541-5856</t>
  </si>
  <si>
    <t>LIMNOL OCEANOGR-METH</t>
  </si>
  <si>
    <t>Limnol. Oceanogr. Meth.</t>
  </si>
  <si>
    <t>10.4319/lom.2013.11.594</t>
  </si>
  <si>
    <t>278HU</t>
  </si>
  <si>
    <t>WOS:000328880700003</t>
  </si>
  <si>
    <t>Harris, MP; Daunt, F; Bogdanova, MI; Lahoz-Monfort, JJ; Newell, MA; Phillips, RA; Wanless, S</t>
  </si>
  <si>
    <t>Harris, Michael P.; Daunt, Francis; Bogdanova, Maria I.; Lahoz-Monfort, Jose J.; Newell, Mark A.; Phillips, Richard A.; Wanless, Sarah</t>
  </si>
  <si>
    <t>Inter-year differences in survival of Atlantic puffins Fratercula arctica are not associated with winter distribution</t>
  </si>
  <si>
    <t>PARTIAL MIGRATION; PELAGIC SEABIRD; TRACKING; POPULATION; STRATEGIES; MOVEMENTS; DYNAMICS; LOGGERS; REVEALS; MIGRANT</t>
  </si>
  <si>
    <t>Miniature geolocator loggers (Global Location Sensing, GLS) that provide daily locations of birds have revolutionised the study of winter ecology and migration patterns of seabirds. A long-term study of ringing recoveries and analyses of heavy metals and pollutants in tissues of Atlantic puffins Fratercula arctica from the Isle of May, south-east Scotland, suggested that this population wintered mainly within the North Sea. However, deployment of GLS devices over the 2007/2008 winter showed that many breeding birds made major excursions into the east Atlantic. This winter was the second of two when survival was extremely low (survival in 2006/2007 and 2007/2008 was 0.696 and 0.695, respectively, compared to the average of 0.922 over the period 1984/1985-2005/2006). These low rates of survival suggested that the unexpected use of the Atlantic might have been associated with unusually poor conditions in the North Sea as indicated by very low breeding success in 2007. Survival rate returned to previous levels in 2008/2009 providing the opportunity to test whether higher survival was associated with birds remaining in the North Sea, or whether movements into the Atlantic are a feature of this population unrelated to survival. Accordingly, geolocators were deployed over the 2009/2010 winter when adult survival was subsequently established to be high (0.913). We found greater support for the hypothesis that winter distribution is not associated with survival. Thus, 8 (40 %) of 20 individuals followed in 2009/2010 went into the Atlantic, a rate not significantly different from 11 (58 %) of the 19 followed in the 2007/2008 winter. Indeed, birds actually spent longer in the Atlantic and used a wider variety of areas in 2009/2010, although the time spent away from the colony was significantly shorter than in 2007/2008. Since our data were from individuals that survived, remaining in or moving out of the North Sea can both be successful strategies during winters when the population as a whole shows either high or low survival rates. Unfortunately, we do not know where birds that died had gone, and hence, the relative survival of birds that did or did not move into the Atlantic. Determining the link between survival and wintering area for any seabird remains a formidable challenge and will have to await the development of technologies that can determine both where and when birds die.</t>
  </si>
  <si>
    <t>[Harris, Michael P.; Daunt, Francis; Bogdanova, Maria I.; Newell, Mark A.; Wanless, Sarah] Ctr Ecol &amp; Hydrol, Penicuik EH26 0QB, Midlothian, Scotland; [Lahoz-Monfort, Jose J.] Univ Melbourne, Sch Bot, Parkville, Vic 3010, Australia; [Phillips, Richard A.] British Antarctic Survey, Nat Environm Res Council, Cambridge CB3 0ET, England</t>
  </si>
  <si>
    <t>UK Centre for Ecology &amp; Hydrology (UKCEH); University of Melbourne; UK Research &amp; Innovation (UKRI); Natural Environment Research Council (NERC); NERC British Antarctic Survey</t>
  </si>
  <si>
    <t>Harris, MP (corresponding author), Ctr Ecol &amp; Hydrol, Bush Estate, Penicuik EH26 0QB, Midlothian, Scotland.</t>
  </si>
  <si>
    <t>mph@ceh.ac.uk</t>
  </si>
  <si>
    <t>Bogdanova, Maria/AAS-2483-2020; Lahoz-Monfort, José J/O-3546-2017; Daunt, Francis/K-6688-2012</t>
  </si>
  <si>
    <t>Lahoz-Monfort, José J/0000-0002-0845-7035; Daunt, Francis/0000-0003-4638-3388</t>
  </si>
  <si>
    <t>Joint Nature Conservation Committee through Natural England; Joint Nature Conservation Committee through Scottish Natural Heritage; Joint Nature Conservation Committee through Countryside Council for Wales; Joint Nature Conservation Committee through Council for Nature Conservation; Joint Nature Conservation Committee through Northern Ireland; National Environment Research Program (NERP) Decisions Hub; NERC [bas0100025] Funding Source: UKRI; Engineering and Physical Sciences Research Council [EP/C522702/1] Funding Source: researchfish; Natural Environment Research Council [bas0100025, CEH010021] Funding Source: researchfish</t>
  </si>
  <si>
    <t>Joint Nature Conservation Committee through Natural England; Joint Nature Conservation Committee through Scottish Natural Heritage; Joint Nature Conservation Committee through Countryside Council for Wales; Joint Nature Conservation Committee through Council for Nature Conservation; Joint Nature Conservation Committee through Northern Ireland; National Environment Research Program (NERP) Decisions Hub; NERC(UK Research &amp; Innovation (UKRI)Natural Environment Research Council (NERC)); Engineering and Physical Sciences Research Council(UK Research &amp; Innovation (UKRI)Engineering &amp; Physical Sciences Research Council (EPSRC)); Natural Environment Research Council(UK Research &amp; Innovation (UKRI)Natural Environment Research Council (NERC))</t>
  </si>
  <si>
    <t>We thank J. Fox and V. Afanasyev for GLS device development, Scottish Natural Heritage for allowing us to work on the Isle of May National Nature Reserve and the Joint Nature Conservation Committee (on behalf of Natural England, Scottish Natural Heritage, the Countryside Council for Wales and the Council for Nature Conservation and the Countryside in Northern Ireland) for financial support for the collection of survival data and three anonymous reviewers for their very positive and helpful comments on a previous version of the manuscript. JJLM was supported by the National Environment Research Program (NERP) Decisions Hub.</t>
  </si>
  <si>
    <t>10.1007/s00227-013-2278-5</t>
  </si>
  <si>
    <t>WOS:000326048000008</t>
  </si>
  <si>
    <t>Watson, RA; Pauly, D</t>
  </si>
  <si>
    <t>Watson, Reg A.; Pauly, Daniel</t>
  </si>
  <si>
    <t>The changing face of global fisheries-The 1950s vs. the 2000s</t>
  </si>
  <si>
    <t>MARINE POLICY</t>
  </si>
  <si>
    <t>Global fisheries landings; Global fisheries effort; Fishing capacity</t>
  </si>
  <si>
    <t>COLLAPSE</t>
  </si>
  <si>
    <t>Spatialized catch and effort data, representing the world's marine fisheries in the 1950s and the 2000s are presented in form of cartograms, i.e., global maps in which the surface areas of continents are made proportional to the magnitude of the annual catches and fishing effort by their fleets. This is complemented by an analysis of the flows of seafood between the continents in whose waters the fish were captured, in the 1950s and the 2000s, and the continents where fleets originated. Such broad-brush analyses of temporal changes and trade patterns are helpful to understand major trends of fisheries, which, are increasingly dominated by scarcity of fish, and competition, notably off the coast of West Africa, and in newly accessed polar waters. (C) 2013 Elsevier Ltd. All rights reserved.</t>
  </si>
  <si>
    <t>[Watson, Reg A.] Univ Tasmania, Inst Marine &amp; Antarctic Studies, Taroona, Tas 7001, Australia; [Pauly, Daniel] Univ British Columbia, Sea Us Project, Fish Ctr, Vancouver, BC V6T 1Z4, Canada</t>
  </si>
  <si>
    <t>University of Tasmania; University of British Columbia</t>
  </si>
  <si>
    <t>Watson, RA (corresponding author), Univ Tasmania, Inst Marine &amp; Antarctic Studies, Taroona, Tas 7001, Australia.</t>
  </si>
  <si>
    <t>rwatson@ecomarres.com</t>
  </si>
  <si>
    <t>Pauly, Daniel Marc/AAY-2316-2021; Watson, Reg A/F-4850-2012</t>
  </si>
  <si>
    <t>Watson, Reg A/0000-0001-7201-8865; Pauly, Daniel/0000-0003-3756-4793</t>
  </si>
  <si>
    <t>0308-597X</t>
  </si>
  <si>
    <t>1872-9460</t>
  </si>
  <si>
    <t>MAR POLICY</t>
  </si>
  <si>
    <t>Mar. Pol.</t>
  </si>
  <si>
    <t>10.1016/j.marpol.2013.01.022</t>
  </si>
  <si>
    <t>Environmental Studies; International Relations</t>
  </si>
  <si>
    <t>Environmental Sciences &amp; Ecology; International Relations</t>
  </si>
  <si>
    <t>168DO</t>
  </si>
  <si>
    <t>WOS:000320686100001</t>
  </si>
  <si>
    <t>Gao, H; Lei, WH; Wu, XF; Zhang, B</t>
  </si>
  <si>
    <t>Gao, He; Lei, Wei-Hua; Wu, Xue-Feng; Zhang, Bing</t>
  </si>
  <si>
    <t>Compton scattering of self-absorbed synchrotron emission</t>
  </si>
  <si>
    <t>radiation mechanisms: non-thermal; gamma-ray burst: general</t>
  </si>
  <si>
    <t>LIGHT CURVES; ABSORPTION; RADIATION; AFTERGLOWS</t>
  </si>
  <si>
    <t>Synchrotron self-Compton (SSC) scattering is an important emission mechanism in many astronomical sources, such as gamma-ray bursts (GRBs) and active galactic nuclei. We give a complete presentation of the analytical approximations for the Compton scattering of synchrotron emission with both weak and strong synchrotron self-absorption. All possible orders of the characteristic synchrotron spectral breaks (nu(a), nu(m) and nu(c)) are studied. In the weak self-absorption regime, i.e. nu(a) &lt; nu(c), the electron energy distribution is not modified by the self-absorption process. The shape of the SSC component broadly resembles that of synchrotron, but with the following features: The SSC flux increases linearly with frequency up to the SSC break frequency corresponding to the self-absorption frequency nu(a); and the presence of a logarithmic term in the high-frequency range of the SSC spectra makes it harder than the power-law approximation. In the strong absorption regime, i.e. nu(a) &gt; nu(c), heating of low-energy electrons due to synchrotron absorption leads to pile-up of electrons, and form a thermal component besides the broken power-law component. This leads to two-component (thermal + non-thermal) spectra for both the synchrotron and SSC spectral components. For nu(c) &lt; nu(a) &lt; nu(m), the spectrum is thermal (non-thermal) dominated if nu(a) &gt; root nu(m)nu(c) (nu(a) &lt; root nu(m)nu(c)). Similar to the weak-absorption regime, the SSC spectral component is broader than the simple broken power-law approximation. We derive the critical condition for strong absorption (electron pile-up), and discuss a case of GRB reverse shock emission in a wind medium, which invokes nu(a) &gt; max(nu(m), nu(c)).</t>
  </si>
  <si>
    <t>[Gao, He; Lei, Wei-Hua; Zhang, Bing] Univ Nevada, Dept Phys &amp; Astron, Las Vegas, NV 89154 USA; [Lei, Wei-Hua] Huazhong Univ Sci &amp; Technol, Sch Phys, Wuhan 430074, Peoples R China; [Wu, Xue-Feng] Chinese Acad Sci, Purple Mt Observ, Nanjing 210008, Peoples R China; [Wu, Xue-Feng] Chinese Ctr Antarctic Astron, Nanjing 210008, Peoples R China; [Zhang, Bing] Peking Univ, Kavli Inst Astron &amp; Astrophys, Beijing 100871, Peoples R China; [Zhang, Bing] Peking Univ, Dept Astron, Beijing 100871, Peoples R China</t>
  </si>
  <si>
    <t>Nevada System of Higher Education (NSHE); University of Nevada Las Vegas; Huazhong University of Science &amp; Technology; Chinese Academy of Sciences; Nanjing Institute of Astronomical Optics &amp; Technology, NAOC, CAS; Purple Mountain Observatory, CAS; Peking University; Peking University</t>
  </si>
  <si>
    <t>Gao, H (corresponding author), Univ Nevada, Dept Phys &amp; Astron, Las Vegas, NV 89154 USA.</t>
  </si>
  <si>
    <t>gaohe@physics.unlv.edu</t>
  </si>
  <si>
    <t>Zhang, Bing/AAG-2824-2019; Lei, Weihua/JEO-6506-2023; Lei, Weihua/L-7196-2019; Wu, Xuefeng/G-5316-2015</t>
  </si>
  <si>
    <t>Lei, Weihua/0000-0003-3440-1526; Lei, Weihua/0000-0003-3440-1526; Wu, Xuefeng/0000-0002-6299-1263; gao, he/0000-0003-2516-6288; Zhang, Bing/0000-0002-9725-2524</t>
  </si>
  <si>
    <t>National Basic Research Programme ('973 Programme) of China [2009CB824800]; NSF [AST-0908362]; National Natural Science Foundation of China [11003004, 11173011, U1231101]; China Scholarship Programme; One-Hundred-Talents Programme</t>
  </si>
  <si>
    <t>National Basic Research Programme ('973 Programme) of China(National Basic Research Program of China); NSF(National Science Foundation (NSF)); National Natural Science Foundation of China(National Natural Science Foundation of China (NSFC)); China Scholarship Programme; One-Hundred-Talents Programme</t>
  </si>
  <si>
    <t>We thank the referee for constructive comments, Martin Rees for an important remark, and Zhuo Li, Resmi Lekshmi and Yuan-Chuan Zou for helpful discussions. We acknowledge the National Basic Research Programme ('973 Programme) of China under Grant No. 2009CB824800. This work is supported by NSF under Grant No. AST-0908362. WHL acknowledges support by National Natural Science Foundation of China (grants 11003004, 11173011 and U1231101), HG and WHL acknowledge Fellowship support from China Scholarship Programme, and XFW acknowledges support by the One-Hundred-Talents Programme.</t>
  </si>
  <si>
    <t>10.1093/mnras/stt1461</t>
  </si>
  <si>
    <t>WOS:000325773000053</t>
  </si>
  <si>
    <t>Siani, G; Michel, E; De Pol-Holz, R; DeVries, T; Lamy, F; Carel, M; Isguder, G; Dewilde, F; Lourantou, A</t>
  </si>
  <si>
    <t>Siani, Giuseppe; Michel, Elisabeth; De Pol-Holz, Ricardo; DeVries, Tim; Lamy, Frank; Carel, Melanie; Isguder, Gulay; Dewilde, Fabien; Lourantou, Anna</t>
  </si>
  <si>
    <t>Carbon isotope records reveal precise timing of enhanced Southern Ocean upwelling during the last deglaciation</t>
  </si>
  <si>
    <t>RADIOCARBON AGE CALIBRATION; ATMOSPHERIC CO2; ANTARCTIC TEMPERATURE; RESERVOIR AGES; PACIFIC-OCEAN; C-14; RECONSTRUCTION; CONSTRAINTS; CHILE; RISE</t>
  </si>
  <si>
    <t>The Southern Ocean plays a prominent role in the Earth's climate and carbon cycle. Changes in the Southern Ocean circulation may have regulated the release of CO2 to the atmosphere from a deep-ocean reservoir during the last deglaciation. However, the path and exact timing of this deglacial CO2 release are still under debate. Here we present measurements of deglacial surface reservoir C-14 age changes in the eastern Pacific sector of the Southern Ocean, obtained by C-14 dating of tephra deposited over the marine and terrestrial regions. These results, along with records of foraminifera benthic-planktic C-14 age and delta C-13 difference, provide evidence for three periods of enhanced upwelling in the Southern Ocean during the last deglaciation, supporting the hypothesis that Southern Ocean upwelling contributed to the deglacial rise in atmospheric CO2. These independently dated marine records suggest synchronous changes in the Southern Ocean circulation and Antarctic climate during the last deglaciation.</t>
  </si>
  <si>
    <t>[Siani, Giuseppe; Carel, Melanie] Univ Paris 11, CNRS, UMR 8148, Lab Interact &amp; Dynam Environm Surface IDES, F-91405 Orsay, France; [Michel, Elisabeth; Isguder, Gulay; Dewilde, Fabien; Lourantou, Anna] CEA, CNRS, Lab Mixte, LSCE, F-91198 Gif Sur Yvette, France; [De Pol-Holz, Ricardo] Univ Concepcion, Ctr Climate &amp; Resilence Res, Dept Oceanog, Concepcion 4070386, Chile; [DeVries, Tim] Univ Calif Los Angeles, Dept Atmospher &amp; Ocean Sci, Los Angeles, CA 90095 USA; [Lamy, Frank] Alfred Wegener Inst Polar &amp; Marine Res, D-27568 Bremerhaven, Germany; [Lourantou, Anna] Univ Paris 06, LOCEAN, F-75015 Paris, France</t>
  </si>
  <si>
    <t>Universite Paris Saclay; Centre National de la Recherche Scientifique (CNRS); CNRS - National Institute for Earth Sciences &amp; Astronomy (INSU); Universite Paris Saclay; CEA; Centre National de la Recherche Scientifique (CNRS); Universidad de Concepcion; University of California System; University of California Los Angeles; Helmholtz Association; Alfred Wegener Institute, Helmholtz Centre for Polar &amp; Marine Research; Sorbonne Universite; Museum National d'Histoire Naturelle (MNHN)</t>
  </si>
  <si>
    <t>Siani, G (corresponding author), Univ Paris 11, CNRS, UMR 8148, Lab Interact &amp; Dynam Environm Surface IDES, Batiment 504, F-91405 Orsay, France.</t>
  </si>
  <si>
    <t>giuseppe.siani@u-psud.fr</t>
  </si>
  <si>
    <t>; Lamy, Frank/H-3611-2014; De Pol-Holz, Ricardo/E-3740-2013</t>
  </si>
  <si>
    <t>DeVries, Tim/0000-0002-7771-9430; Lamy, Frank/0000-0001-5952-1765; Siani, Giuseppe/0000-0002-2090-5320; De Pol-Holz, Ricardo/0000-0002-3281-8232; Michel, Elisabeth/0000-0001-7810-8888</t>
  </si>
  <si>
    <t>French INSU/LEFE-Pachiderme project; Chilean 'Fondecyt 11100281 /FONDAP 15110009'</t>
  </si>
  <si>
    <t>French INSU/LEFE-Pachiderme project; Chilean 'Fondecyt 11100281 /FONDAP 15110009'(Comision Nacional de Investigacion Cientifica y Tecnologica (CONICYT)CONICYT FONDECYTCONICYT FONDAP)</t>
  </si>
  <si>
    <t>Financial support for this study was provided by the French INSU/LEFE-Pachiderme project and the Chilean 'Fondecyt 11100281 /FONDAP 15110009'. This study has been conducted in the framework of the international IMAGES program and the MD159-PACHIDERME/IMAGES cruise. We express our thanks to the crew of the R/V Marion Dufresne as well as the French Polar Institute (IPEV). We also thank D. Paillard, M. Paterne, J.C. Duplessy and J. Southon for their helpful discussions. The LSCE contribution no. is 5,073.</t>
  </si>
  <si>
    <t>10.1038/ncomms3758</t>
  </si>
  <si>
    <t>WOS:000328023000029</t>
  </si>
  <si>
    <t>Le Brocq, AM; Ross, N; Griggs, JA; Bingham, RG; Corr, HFJ; Ferraccioli, F; Jenkins, A; Jordan, TA; Payne, AJ; Rippin, DM; Siegert, MJ</t>
  </si>
  <si>
    <t>Le Brocq, Anne M.; Ross, Neil; Griggs, Jennifer A.; Bingham, Robert G.; Corr, Hugh F. J.; Ferraccioli, Fausto; Jenkins, Adrian; Jordan, Tom A.; Payne, Antony J.; Rippin, David M.; Siegert, Martin J.</t>
  </si>
  <si>
    <t>Evidence from ice shelves for channelized meltwater flow beneath the Antarctic Ice Sheet</t>
  </si>
  <si>
    <t>WEST ANTARCTICA; SUBGLACIAL DRAINAGE; GROUNDING LINE; BASAL CHANNELS; OUTLET GLACIER; SURFACE; ACCELERATION; DRIVEN; MODEL; MODIS</t>
  </si>
  <si>
    <t>Meltwater generated beneath the Antarctic Ice Sheet exerts a strong influence on the speed of ice flow, in particular for major ice streams(1,2). The subglacial meltwater also influences ocean circulation beneath ice shelves, initiating meltwater plumes that entrain warmer ocean water and cause high rates of melting(3). However, despite its importance, the nature of the hydrological system beneath the grounded ice sheet remains poorly characterized. Here we present evidence, from satellite and airborne remote sensing, for large channels beneath the floating Filchner-Ronne Ice Shelf in West Antarctica, which we propose provide a means for investigating the hydrological system beneath the grounded ice sheet. We observe features on the surface of the ice shelf from satellite imagery and, using radar measurements, show that they correspond with channels beneath the ice shelf. We also show that the sub-ice-shelf channels are aligned with locations where the outflow of subglacial meltwater has been predicted. This agreement indicates that the sub-ice-shelf channels are formed by meltwater plumes, initiated by subglacial water exiting the upstream grounded ice sheet in a focused (channelized) manner. The existence of a channelized hydrological system has implications for the behaviour and dynamics of ice sheets and ice shelves near the grounding lines of ice streams in Antarctica.</t>
  </si>
  <si>
    <t>[Le Brocq, Anne M.] Univ Exeter, Coll Life &amp; Environm Sci, Exeter EX4 4RJ, Devon, England; [Ross, Neil] Newcastle Univ, Sch Geog Polit &amp; Sociol, Newcastle Upon Tyne NE1 7RU, Tyne &amp; Wear, England; [Griggs, Jennifer A.; Payne, Antony J.; Siegert, Martin J.] Univ Bristol, Sch Geog Sci, Bristol Glaciol Ctr, Bristol BS8 1SS, Avon, England; [Bingham, Robert G.] Univ Edinburgh, Sch Geosci, Edinburgh EH8 9XP, Midlothian, Scotland; [Corr, Hugh F. J.; Ferraccioli, Fausto; Jenkins, Adrian; Jordan, Tom A.] British Antarctic Survey, Cambridge CB3 0ET, England; [Rippin, David M.] Univ York, Dept Environm, York YO10 5DD, N Yorkshire, England</t>
  </si>
  <si>
    <t>University of Exeter; Newcastle University - UK; University of Bristol; University of Edinburgh; UK Research &amp; Innovation (UKRI); Natural Environment Research Council (NERC); NERC British Antarctic Survey; University of York - UK</t>
  </si>
  <si>
    <t>Le Brocq, AM (corresponding author), Univ Exeter, Coll Life &amp; Environm Sci, Exeter EX4 4RJ, Devon, England.</t>
  </si>
  <si>
    <t>a.lebrocq@exeter.ac.uk</t>
  </si>
  <si>
    <t>Siegert, Martin J/A-3826-2008; Jenkins, Adrian/IUN-2406-2023; Siegert, Martin/M-9939-2019; Corr, Hugh/C-5398-2011; Rippin, David Manish/AAW-5063-2021; payne, antony/A-8916-2008; Bingham, Robert G/G-3576-2017</t>
  </si>
  <si>
    <t>Siegert, Martin J/0000-0002-0090-4806; Siegert, Martin/0000-0002-0090-4806; Rippin, David Manish/0000-0001-7757-9880; Jenkins, Adrian/0000-0002-9117-0616; payne, antony/0000-0001-8825-8425; Bingham, Robert G/0000-0002-0630-2021; Jordan, Tom/0000-0003-2780-1986; Ferraccioli, Fausto/0000-0002-9347-4736</t>
  </si>
  <si>
    <t>NERC [NE/G012733/2]; UK NERC AFI [NE/G013071/1]; European Space Agency's Changing Earth Science network; NERC [bas0100026, NE/G013098/2, NE/G013098/1, NE/G012733/2, NE/G013071/2, bas0100028, NE/G013071/1, NE/G014248/1] Funding Source: UKRI; Natural Environment Research Council [NE/G012733/2, NE/G014248/1, bas0100026, NE/G013098/1, NE/G013071/1, bas0100028, NE/G013098/2, NE/G013071/2] Funding Source: researchfish</t>
  </si>
  <si>
    <t>NERC(UK Research &amp; Innovation (UKRI)Natural Environment Research Council (NERC)); UK NERC AFI(UK Research &amp; Innovation (UKRI)Natural Environment Research Council (NERC)); European Space Agency's Changing Earth Science network; NERC(UK Research &amp; Innovation (UKRI)Natural Environment Research Council (NERC)); Natural Environment Research Council(UK Research &amp; Innovation (UKRI)Natural Environment Research Council (NERC))</t>
  </si>
  <si>
    <t>A.M.L.B. was financially supported through NERC fellowship NE/G012733/2, aerogeophysical survey measurements were funded by UK NERC AFI grant NE/G013071/1. J.A.G. was financially supported by the European Space Agency's Changing Earth Science network. S. Roulliard drew Fig. 3.</t>
  </si>
  <si>
    <t>10.1038/NGEO1977</t>
  </si>
  <si>
    <t>WOS:000326505800017</t>
  </si>
  <si>
    <t>Hunter, JR; Church, JA; White, NJ; Zhang, X</t>
  </si>
  <si>
    <t>Hunter, J. R.; Church, J. A.; White, N. J.; Zhang, X.</t>
  </si>
  <si>
    <t>Reply to Discussion of 'Towards a global regionally varying allowance for sea-level rise' by JR Hunter, JA Church, NJ White, X. Zhang [Ocean Engineering 71 (1) 17-27 (1 October 2013)]</t>
  </si>
  <si>
    <t>OCEAN ENGINEERING</t>
  </si>
  <si>
    <t>[Hunter, J. R.] Antarctic Climate &amp; Ecosyst Cooperat Res Ctr, Hobart, Tas 7001, Australia; [Church, J. A.; White, N. J.; Zhang, X.] CSIRO Marine &amp; Atmospher Res, Ctr Australian Weather &amp; Climate Res &amp; Wealth Oce, Hobart, Tas 7000, Australia</t>
  </si>
  <si>
    <t>Antarctic Climate &amp; Ecosystems Cooperative Research Centre (ACE CRC); Commonwealth Scientific &amp; Industrial Research Organisation (CSIRO)</t>
  </si>
  <si>
    <t>jrh@johnroberthunter.org; John.Church@csiro.au; Neil.White@csiro.au; Xuebin.Zhang@csiro.au</t>
  </si>
  <si>
    <t>Zhang, Xuebin/A-3405-2012; Church, John A/A-1541-2012</t>
  </si>
  <si>
    <t>Zhang, Xuebin/0000-0003-1731-3524; Church, John A/0000-0002-7037-8194</t>
  </si>
  <si>
    <t>0029-8018</t>
  </si>
  <si>
    <t>OCEAN ENG</t>
  </si>
  <si>
    <t>Ocean Eng.</t>
  </si>
  <si>
    <t>10.1016/j.oceaneng.2013.03.013</t>
  </si>
  <si>
    <t>Engineering, Marine; Engineering, Civil; Engineering, Ocean; Oceanography</t>
  </si>
  <si>
    <t>Engineering; Oceanography</t>
  </si>
  <si>
    <t>233RN</t>
  </si>
  <si>
    <t>WOS:000325587300043</t>
  </si>
  <si>
    <t>Williams, TD; Bennetts, LG; Squire, VA; Dumont, D; Bertino, L</t>
  </si>
  <si>
    <t>Williams, Timothy D.; Bennetts, Luke G.; Squire, Vernon A.; Dumont, Dany; Bertino, Laurent</t>
  </si>
  <si>
    <t>Wave-ice interactions in the marginal ice zone. Part 1: Theoretical foundations</t>
  </si>
  <si>
    <t>Marginal ice zone; Wave attenuation; Ice breakage; Ice/ocean modelling</t>
  </si>
  <si>
    <t>OCEAN MOMENTUM EXCHANGE; LINEAR ENERGY TRANSFER; SEA-ICE; FLOE SIZE; GRAVITY-WAVES; ATTENUATION; MODEL; SPECTRUM; EQUATION</t>
  </si>
  <si>
    <t>A wave-ice interaction model for the marginal ice zone (MIZ) is reported that calculates the attenuation of ocean surface waves by sea ice and the concomitant breaking of the ice into smaller floes by the waves. Physical issues are highlighted that must be considered when ice breakage and wave attenuation are embedded in a numerical wave model or an ice/ocean model. The theoretical foundations of the model are introduced in this paper, forming the first of a two-part series. The wave spectrum is transported through the ice-covered ocean according to the wave energy balance equation, which includes a term to parameterize the wave dissipation that arises from the presence of the ice cover. The rate of attenuation is calculated using a thin-elastic-plate scattering model and a probabilistic approach is used to derive a breaking criterion in terms of the significant strain. This determines if the local wave field is sufficient to break the ice cover. An estimate of the maximum allowable floe size when ice breakage occurs is used as a parameter in a floe size distribution model, and the MIZ is defined in the model as the area of broken ice cover. Key uncertainties in the model are discussed. (C) 2013 Elsevier Ltd. All rights reserved.</t>
  </si>
  <si>
    <t>[Williams, Timothy D.; Bertino, Laurent] Nansen Environm &amp; Remote Sensing Ctr, N-5006 Bergen, Norway; [Bennetts, Luke G.] Univ Adelaide, Sch Math Sci, Adelaide, SA 5005, Australia; [Squire, Vernon A.] Univ Otago, Dept Math &amp; Stat, Dunedin 9054, New Zealand; [Dumont, Dany] Univ Quebec, Inst Sci Mer, Rimouski, PQ G5L 3A1, Canada; [Bertino, Laurent] Bjerknes Ctr Climate Res, Bergen, Norway</t>
  </si>
  <si>
    <t>Nansen Environmental &amp; Remote Sensing Center (NERSC); University of Adelaide; University of Otago; University of Quebec; Bjerknes Centre for Climate Research</t>
  </si>
  <si>
    <t>Williams, TD (corresponding author), Nansen Environm &amp; Remote Sensing Ctr, Thormohlensgate 47, N-5006 Bergen, Norway.</t>
  </si>
  <si>
    <t>timothy.williams@nersc.no; luke.bennetts@a-delaide.edu.au; vernon.squire@otago.ac.nz; dany_du-mont@uqar.ca; laurent.bertino@nersc.no</t>
  </si>
  <si>
    <t>Dumont, Dany/J-6664-2017; Bertino, Laurent/H-9395-2014; Bennetts, Luke/N-1448-2019</t>
  </si>
  <si>
    <t>Dumont, Dany/0000-0003-4107-1799; Bertino, Laurent/0000-0002-1220-7207; Bennetts, Luke/0000-0001-9386-7882; Williams, Timothy/0000-0001-6375-5396; Squire, Vernon/0000-0002-5570-3446</t>
  </si>
  <si>
    <t>Research Council of Norway; Total E&amp;P Norge through the Programme for Optimal Management of Petroleum Resources (PETROMAKS); University of Otago, New Zealand; Australian Government's Australian Antarctic Science Grant Program [4123]</t>
  </si>
  <si>
    <t>Research Council of Norway(Research Council of Norway); Total E&amp;P Norge through the Programme for Optimal Management of Petroleum Resources (PETROMAKS); University of Otago, New Zealand; Australian Government's Australian Antarctic Science Grant Program(Australian Government)</t>
  </si>
  <si>
    <t>The work described herein is embedded within the Waves-in-Ice Forecasting for Arctic Operators project, coordinated by Nansen Environmental and Remote Sensing Center and funded by the Research Council of Norway and Total E&amp;P Norge through the Programme for Optimal Management of Petroleum Resources (PETROMAKS). The authors acknowledge with gratitude this funding and the support of the University of Otago, New Zealand. LB acknowledges funding support from the Australian Government's Australian Antarctic Science Grant Program (Project 4123). The authors thank Aleksey Marchenko for useful discussions, and also thank the anonymous reviewers of this and earlier revisions of this paper for their constructive criticisms.</t>
  </si>
  <si>
    <t>10.1016/j.ocemod.2013.05.010</t>
  </si>
  <si>
    <t>234LP</t>
  </si>
  <si>
    <t>WOS:000325646000008</t>
  </si>
  <si>
    <t>Wave-ice interactions in the marginal ice zone. Part 2: Numerical implementation and sensitivity studies along 1D transects of the ocean surface</t>
  </si>
  <si>
    <t>Wave-ice interactions; Wave attenuation; Ice breakage; Floe size distribution; Marginal ice zone</t>
  </si>
  <si>
    <t>LINEAR ENERGY TRANSFER; FLOE SIZE; ATTENUATION; SPECTRUM</t>
  </si>
  <si>
    <t>The theoretical foundation of a wave-ice interaction model is reported in Part 1 of this study. The model incorporates attenuation of ocean surface waves by sea ice floes and the concomitant breaking of the floes by waves that determines the structure of the marginal ice zone (MIZ). A numerical implementation of the method is presented here. Convergence of the numerical method is demonstrated, as temporal and spatial grids are refined. A semi-analytical method, which does not require time-stepping, is also developed to validate the numerical results, when dispersion is neglected. The wave energy lost during ice breakage is parameterized, as part of the numerical method. Sensitivity studies are conducted in relation to the energy loss and also dispersive effects, the choice of the attenuation model, the properties of the wave field, and sea ice properties such as concentration, thickness and breaking strain. Example simulations intended to represent conditions in the Fram Strait in 2007, which exploit reanalyzed wave and ice model data, are shown to conclude the results section. These are compared to estimates of MIZ widths based on a concentration criteria, and obtained from remotely-sensed passive microwave images. (C) 2013 Elsevier Ltd. All rights reserved.</t>
  </si>
  <si>
    <t>[Williams, Timothy D.; Bertino, Laurent] Nansen Environm &amp; Remote Sensing Ctr, Thormohlensgate 47, N-5006 Bergen, Norway; [Bennetts, Luke G.] Univ Adelaide, Sch Math Sci, Adelaide, SA 5005, Australia; [Squire, Vernon A.] Univ Otago, Dept Math &amp; Stat, Dunedin 9054, New Zealand; [Dumont, Dany] Inst Sci Mer Rimouski, Rimouski, PQ G5L 3A1, Canada; [Bertino, Laurent] Bjerknes Ctr Climate Res, Bergen, Norway</t>
  </si>
  <si>
    <t>Nansen Environmental &amp; Remote Sensing Center (NERSC); University of Adelaide; University of Otago; Bjerknes Centre for Climate Research</t>
  </si>
  <si>
    <t>timothy.williams@nersc.no; luke.bennetts@adelaide.edu.au; vernon.squire@otago.ac.nz; dany_dumont@uqar.ca; laurent.bertino@nersc.no</t>
  </si>
  <si>
    <t>Dumont, Dany/J-6664-2017; Bennetts, Luke/N-1448-2019; Bertino, Laurent/H-9395-2014</t>
  </si>
  <si>
    <t>Dumont, Dany/0000-0003-4107-1799; Bennetts, Luke/0000-0001-9386-7882; Bertino, Laurent/0000-0002-1220-7207; Squire, Vernon/0000-0002-5570-3446; Williams, Timothy/0000-0001-6375-5396</t>
  </si>
  <si>
    <t>Research Council of Norway; Total EAMP;P Norge through the Programme for Optimal Management of Petroleum Resources (PETROMAKS); University of Otago, New Zealand; Australian Government's Australian Antarctic Science Grant Program [4123]; Research Council of Norway; Total EAMP;P Norge through the Programme for Optimal Management of Petroleum Resources (PETROMAKS); University of Otago, New Zealand; Australian Government's Australian Antarctic Science Grant Program [4123]</t>
  </si>
  <si>
    <t>Research Council of Norway(Research Council of Norway); Total EAMP;P Norge through the Programme for Optimal Management of Petroleum Resources (PETROMAKS); University of Otago, New Zealand; Australian Government's Australian Antarctic Science Grant Program(Australian Government); Research Council of Norway(Research Council of Norway); Total EAMP;P Norge through the Programme for Optimal Management of Petroleum Resources (PETROMAKS); University of Otago, New Zealand; Australian Government's Australian Antarctic Science Grant Program(Australian Government)</t>
  </si>
  <si>
    <t>10.1016/j.ocemod.2013.05.011</t>
  </si>
  <si>
    <t>WOS:000325646000009</t>
  </si>
  <si>
    <t>Franzke, CLE</t>
  </si>
  <si>
    <t>Franzke, Christian L. E.</t>
  </si>
  <si>
    <t>Predictions of critical transitions with non-stationary reduced order models</t>
  </si>
  <si>
    <t>PHYSICA D-NONLINEAR PHENOMENA</t>
  </si>
  <si>
    <t>Stochastic modelling; Tipping points; Model reduction; Non-stationarity; Bifurcation; Critical transition</t>
  </si>
  <si>
    <t>STOCHASTIC CLIMATE MODELS; MATHEMATICAL FRAMEWORK; NON-GAUSSIANITY; TIPPING POINTS; NORMAL FORMS; TIME-SERIES; SYSTEM; REDUCTION; BIFURCATIONS; SHIFTS</t>
  </si>
  <si>
    <t>Here we demonstrate the ability of stochastic reduced order models to predict the statistics of nonstationary systems undergoing critical transitions. First, we show that the reduced order models are able to accurately predict the autocorrelation function and probability density functions (PDF) of higher dimensional systems with time-dependent slow forcing of either the resolved or unresolved modes. Second, we demonstrate that whether the system tips early or repeatedly jumps between the two equilibrium points (flickering) depends on the strength of the coupling between the resolved and unresolved modes and the time scale separation. Both kinds of behaviour have been found to precede critical transitions in earlier studies. Furthermore, we demonstrate that the reduced order models are also able to predict the timing of critical transitions. The skill of various proposed tipping indicators are discussed. (C) 2013 Elsevier B.V. All rights reserved.</t>
  </si>
  <si>
    <t>[Franzke, Christian L. E.] British Antarctic Survey, Nat Environm Res Council, Cambridge CB3 0ET, England; [Franzke, Christian L. E.] Univ Hamburg, Meteorol Inst, D-20144 Hamburg, Germany</t>
  </si>
  <si>
    <t>UK Research &amp; Innovation (UKRI); Natural Environment Research Council (NERC); NERC British Antarctic Survey; University of Hamburg</t>
  </si>
  <si>
    <t>Franzke, CLE (corresponding author), Univ Hamburg, Meteorol Inst, KlimaCampus,Grindelberg 5, D-20144 Hamburg, Germany.</t>
  </si>
  <si>
    <t>christian.franzke@gmail.com</t>
  </si>
  <si>
    <t>Franzke, Christian/A-6191-2012</t>
  </si>
  <si>
    <t>Franzke, Christian/0000-0003-4111-1228</t>
  </si>
  <si>
    <t>Natural Environment Research Council [NE/G015317/1]; NERC [NE/G015317/1, NE/G015368/1, bas0100026] Funding Source: UKRI; Natural Environment Research Council [NE/G015368/1, NE/G015317/1, bas0100026] Funding Source: researchfish</t>
  </si>
  <si>
    <t>I thank Dr. V. Livina and Dr. P. Ditlevsen for their comments on an earlier draft of this manuscript which helped to improve it. This study is part of the British Antarctic Survey Polar Science for Planet Earth Programme. It was funded by The Natural Environment Research Council and through NERC grant NE/G015317/1.</t>
  </si>
  <si>
    <t>0167-2789</t>
  </si>
  <si>
    <t>1872-8022</t>
  </si>
  <si>
    <t>PHYSICA D</t>
  </si>
  <si>
    <t>Physica D</t>
  </si>
  <si>
    <t>10.1016/j.physd.2013.07.013</t>
  </si>
  <si>
    <t>Mathematics, Applied; Physics, Fluids &amp; Plasmas; Physics, Multidisciplinary; Physics, Mathematical</t>
  </si>
  <si>
    <t>Mathematics; Physics</t>
  </si>
  <si>
    <t>225QE</t>
  </si>
  <si>
    <t>WOS:000324976600003</t>
  </si>
  <si>
    <t>Crossin, GT; Phillips, RA; Wynne-Edwards, KE; Williams, TD</t>
  </si>
  <si>
    <t>Crossin, Glenn T.; Phillips, Richard A.; Wynne-Edwards, Katherine E.; Williams, Tony D.</t>
  </si>
  <si>
    <t>Postmigratory Body Condition and Ovarian Steroid Production Predict Breeding Decisions by Female Gray-Headed Albatrosses</t>
  </si>
  <si>
    <t>DEFERRED SEXUAL MATURITY; REPRODUCTIVE SUCCESS; MIGRATORY BIRD; WANDERING ALBATROSS; DIOMEDEA-EXULANS; EGG-PRODUCTION; PERFORMANCE; ENDOCRINOLOGY; CHRYSOSTOMA; MIGRANT</t>
  </si>
  <si>
    <t>Carryover effects have been documented in many migratory bird species, but we know little about the physiological mechanisms that mediate those effects. Here we show that the energetic, endocrine, and aerobic characteristics of postmigratory female gray-headed albatrosses (Thalassarche chrysostoma) can affect their decision to breed. All females in this study, whether breeding or not, were secreting ovarian steroids when they arrived at the breeding colony at Bird Island, South Georgia, which suggests that all were responding to seasonal cues. However, deferring, nonbreeding birds were characterized by a steroid profile of high progesterone (P4) and low testosterone (T), whereas breeding birds showed the opposite pattern. Deferring birds also had low body mass, hematocrit, and hemoglobin. These results suggest that postmigratory condition can influence patterns of ovarian steroidogenesis and that the maintenance of high P4 without subsequent conversion to T favors breeding deferral. Whereas breeding females normally convert P4 to T, which is a key deterministic step toward 17-estradiol synthesis, vitellogenesis, and follicle development, deferring females did not make this conversion and instead maintained high levels of P4, perhaps due to inhibition of the hydroxylase-lyase enzyme complex, thus rendering them infertile for the current season. Results are discussed within the context of the biennial breeding system of this species, and comparisons with other biennially and annually breeding albatrosses are made.</t>
  </si>
  <si>
    <t>[Crossin, Glenn T.] Dalhousie Univ, Dept Biol, Halifax, NS B3H 4R2, Canada; [Phillips, Richard A.] British Antarctic Survey, Nat Environm Res Council, Cambridge CB3 0ET, England; [Wynne-Edwards, Katherine E.] Univ Calgary, Fac Vet Med, Calgary, AB T2N 4Z6, Canada; [Williams, Tony D.] Simon Fraser Univ, Dept Biol Sci, Burnaby, BC V5A 1S6, Canada</t>
  </si>
  <si>
    <t>Dalhousie University; UK Research &amp; Innovation (UKRI); Natural Environment Research Council (NERC); NERC British Antarctic Survey; University of Calgary; Simon Fraser University</t>
  </si>
  <si>
    <t>Wynne-Edwards, Katherine/P-2326-2019</t>
  </si>
  <si>
    <t>Wynne-Edwards, Katherine/0000-0002-2944-4516; Crossin, Glenn/0000-0003-1080-1189</t>
  </si>
  <si>
    <t>National Science and Engineering Research Council of Canada (NSERC); NSERC E-BIRD; NSERC; Natural Environment Research Council [bas0100025] Funding Source: researchfish; NERC [bas0100025] Funding Source: UKRI</t>
  </si>
  <si>
    <t>National Science and Engineering Research Council of Canada (NSERC)(Natural Sciences and Engineering Research Council of Canada (NSERC)); NSERC E-BIRD; NSERC(Natural Sciences and Engineering Research Council of Canada (NSERC)); Natural Environment Research Council(UK Research &amp; Innovation (UKRI)Natural Environment Research Council (NERC)); NERC(UK Research &amp; Innovation (UKRI)Natural Environment Research Council (NERC))</t>
  </si>
  <si>
    <t>We extend thanks to Derren Fox for field support, to Lea Bond for laboratory support, and to Andy Wood for data support. Financial support was provided by the British Antarctic Survey through an Antarctic Funding Initiative Collaborative Gearing Scheme. Additional support was provided by a National Science and Engineering Research Council of Canada (NSERC) post-doctoral fellowship and NSERC E-BIRD funding to G. T. C. and by NSERC Discovery Grants to T. D. W. and K.E.W.-E. This study represents a contribution to the British Antarctic Survey Ecosystem Programme.</t>
  </si>
  <si>
    <t>10.1086/673755</t>
  </si>
  <si>
    <t>WOS:000330019600014</t>
  </si>
  <si>
    <t>de Vernal, A; Gersonde, R; Goosse, H; Seidenkrantz, MS; Wolff, EW</t>
  </si>
  <si>
    <t>de Vernal, Anne; Gersonde, Rainer; Goosse, Hugues; Seidenkrantz, Marit-Solveig; Wolff, Eric W.</t>
  </si>
  <si>
    <t>Sea ice in the paleoclimate system: the challenge of reconstructing sea ice from proxies - an introduction</t>
  </si>
  <si>
    <t>Sea-ice; Arctic; Antarctic; Diatoms; Dinocysts; Biomarkers; Ostracods; Foraminifers; Ice cores; Polar oceans; Proxies</t>
  </si>
  <si>
    <t>NORTHERN NORTH-ATLANTIC; DINOFLAGELLATE CYST DISTRIBUTION; LAST GLACIAL MAXIMUM; ARCTIC-OCEAN; MARINE ENVIRONMENTS; SURFACE CONDITIONS; SOUTHERN-OCEAN; VARIABILITY; HISTORY; ASSEMBLAGES</t>
  </si>
  <si>
    <t>Sea ice is an important component of the Earth system with complex dynamics imperfectly documented from direct observations, which are primarily limited to the last 40 years. Whereas large amplitude variations of sea ice have been recorded, especially in the Arctic, with a strikingly fast decrease in recent years partly attributed to the impact of anthropogenic climate changes, little is known about the natural variability of the sea ice cover at multi-decadal to multi-millennial time scales. Hence, there is a need to establish longer sea ice time series to document the full range of sea ice variations under natural forcings. To do this, several approaches based on biogenic or geochemical proxies have been developed from marine, ice core and coastal records. The status of the sea ice proxies has been discussed by the Sea Ice Proxy (SIP) working group endorsed by PAGES during a first workshop held at GEOTOP in Montreal. The present volume contains a set of papers addressing various sea ice proxies and their application to large scale sea ice reconstruction. Here we summarize the contents of the volume, including a table of various proxies available in marine sediments and ice cores, with their possibilities and limitations. (C) 2013 Elsevier Ltd. All rights reserved.</t>
  </si>
  <si>
    <t>[de Vernal, Anne] Univ Quebec, GEOTOP, Montreal, PQ H3C 3P8, Canada; [Gersonde, Rainer] Helmholtz Zentrum Polar &amp; Meeresforsch, Alfred Wegener Inst, Bremerhaven, Germany; [Goosse, Hugues] Univ Catholic Louvain la Neuve, ELIC, TECLIM, Louvain, Belgium; [Seidenkrantz, Marit-Solveig] Aarhus Univ, Ctr Past Climate Studies, Dept Geosci, DK-8000 Aarhus C, Denmark; [Seidenkrantz, Marit-Solveig] Aarhus Univ, Arctic Climate Ctr, DK-8000 Aarhus C, Denmark; [Wolff, Eric W.] Univ Cambridge, Dept Earth Sci, Cambridge CB2 1TN, England; [Wolff, Eric W.] British Antarctic Survey, Cambridge CB3 0ET, England</t>
  </si>
  <si>
    <t>University of Quebec; University of Quebec Montreal; Helmholtz Association; Alfred Wegener Institute, Helmholtz Centre for Polar &amp; Marine Research; Aarhus University; Aarhus University; University of Cambridge; UK Research &amp; Innovation (UKRI); Natural Environment Research Council (NERC); NERC British Antarctic Survey</t>
  </si>
  <si>
    <t>de Vernal, A (corresponding author), Univ Quebec, GEOTOP, Montreal, PQ H3C 3P8, Canada.</t>
  </si>
  <si>
    <t>devernal.anne@uqam.ca</t>
  </si>
  <si>
    <t>Wolff, Eric W/D-7925-2014; IPO, PAGES/JXY-7546-2024; Seidenkrantz, Marit-Solveig/T-7198-2019; Seidenkrantz, Marit-Solveig/A-3451-2012; de Vernal, Anne/D-5602-2013</t>
  </si>
  <si>
    <t>Wolff, Eric W/0000-0002-5914-8531; Seidenkrantz, Marit-Solveig/0000-0002-1973-5969</t>
  </si>
  <si>
    <t>NERC [bas0100024] Funding Source: UKRI; Natural Environment Research Council [bas0100024] Funding Source: researchfish; Directorate For Geosciences; Division Of Earth Sciences [1023724] Funding Source: National Science Foundation</t>
  </si>
  <si>
    <t>NERC(UK Research &amp; Innovation (UKRI)Natural Environment Research Council (NERC)); Natural Environment Research Council(UK Research &amp; Innovation (UKRI)Natural Environment Research Council (NERC)); Directorate For Geosciences; Division Of Earth Sciences(National Science Foundation (NSF)NSF - Directorate for Geosciences (GEO))</t>
  </si>
  <si>
    <t>10.1016/j.quascirev.2013.08.009</t>
  </si>
  <si>
    <t>WOS:000327909900001</t>
  </si>
  <si>
    <t>Collins, LG; Allen, CS; Pike, J; Hodgson, DA; Weckström, K; Massé, G</t>
  </si>
  <si>
    <t>Collins, Lewis G.; Allen, Claire S.; Pike, Jennifer; Hodgson, Dominic A.; Weckstrom, Kaarina; Masse, Guillaume</t>
  </si>
  <si>
    <t>Evaluating highly branched isoprenoid (HBI) biomarkers as a novel Antarctic sea-ice proxy in deep ocean glacial age sediments</t>
  </si>
  <si>
    <t>Highly branched isoprenoid alkenes; Sea-ice; Diatoms; Scotia Sea; Glacial</t>
  </si>
  <si>
    <t>ATLANTIC THERMOHALINE CIRCULATION; CANADIAN ARCTIC ARCHIPELAGO; MAJOR DIATOM TAXA; SOUTHERN-OCEAN; SCOTIA SEA; NORTH-ATLANTIC; BARENTS SEA; CIRCUMPOLAR CURRENT; MARINE-SEDIMENTS; SWITCH MECHANISM</t>
  </si>
  <si>
    <t>Antarctic sea-ice plays a primary role in the climate system, potentially modulating interhemispheric millennial-scale climate change and deglacial warming. Recently, microfossil proxy data have provided important insights into this potential forcing. However, additional proxies for glacial sea-ice reconstructions are required, to support the microfossil data and to control for potential preservation issues. We considered highly branched isoprenoids (HBIs) as a sea-ice proxy, building on earlier studies in the Arctic and Antarctic. This study focused on measuring HBIs in glacial deposits in Southern Ocean deep ocean sediment cores. These deep ocean sites provided a study location away from the local sea-ice complexities associated with coastal and shallow water sites and allowed the comparison of HBIs during several phases of glacial sea-ice variability inferred from microfossils. Down-core profiles of di- and tri-unsaturated HBI isomers diene II and triene III were compared with diatom-based reconstructions of Antarctic sea-ice derived in three high resolution sediment cores recovered from a transect across the Scotia Sea, Southwest Atlantic. High quality chronological control was achieved through a combination of abundance stratigraphy, relative geomagnetic palaeointensity data, and down-core magnetic susceptibility/ice core dust correlation. Significant positive correlations, observed between HBI diene II and sea-ice presence, and between HBI triene III and open waters in the Marginal Ice Zone indicated that the two HBIs are both closely related to sea-ice and sea-ice edge dynamics, respectively. Highly significant down-core correlations between the HBIs indicate coeval sedimentation related to the summer breakdown of sea-ice melt-induced stratification. Combined, the two HBIs and diatoms demonstrated their potential as proxies for permanent sea-ice cover and sea-ice seasonality, two parameters poorly resolved in current climate models. The sea-ice reconstructions presented have developed our knowledge regarding HBIs and their relationship with the surface ocean environment and further highlight their potential as an important proxy for glacial Antarctic sea-ice and sea-ice dynamics back to at least similar to 60 ka. (C) 2013 Elsevier Ltd. All rights reserved.</t>
  </si>
  <si>
    <t>[Collins, Lewis G.; Masse, Guillaume] Univ Paris 06, LOCEAN CNRS UPMC IRD MNHN UMR7159, F-75252 Paris, France; [Allen, Claire S.; Hodgson, Dominic A.] British Antarctic Survey, NERC, Cambridge CB3 0ET, England; [Pike, Jennifer] Cardiff Univ, Sch Earth &amp; Ocean Sci, Cardiff CF10 3AT, S Glam, Wales; [Weckstrom, Kaarina] Geol Survey Denmark &amp; Greenland, Dept Marine Geol &amp; Glaciol, DK-1350 Copenhagen, Denmark; [Masse, Guillaume] Univ Laval, Takuvik UMI3376, Quebec City, PQ G1V 0A6, Canada</t>
  </si>
  <si>
    <t>Museum National d'Histoire Naturelle (MNHN); Centre National de la Recherche Scientifique (CNRS); CNRS - National Institute for Earth Sciences &amp; Astronomy (INSU); Sorbonne Universite; UK Research &amp; Innovation (UKRI); Natural Environment Research Council (NERC); NERC British Antarctic Survey; Cardiff University; Geological Survey Of Denmark &amp; Greenland; Laval University</t>
  </si>
  <si>
    <t>Collins, LG (corresponding author), Univ Paris 06, LOCEAN CNRS UPMC IRD MNHN UMR7159, Tour 46-00,4 Pl Jussieu,BP100, F-75252 Paris, France.</t>
  </si>
  <si>
    <t>lclod@locean-ipsl.upmc.fr</t>
  </si>
  <si>
    <t>IPO, PAGES/JXY-7546-2024; Pike, Jennifer/D-2589-2009</t>
  </si>
  <si>
    <t>Pike, Jennifer/0000-0001-9415-6003; Weckstrom, Kaarina/0000-0002-3889-0788; Collins, Lewis/0000-0003-0266-4997</t>
  </si>
  <si>
    <t>ERC ICEPROXY project [203441]; Natural Environment Research Council CASE studentship [NER/S/A/2005113647]; NERC [bas0100024] Funding Source: UKRI; Natural Environment Research Council [bas0100024] Funding Source: researchfish</t>
  </si>
  <si>
    <t>ERC ICEPROXY project(European Research Council (ERC)); Natural Environment Research Council CASE studentship(UK Research &amp; Innovation (UKRI)Natural Environment Research Council (NERC)); NERC(UK Research &amp; Innovation (UKRI)Natural Environment Research Council (NERC)); Natural Environment Research Council(UK Research &amp; Innovation (UKRI)Natural Environment Research Council (NERC))</t>
  </si>
  <si>
    <t>We thank the Captain, crew and scientific parties aboard the RSS James Clark Ross during cruises JR04 and JR48. We also thank Vincent Klein, who contributed to the measuring of HBI data at the LOCEAN laboratory, Universite Pierre et Marie Curie, and Thomas Gregory (Cardiff University) for useful discussion of the HBI data. This research was supported by the ERC ICEPROXY project (203441) awarded to GM and Natural Environment Research Council CASE studentship NER/S/A/2005113647 awarded to LGC at Cardiff University.</t>
  </si>
  <si>
    <t>10.1016/j.quascirev.2013.02.004</t>
  </si>
  <si>
    <t>WOS:000327909900008</t>
  </si>
  <si>
    <t>Abram, NJ; Wolff, EW; Curran, MAJ</t>
  </si>
  <si>
    <t>Abram, Nerilie J.; Wolff, Eric W.; Curran, Mark A. J.</t>
  </si>
  <si>
    <t>A review of sea ice proxy information from polar ice cores</t>
  </si>
  <si>
    <t>Sea ice; Ice cores; Sea salt; MSA; Palaeoclimate</t>
  </si>
  <si>
    <t>LAST GLACIAL MAXIMUM; DRONNING MAUD LAND; METHANESULFONIC-ACID; SOUTHERN-OCEAN; METHANE SULFONATE; DIMETHYL SULFIDE; BIOGENIC SULFUR; SALT AEROSOL; ATMOSPHERIC CIRCULATION; SPATIAL-DISTRIBUTION</t>
  </si>
  <si>
    <t>Sea ice plays an important role in Earth's climate system. The lack of direct indications of past sea ice coverage, however, means that there is limited knowledge of the sensitivity and rate at which sea ice dynamics are involved in amplifying climate changes. As such, there is a need to develop new proxy records for reconstructing past sea ice conditions. Here we review the advances that have been made in using chemical tracers preserved in ice cores to determine past changes in sea ice cover around Antarctica. Ice core records of sea salt concentration show promise for revealing patterns of sea ice extent particularly over glacial-interglacial time scales. In the coldest climates, however, the sea salt signal appears to lose sensitivity and further work is required to determine how this proxy can be developed into a quantitative sea ice indicator. Methane sulphonic acid (MSA) in near-coastal ice cores has been used to reconstruct quantified changes and interannual variability in sea ice extent over shorter time scales spanning the last similar to 160 years, and has potential to be extended to produce records of Antarctic sea ice changes throughout the Holocene. However the MSA ice core proxy also requires careful site assessment and interpretation alongside other palaeoclimate indicators to ensure reconstructions are not biased by non-sea ice factors, and we summarise some recommended strategies for the further development of sea ice histories from ice core MSA. For both proxies the limited information about the production and transfer of chemical markers from the sea ice zone to the Antarctic ice sheets remains an issue that requires further multidisciplinary study. Despite some exploratory and statistical work, the application of either proxy as an indicator of sea ice change in the Arctic also remains largely unknown. As information about these new ice core proxies builds, so too does the potential to develop a more comprehensive understanding of past changes in sea ice and its role in both long and short-term climate changes. (C) 2013 Elsevier Ltd. All rights reserved.</t>
  </si>
  <si>
    <t>[Abram, Nerilie J.; Wolff, Eric W.] British Antarctic Survey, NERC, Cambridge CB3 0ET, England; [Abram, Nerilie J.] Australian Natl Univ, Res Sch Earth Sci, Canberra, ACT 0200, Australia; [Curran, Mark A. J.] Univ Tasmania, Australian Antarctic Div, Hobart, Tas 7001, Australia; [Curran, Mark A. J.] Univ Tasmania, Antarctic Climate &amp; Ecosyst CRC, Hobart, Tas 7001, Australia</t>
  </si>
  <si>
    <t>UK Research &amp; Innovation (UKRI); Natural Environment Research Council (NERC); NERC British Antarctic Survey; Australian National University; Australian Antarctic Division; University of Tasmania; University of Tasmania</t>
  </si>
  <si>
    <t>Abram, NJ (corresponding author), Australian Natl Univ, Res Sch Earth Sci, Mills Rd, Canberra, ACT 0200, Australia.</t>
  </si>
  <si>
    <t>nerilie.abram@anu.edu.au</t>
  </si>
  <si>
    <t>IPO, PAGES/JXY-7546-2024; Abram, Nerilie/AAT-5171-2021; Wolff, Eric W/D-7925-2014</t>
  </si>
  <si>
    <t>Wolff, Eric W/0000-0002-5914-8531; Abram, Nerilie/0000-0003-1246-2344</t>
  </si>
  <si>
    <t>Queen Elizabeth II fellowship; Australian Research Council [DP110101161]; Natural Environment Research Council; PAGES; European Union [243908]; NERC [bas0100024] Funding Source: UKRI; Natural Environment Research Council [bas0100024] Funding Source: researchfish</t>
  </si>
  <si>
    <t>Queen Elizabeth II fellowship; Australian Research Council(Australian Research Council); Natural Environment Research Council(UK Research &amp; Innovation (UKRI)Natural Environment Research Council (NERC)); PAGES; European Union(European Union (EU)); NERC(UK Research &amp; Innovation (UKRI)Natural Environment Research Council (NERC)); Natural Environment Research Council(UK Research &amp; Innovation (UKRI)Natural Environment Research Council (NERC))</t>
  </si>
  <si>
    <t>NJA is supported by a Queen Elizabeth II fellowship awarded by the Australian Research Council under DP110101161. EWW's contribution to this study is part of the British Antarctic Survey Polar Science for Planet Earth Programme and was funded by the Natural Environment Research Council. This review paper was written as part of the Sea Ice Proxies working group funded by PAGES. This is Past4Future contribution number 35. The research leading to these results has received funding from the European Union's Seventh Framework programme (FP7/2007-2013) under grant agreement number 243908, Past4Future. Climate change - Learning from the past climate.</t>
  </si>
  <si>
    <t>10.1016/j.quascirev.2013.01.011</t>
  </si>
  <si>
    <t>WOS:000327909900015</t>
  </si>
  <si>
    <t>Vancoppenolle, M; Meiners, KM; Michel, C; Bopp, L; Brabant, F; Carnat, G; Delille, B; Lannuzel, D; Madec, G; Moreau, S; Tison, JL; van der Merwe, P</t>
  </si>
  <si>
    <t>Vancoppenolle, Martin; Meiners, Klaus M.; Michel, Christine; Bopp, Laurent; Brabant, Frederic; Carnat, Gauthier; Delille, Bruno; Lannuzel, Delphine; Madec, Gurvan; Moreau, Sebastien; Tison, Jean-Louis; van der Merwe, Pier</t>
  </si>
  <si>
    <t>Role of sea ice in global biogeochemical cycles: emerging views and challenges</t>
  </si>
  <si>
    <t>Sea ice; Biogeochemistry; Climate</t>
  </si>
  <si>
    <t>DISSOLVED ORGANIC-MATTER; WESTERN WEDDELL SEA; SOUTHERN-OCEAN; CLIMATE-CHANGE; THICKNESS DISTRIBUTION; EXOPOLYMER PARTICLES; OPTICAL-PROPERTIES; FROST FLOWERS; MASS-BALANCE; SNOW COVER</t>
  </si>
  <si>
    <t>Observations from the last decade suggest an important role of sea ice in the global biogeochemical cycles, promoted by (i) active biological and chemical processes within the sea ice; (ii) fluid and gas exchanges at the sea ice interface through an often permeable sea ice cover; and (iii) tight physical, biological and chemical interactions between the sea ice, the ocean and the atmosphere. Photosynthetic micro-organisms in sea ice thrive in liquid brine inclusions encased in a pure ice matrix, where they find suitable light and nutrient levels. They extend the production season, provide a winter and early spring food source, and contribute to organic carbon export to depth. Under-ice and ice edge phytoplankton blooms occur when ice retreats, favoured by increasing light, stratification, and by the release of material into the water column. In particular, the release of iron highly concentrated in sea ice could have large effects in the iron-limited Southern Ocean. The export of inorganic carbon transport by brine sinking below the mixed layer, calcium carbonate precipitation in sea ice, as well as active ice-atmosphere carbon dioxide (CO2) fluxes, could play a central role in the marine carbon cycle. Sea ice processes could also significantly contribute to the sulphur cycle through the large production by ice algae of dimethylsulfoniopropionate (DMSP), the precursor of sulphate aerosols, which as cloud condensation nuclei have a potential cooling effect on the planet. Finally, the sea ice zone supports significant ocean atmosphere methane (CH4) fluxes, while saline ice surfaces activate springtime atmospheric bromine chemistry, setting ground for tropospheric ozone depletion events observed near both poles. All these mechanisms are generally known, but neither precisely understood nor quantified at large scales. As polar regions are rapidly changing, understanding the large-scale polar marine biogeochemical processes and their future evolution is of high priority. Earth system models should in this context prove essential, but they currently represent sea ice as biologically and chemically inert. Palaeoclimatic proxies are also relevant, in particular the sea ice proxies, inferring past sea ice conditions from glacial and marine sediment core records and providing analogues for future changes. Being highly constrained by marine biogeochemistry, sea ice proxies would not only contribute to but also benefit from a better understanding of polar marine biogeochemical cycles. (C) 2013 Elsevier Ltd. All rights reserved.</t>
  </si>
  <si>
    <t>[Vancoppenolle, Martin; Madec, Gurvan] CNRS IRD UPMC MNHN, Inst Pierre Simon Laplace, Lab Oceanog &amp; Climat, Paris, France; [Meiners, Klaus M.] Dept Sustainabil Environm Water Populat &amp; Communi, Australian Antarctic Div, Kingston, Tas, Australia; [Meiners, Klaus M.; Lannuzel, Delphine; van der Merwe, Pier] Univ Tasmania, Antarctic Climate &amp; Ecosyst Cooperat Res Ctr, Hobart, Tas, Australia; [Michel, Christine] Fisheries &amp; Oceans Canada, Winnipeg, MB, Canada; [Bopp, Laurent] CNRS UVSQ CEA, Inst Pierre Simon Laplace, Lab Sci Climat &amp; Environm, Gif Sur Yvette, France; [Brabant, Frederic; Carnat, Gauthier; Tison, Jean-Louis] Univ Libre Bruxelles, Lab Glaciol, Brussels, Belgium; [Delille, Bruno] Univ Liege, Unite Oceanog Chim, B-4000 Liege, Belgium; [Moreau, Sebastien] Catholic Univ Louvain, Earth &amp; Life Inst, Georges Lemaitre Ctr Earth &amp; Climate Res, Louvain, Belgium; [Madec, Gurvan] Natl Oceanog Ctr, Southampton, Hants, England; [Lannuzel, Delphine] Univ Tasmania, Inst Marine &amp; Antarctic Studies, Hobart, Tas, Australia</t>
  </si>
  <si>
    <t>Institut de Recherche pour le Developpement (IRD); Museum National d'Histoire Naturelle (MNHN); Universite Paris Cite; Centre National de la Recherche Scientifique (CNRS); CNRS - National Institute for Earth Sciences &amp; Astronomy (INSU); Sorbonne Universite; Universite Paris Saclay; Australian Antarctic Division; Antarctic Climate &amp; Ecosystems Cooperative Research Centre (ACE CRC); University of Tasmania; Fisheries &amp; Oceans Canada; Universite Paris Saclay; CEA; Centre National de la Recherche Scientifique (CNRS); Universite Paris Cite; Universite Libre de Bruxelles; University of Liege; Universite Catholique Louvain; NERC National Oceanography Centre; University of Tasmania</t>
  </si>
  <si>
    <t>Vancoppenolle, M (corresponding author), UMR7159 CNRS IRD UPMC MNHN, LOCEAN, IPSL Boite 100,4 Pl jussieu, F-75252 Paris 05, France.</t>
  </si>
  <si>
    <t>martin.vancoppenolle@locean-ipsl.upmc.fr</t>
  </si>
  <si>
    <t>Vancoppenolle, Martin/AAA-7711-2022; bopp, laurent/ABF-5302-2020; madec, gurvan/E-7825-2010; IPO, PAGES/JXY-7546-2024; Vancoppenolle, Martin/B-3750-2011; Tison, Jean-Louis/F-4065-2015; Delille, Bruno/C-3486-2008; van der Merwe, Pier/C-9210-2015; lannuzel, delphine/J-7937-2014</t>
  </si>
  <si>
    <t>Vancoppenolle, Martin/0000-0002-7573-8582; bopp, laurent/0000-0003-4732-4953; madec, gurvan/0000-0002-6447-4198; Vancoppenolle, Martin/0000-0002-7573-8582; Tison, Jean-Louis/0000-0002-9758-3454; Delille, Bruno/0000-0003-0502-8101; van der Merwe, Pier/0000-0002-7428-8030; lannuzel, delphine/0000-0001-6154-1837; Moreau, Sebastien/0000-0001-9446-812X</t>
  </si>
  <si>
    <t>BIGSOUTH program; Belgian Federal Science Policy Office; European Union [321938]; Australian Governments Cooperative Research Centres Program through the Antarctic Climate and Ecosystems Cooperative Research Centre; FNRS-FRFC [2.4649.07]; FNRS-FRIA Phd grant; Service Incendie de Braine-l'Alleud (Belgium); BA2SICS (in IPY) - Biogeochemistry of Arctic; BA2SICS (in IPY) - Biogeochemistry of Antarctic Sea; Climate System and BEPSII - Biogeochemical Exchange Processes at the Sea-Ice Interfaces, SCOR Working Group; Natural Environment Research Council [noc010010] Funding Source: researchfish; NERC [noc010010] Funding Source: UKRI</t>
  </si>
  <si>
    <t>BIGSOUTH program; Belgian Federal Science Policy Office(Belgian Federal Science Policy Office); European Union(European Union (EU)); Australian Governments Cooperative Research Centres Program through the Antarctic Climate and Ecosystems Cooperative Research Centre(Australian GovernmentDepartment of Industry, Innovation and ScienceCooperative Research Centres (CRC) Programme); FNRS-FRFC(Fonds de la Recherche Scientifique - FNRS); FNRS-FRIA Phd grant(Fonds de la Recherche Scientifique - FNRS); Service Incendie de Braine-l'Alleud (Belgium); BA2SICS (in IPY) - Biogeochemistry of Arctic; BA2SICS (in IPY) - Biogeochemistry of Antarctic Sea; Climate System and BEPSII - Biogeochemical Exchange Processes at the Sea-Ice Interfaces, SCOR Working Group; Natural Environment Research Council(UK Research &amp; Innovation (UKRI)Natural Environment Research Council (NERC)); NERC(UK Research &amp; Innovation (UKRI)Natural Environment Research Council (NERC))</t>
  </si>
  <si>
    <t>This article was written under the auspices of: the BIGSOUTH program, funded by the Belgian Federal Science Policy Office; BA2SICS (in IPY) - Biogeochemistry of Arctic and Antarctic Sea and the Climate System and BEPSII - Biogeochemical Exchange Processes at the Sea-Ice Interfaces, SCOR Working Group. MV acknowledges financial support through the 7th research program of European Union FP7/PEOPLE-2012-CIG BISICLO (#321938). KM acknowledges support by the Australian Governments Cooperative Research Centres Program through the Antarctic Climate and Ecosystems Cooperative Research Centre. JLT and BD acknowledge FNRS-FRFC contract #2.4649.07 and F. Brabant was funded by an FNRS-FRIA Phd grant and acknowledges support from the Service Incendie de Braine-l'Alleud (Belgium). BD is a Research Associate of the FRS-FNRS.</t>
  </si>
  <si>
    <t>10.1016/j.quascirev.2013.04.011</t>
  </si>
  <si>
    <t>WOS:000327909900018</t>
  </si>
  <si>
    <t>Lopatina, A; Krylenkov, V; Severinov, K</t>
  </si>
  <si>
    <t>Lopatina, Anna; Krylenkov, Vjacheslav; Severinov, Konstantin</t>
  </si>
  <si>
    <t>Activity and bacterial diversity of snow around Russian Antarctic stations</t>
  </si>
  <si>
    <t>RESEARCH IN MICROBIOLOGY</t>
  </si>
  <si>
    <t>Bacterial diversity; Antarctica; Snow; Psychrophiles; 16S rDNA</t>
  </si>
  <si>
    <t>MICROBIAL COMMUNITIES; ARCTIC SNOW; GLACIER; ICE; MICROORGANISMS; DEPOSITION; LIBRARIES; COVER</t>
  </si>
  <si>
    <t>The diversity and temporal dynamics of bacterial communities in pristine snow around two Russian Antarctic stations was investigated. Taxonomic analysis of rDNA libraries revealed that snow communities were dominated by bacteria from a small number of operational taxonomic units (OTUs) that underwent dramatic swings in abundance between the 54th (2008-2009) and 55th (2009-2010) Russian Antarctic expeditions. Moreover, analysis of the 55th expedition samples indicated that there was very little, if any, correspondence in abundance of clones belonging to the same OTU present in rDNA and rRNA libraries. The latter result suggests that most rDNA clones originate from bacteria that are not alive and/or active and may have been deposited on the snow surface from the atmosphere. In contrast, clones most abundant in rRNA libraries (mostly belonging to Variovorax, Janthinobacterium, Pseudomonas, and Sphingomonas genera) may be considered as endogenous Antarctic snow inhabitants. (C) 2013 Institut Pasteur. Published by Elsevier Masson SAS. All rights reserved.</t>
  </si>
  <si>
    <t>[Lopatina, Anna; Severinov, Konstantin] Russian Acad Sci, Inst Mol Genet &amp; Gene Biol, Moscow, Russia; [Krylenkov, Vjacheslav; Severinov, Konstantin] St Petersburg State Univ, St Petersburg 199034, Russia; [Severinov, Konstantin] Rutgers State Univ, Waksman Inst Microbiol &amp; Mol Biol &amp; Biochem, Piscataway, NJ 08854 USA</t>
  </si>
  <si>
    <t>Russian Academy of Sciences; Institute of Gene Biology (IGB) of Russian Academy of Sciences; Saint Petersburg State University; Rutgers University System; Rutgers University New Brunswick</t>
  </si>
  <si>
    <t>Severinov, K (corresponding author), Rutgers State Univ, Waksman Inst Microbiol &amp; Mol Biol &amp; Biochem, Piscataway, NJ 08854 USA.</t>
  </si>
  <si>
    <t>night_sun@mail.ru; krylenkoff@gmail.com; severik@waksman.rutgers.edu</t>
  </si>
  <si>
    <t>Lopatina, Anna/HNO-9719-2023; Severinov, Konstantin/C-8545-2016; Lopatina, Anna/JAX-4118-2023</t>
  </si>
  <si>
    <t>Lopatina, Anna/0000-0002-3484-6819</t>
  </si>
  <si>
    <t>Molecular and Cell Biology Program; Ministry of Education and Science of Russian Federation; Russian Academy of Sciences Presidium [14.B25.31.0004]</t>
  </si>
  <si>
    <t>Molecular and Cell Biology Program; Ministry of Education and Science of Russian Federation(Ministry of Education and Science, Russian Federation); Russian Academy of Sciences Presidium(Russian Academy of Sciences)</t>
  </si>
  <si>
    <t>This work was supported by a Molecular and Cell Biology Program and The Ministry of Education and Science of Russian Federation, project 14.B25.31.0004 grant from the Russian Academy of Sciences Presidium to KS.</t>
  </si>
  <si>
    <t>0923-2508</t>
  </si>
  <si>
    <t>1769-7123</t>
  </si>
  <si>
    <t>RES MICROBIOL</t>
  </si>
  <si>
    <t>Res. Microbiol.</t>
  </si>
  <si>
    <t>10.1016/j.resmic.2013.08.005</t>
  </si>
  <si>
    <t>244BR</t>
  </si>
  <si>
    <t>WOS:000326362600008</t>
  </si>
  <si>
    <t>Hu, QH; Xie, ZQ; Wang, XM; Kang, H; Zhang, PF</t>
  </si>
  <si>
    <t>Hu, Qi-Hou; Xie, Zhou-Qing; Wang, Xin-Ming; Kang, Hui; Zhang, Pengfei</t>
  </si>
  <si>
    <t>Levoglucosan indicates high levels of biomass burning aerosols over oceans from the Arctic to Antarctic</t>
  </si>
  <si>
    <t>PARTICULATE MERCURY; ORGANIC-CARBON; BLACK CARBON; SEASONAL-VARIATIONS; AMBIENT AEROSOL; TRANSPORT; EMISSIONS; SMOKE; MARINE; PM2.5</t>
  </si>
  <si>
    <t>Biomass burning is known to affect air quality, global carbon cycle, and climate. However, the extent to which biomass burning gases/aerosols are present on a global scale, especially in the marine atmosphere, is poorly understood. Here we report the molecular tracer levoglucosan concentrations in marine air from the Arctic Ocean through the North and South Pacific Ocean to Antarctica during burning season. Levoglucosan was found to be present in all regions at ng/m(3) levels with the highest atmospheric loadings present in the mid-latitudes (30 degrees-60 degrees N and S), intermediate loadings in the Arctic, and lowest loadings in the Antarctic and equatorial latitudes. As a whole, levoglucosan concentrations in the Southern Hemisphere were comparable to those in the Northern Hemisphere. Biomass burning has a significant impact on atmospheric Hg and water-soluble organic carbon (WSOC) from pole-to-pole, with more contribution to WSOC in the Northern Hemisphere than in the Southern Hemisphere.</t>
  </si>
  <si>
    <t>[Hu, Qi-Hou; Xie, Zhou-Qing; Kang, Hui; Zhang, Pengfei] Univ Sci &amp; Technol China, Inst Polar Environm, Sch Earth &amp; Space Sci, Hefei 230026, Peoples R China; [Wang, Xin-Ming] Chinese Acad Sci, Guangzhou Inst Geochem, State Key Lab Organ Geochem, Guangzhou 510640, Guangdong, Peoples R China; [Zhang, Pengfei] CUNY City Coll, Dept Earth &amp; Atmospher Sci, New York, NY 10031 USA</t>
  </si>
  <si>
    <t>Chinese Academy of Sciences; University of Science &amp; Technology of China, CAS; Chinese Academy of Sciences; Guangzhou Institute of Geochemistry, CAS; City University of New York (CUNY) System; City College of New York (CUNY)</t>
  </si>
  <si>
    <t>Xie, ZQ (corresponding author), Univ Sci &amp; Technol China, Inst Polar Environm, Sch Earth &amp; Space Sci, Hefei 230026, Peoples R China.</t>
  </si>
  <si>
    <t>zqxie@ustc.edu.cn</t>
  </si>
  <si>
    <t>Zhang, Pengfei/C-2264-2013; Wang, Xinming/A-7388-2014; xie, zhouqing/P-9661-2019</t>
  </si>
  <si>
    <t>Zhang, Pengfei/0000-0002-1765-5965; Wang, Xinming/0000-0002-1982-0928;</t>
  </si>
  <si>
    <t>National Natural Science Foundation of China [41025020, 41176170]; Chinese Arctic and Antarctic Administration [CHINARE2013-01-01, CHINARE2013-03-04, CHINARE-04-01]</t>
  </si>
  <si>
    <t>National Natural Science Foundation of China(National Natural Science Foundation of China (NSFC)); Chinese Arctic and Antarctic Administration</t>
  </si>
  <si>
    <t>This research was supported by grants from the National Natural Science Foundation of China (Project Nos. 41025020, 41176170), the Chinese Arctic and Antarctic Administration (Projects Nos. CHINARE2013-01-01, CHINARE2013-03-04, CHINARE-04-01). We wish to think Ming Li, XiangDing and Quan-Fu He for their help in sampling and analysis. The authors acknowledge the NOAA Air Resources Laboratory (ARL) for making the HYSPLIT transport and dispersion model available on the Internet (http://www.arl.noaa.gov/ready.html).</t>
  </si>
  <si>
    <t>10.1038/srep03119</t>
  </si>
  <si>
    <t>245WI</t>
  </si>
  <si>
    <t>WOS:000326494200003</t>
  </si>
  <si>
    <t>Risk, D; Lee, CK; MacIntyre, C; Cary, SC</t>
  </si>
  <si>
    <t>Risk, David; Lee, Charles K.; MacIntyre, Christopher; Cary, S. Craig</t>
  </si>
  <si>
    <t>First year-round record of Antarctic Dry Valley soil CO2 flux</t>
  </si>
  <si>
    <t>Antarctica; CO2 flux; Dry Valley; Forced Diffusion; Soil respiration; Wind</t>
  </si>
  <si>
    <t>NUMERICAL EVALUATION; ORGANIC-CARBON; RESPIRATION; EFFLUX; DEEP</t>
  </si>
  <si>
    <t>The McMurdo Dry Valleys of Antarctica are home to unique soil microbial communities. Using a specially designed Forced Diffusion flux chamber, we logged the first year-round record of soil surface CO2 flux in Hidden Valley. We observed low but positive fluxes during two sustained events, and conclude that the observed variability was clearly driven by both biotic and abiotic factors. (C) 2013 Published by Elsevier Ltd.</t>
  </si>
  <si>
    <t>[Risk, David; MacIntyre, Christopher] St Francis Xavier Univ, Dept Earth Sci, Antigonish, NS B2G 2W5, Canada; [Lee, Charles K.; Cary, S. Craig] Univ Waikato, Int Ctr Terr Antarctic Res, Hamilton, New Zealand</t>
  </si>
  <si>
    <t>Saint Francis Xavier University - Canada; University of Waikato</t>
  </si>
  <si>
    <t>Risk, D (corresponding author), St Francis Xavier Univ, Dept Earth Sci, Antigonish, NS B2G 2W5, Canada.</t>
  </si>
  <si>
    <t>drisk@stfx.ca</t>
  </si>
  <si>
    <t>Lee, Charles/AAC-9417-2019; lee, charles/AAW-6627-2021</t>
  </si>
  <si>
    <t>Lee, Charles/0000-0002-6562-4733; lee, charles/0000-0001-6906-4895; Cary, Stephen/0000-0002-2876-2387</t>
  </si>
  <si>
    <t>NZ Foundation for Research, Science and Technology; International Centre for Terrestrial Antarctic Research; NSF [ANT-0229836]; NZ Marsden Fund [UOW0802, UOW1003]</t>
  </si>
  <si>
    <t>NZ Foundation for Research, Science and Technology(New Zealand Foundation for Research, Science and Technology); International Centre for Terrestrial Antarctic Research; NSF(National Science Foundation (NSF)); NZ Marsden Fund(Royal Society of New ZealandMarsden Fund (NZ))</t>
  </si>
  <si>
    <t>This work was conducted as part of the NZ Terrestrial Antarctic Biocomplexity Survey (http://nztabs.ictar.aq/), which was supported by the NZ Foundation for Research, Science and Technology and the International Centre for Terrestrial Antarctic Research. We acknowledge Antarctica NZ for logistic support. This research was supported by a NSF grant to SCC (ANT-0229836). The NZ Marsden Fund provided financial support for SCC (UOW0802) and CKL (UOW1003). Thanks kindly to Eric Bottos and Martin Lavoie for their assistance, and to two anonymous reviewers for their helpful comments.</t>
  </si>
  <si>
    <t>10.1016/j.soilbio.2013.07.006</t>
  </si>
  <si>
    <t>234SU</t>
  </si>
  <si>
    <t>WOS:000325665400024</t>
  </si>
  <si>
    <t>Spence, HE; Reeves, GD; Baker, DN; Blake, JB; Bolton, M; Bourdarie, S; Chan, AA; Claudepierre, SG; Clemmons, JH; Cravens, JP; Elkington, SR; Fennell, JF; Friedel, RHW; Funsten, HO; Goldstein, J; Green, JC; Guthrie, A; Henderson, MG; Horne, RB; Hudson, MK; Jahn, JM; Jordanova, VK; Kanekal, SG; Klatt, BW; Larsen, BA; Li, X; MacDonald, EA; Mann, IR; Niehof, J; O'Brien, TP; Onsager, TG; Salvaggio, D; Skoug, RM; Smith, SS; Suther, LL; Thomsen, MF; Thorne, RM</t>
  </si>
  <si>
    <t>Spence, H. E.; Reeves, G. D.; Baker, D. N.; Blake, J. B.; Bolton, M.; Bourdarie, S.; Chan, A. A.; Claudepierre, S. G.; Clemmons, J. H.; Cravens, J. P.; Elkington, S. R.; Fennell, J. F.; Friedel, R. H. W.; Funsten, H. O.; Goldstein, J.; Green, J. C.; Guthrie, A.; Henderson, M. G.; Horne, R. B.; Hudson, M. K.; Jahn, J. -M.; Jordanova, V. K.; Kanekal, S. G.; Klatt, B. W.; Larsen, B. A.; Li, X.; MacDonald, E. A.; Mann, I. R.; Niehof, J.; O'Brien, T. P.; Onsager, T. G.; Salvaggio, D.; Skoug, R. M.; Smith, S. S.; Suther, L. L.; Thomsen, M. F.; Thorne, R. M.</t>
  </si>
  <si>
    <t>Science Goals and Overview of the Radiation Belt Storm Probes (RBSP) Energetic Particle, Composition, and Thermal Plasma (ECT) Suite on NASA's Van Allen Probes Mission</t>
  </si>
  <si>
    <t>SPACE SCIENCE REVIEWS</t>
  </si>
  <si>
    <t>Radiation belts; Particle senors; Radiation detection; Space weather; Van Allen Probes</t>
  </si>
  <si>
    <t>INNER MAGNETOSPHERE; ACCELERATION; VARIABILITY; CONSISTENT; ELECTRONS; DYNAMICS; DECAY</t>
  </si>
  <si>
    <t>The Radiation Belt Storm Probes (RBSP)-Energetic Particle, Composition, and Thermal Plasma (ECT) suite contains an innovative complement of particle instruments to ensure the highest quality measurements ever made in the inner magnetosphere and radiation belts. The coordinated RBSP-ECT particle measurements, analyzed in combination with fields and waves observations and state-of-the-art theory and modeling, are necessary for understanding the acceleration, global distribution, and variability of radiation belt electrons and ions, key science objectives of NASA's Living With a Star program and the Van Allen Probes mission. The RBSP-ECT suite consists of three highly-coordinated instruments: the Magnetic Electron Ion Spectrometer (MagEIS), the Helium Oxygen Proton Electron (HOPE) sensor, and the Relativistic Electron Proton Telescope (REPT). Collectively they cover, continuously, the full electron and ion spectra from one eV to 10's of MeV with sufficient energy resolution, pitch angle coverage and resolution, and with composition measurements in the critical energy range up to 50 keV and also from a few to 50 MeV/nucleon. All three instruments are based on measurement techniques proven in the radiation belts. The instruments use those proven techniques along with innovative new designs, optimized for operation in the most extreme conditions in order to provide unambiguous separation of ions and electrons and clean energy responses even in the presence of extreme penetrating background environments. The design, fabrication and operation of ECT spaceflight instrumentation in the harsh radiation belt environment ensure that particle measurements have the fidelity needed for closure in answering key mission science questions. ECT instrument details are provided in companion papers in this same issue. In this paper, we describe the science objectives of the RBSP-ECT instrument suite on the Van Allen Probe spacecraft within the context of the overall mission objectives, indicate how the characteristics of the instruments satisfy the requirements to achieve these objectives, provide information about science data collection and dissemination, and conclude with a description of some early mission results.</t>
  </si>
  <si>
    <t>[Spence, H. E.; Smith, S. S.] Univ New Hampshire, Inst Study Earth Oceans &amp; Space, Durham, NH 03824 USA; [Reeves, G. D.; Friedel, R. H. W.; Funsten, H. O.; Guthrie, A.; Henderson, M. G.; Jordanova, V. K.; Larsen, B. A.; MacDonald, E. A.; Niehof, J.; Skoug, R. M.; Thomsen, M. F.] Los Alamos Natl Lab, Los Alamos, NM 87545 USA; [Baker, D. N.; Bolton, M.; Elkington, S. R.; Li, X.] Univ Colorado, Lab Atmospher &amp; Space Phys, Boulder, CO 80309 USA; [Blake, J. B.; Claudepierre, S. G.; Clemmons, J. H.; Fennell, J. F.; O'Brien, T. P.; Salvaggio, D.] Aerosp Corp, El Segundo, CA USA; [Chan, A. A.] Rice Univ, Houston, TX 77005 USA; [Cravens, J. P.] JPC LLC, Port Aransas, TX 78373 USA; [Goldstein, J.; Jahn, J. -M.] SW Res Inst, San Antonio, TX 78238 USA; [Green, J. C.; Onsager, T. G.] Natl Ocean &amp; Atmospher Adm, Boulder, CO 80305 USA; [Horne, R. B.] British Antarctic Survey, Cambridge CB3 0ET, England; [Hudson, M. K.] Dartmouth Coll, Hanover, NH 03755 USA; [Kanekal, S. G.] NASA Goddard, Greenbelt, MD 20771 USA; [Klatt, B. W.] MIT, Cambridge, MA 02139 USA; [Mann, I. R.] Univ Alberta, Edmonton, AB T6G 2R3, Canada; [Bourdarie, S.] ONERA CERT, Toulouse 04, France; [Suther, L. L.] Johns Hopkins Univ, Appl Phys Lab, Laurel, MD USA; [Thorne, R. M.] Univ Calif Los Angeles, Los Angeles, CA 90095 USA; [Klatt, B. W.] Univ Calgary, Calgary, AB T2N 1N4, Canada</t>
  </si>
  <si>
    <t>University System Of New Hampshire; University of New Hampshire; United States Department of Energy (DOE); Los Alamos National Laboratory; University of Colorado System; University of Colorado Boulder; Aerospace Corporation - USA; Rice University; Southwest Research Institute; National Oceanic Atmospheric Admin (NOAA) - USA; UK Research &amp; Innovation (UKRI); Natural Environment Research Council (NERC); NERC British Antarctic Survey; Dartmouth College; National Aeronautics &amp; Space Administration (NASA); NASA Goddard Space Flight Center; Massachusetts Institute of Technology (MIT); University of Alberta; National Office for Aerospace Studies &amp; Research (ONERA); Johns Hopkins University; Johns Hopkins University Applied Physics Laboratory; University of California System; University of California Los Angeles; University of Calgary</t>
  </si>
  <si>
    <t>Spence, HE (corresponding author), Univ New Hampshire, Inst Study Earth Oceans &amp; Space, Durham, NH 03824 USA.</t>
  </si>
  <si>
    <t>Harlan.Spence@unh.edu</t>
  </si>
  <si>
    <t>Friedel, Reiner HW/D-1410-2012; Jordanova, Vania/AAE-9907-2020; Spence, Harlan E/A-1942-2011; Horne, Richard B/U-3764-2019; Larsen, Brian A/A-7822-2011; Claudepierre, Seth G/A-6109-2012; Reeves, Geoffrey/E-8101-2011; Clemmons, James/AAA-6749-2020; Funsten, Herbert/A-5702-2015; Henderson, Michael/A-3948-2011; Jordanova, Vania/E-3667-2018</t>
  </si>
  <si>
    <t>Spence, Harlan E/0000-0002-2526-2205; Horne, Richard B/0000-0002-0412-6407; Larsen, Brian A/0000-0003-4515-0208; Claudepierre, Seth G/0000-0001-5513-5947; Reeves, Geoffrey/0000-0002-7985-8098; Clemmons, James/0000-0002-5298-5222; Funsten, Herbert/0000-0002-6817-1039; Henderson, Michael/0000-0003-4975-9029; Skoug, Ruth/0000-0003-1991-2643; Jordanova, Vania/0000-0003-0475-8743</t>
  </si>
  <si>
    <t>RBSP-ECT; JHU/APL under NASA's Prime Contract [967399, NAS5-01072]; NERC [bas0100023] Funding Source: UKRI; Natural Environment Research Council [bas0100023] Funding Source: researchfish</t>
  </si>
  <si>
    <t>RBSP-ECT; JHU/APL under NASA's Prime Contract; NERC(UK Research &amp; Innovation (UKRI)Natural Environment Research Council (NERC)); Natural Environment Research Council(UK Research &amp; Innovation (UKRI)Natural Environment Research Council (NERC))</t>
  </si>
  <si>
    <t>We gratefully acknowledge the Van Allen Probes mission team at the Johns Hopkins University (JHU)/Applied Physics Laboratory (APL) and the Project Science team at JHU/APL, NASA GSFC, and NASA HQ for their invaluable support during the design, development, testing, and early operations of the mission. This work was supported by RBSP-ECT funding provided by JHU/APL Contract No. 967399 under NASA's Prime Contract No. NAS5-01072.</t>
  </si>
  <si>
    <t>0038-6308</t>
  </si>
  <si>
    <t>1572-9672</t>
  </si>
  <si>
    <t>SPACE SCI REV</t>
  </si>
  <si>
    <t>Space Sci. Rev.</t>
  </si>
  <si>
    <t>1-4</t>
  </si>
  <si>
    <t>10.1007/s11214-013-0007-5</t>
  </si>
  <si>
    <t>244IM</t>
  </si>
  <si>
    <t>WOS:000326381300009</t>
  </si>
  <si>
    <t>Millan, RM; McCarthy, MP; Sample, JG; Smith, DM; Thompson, LD; McGaw, DG; Woodger, LA; Hewitt, JG; Comess, MD; Yando, KB; Liang, AX; Anderson, BA; Knezek, NR; Rexroad, WZ; Scheiman, JM; Bowers, GS; Halford, AJ; Collier, AB; Clilverd, MA; Lin, RP; Hudson, MK</t>
  </si>
  <si>
    <t>Millan, R. M.; McCarthy, M. P.; Sample, J. G.; Smith, D. M.; Thompson, L. D.; McGaw, D. G.; Woodger, L. A.; Hewitt, J. G.; Comess, M. D.; Yando, K. B.; Liang, A. X.; Anderson, B. A.; Knezek, N. R.; Rexroad, W. Z.; Scheiman, J. M.; Bowers, G. S.; Halford, A. J.; Collier, A. B.; Clilverd, M. A.; Lin, R. P.; Hudson, M. K.</t>
  </si>
  <si>
    <t>The Balloon Array for RBSP Relativistic Electron Losses (BARREL)</t>
  </si>
  <si>
    <t>Radiation belts; Wave-particle interactions; Electron precipitation</t>
  </si>
  <si>
    <t>ION-CYCLOTRON WAVES; RADIATION BELT; X-RAYS; LOSS MECHANISMS; PRECIPITATION; MICROBURSTS; SAMPEX; STORMS</t>
  </si>
  <si>
    <t>BARREL is a multiple-balloon investigation designed to study electron losses from Earth's Radiation Belts. Selected as a NASA Living with a Star Mission of Opportunity, BARREL augments the Radiation Belt Storm Probes mission by providing measurements of relativistic electron precipitation with a pair of Antarctic balloon campaigns that will be conducted during the Austral summers (January-February) of 2013 and 2014. During each campaign, a total of 20 small (similar to 20 kg) stratospheric balloons will be successively launched to maintain an array of similar to 5 payloads spread across similar to 6 hours of magnetic local time in the region that magnetically maps to the radiation belts. Each balloon carries an X-ray spectrometer to measure the bremsstrahlung X-rays produced by precipitating relativistic electrons as they collide with neutrals in the atmosphere, and a DC magnetometer to measure ULF-timescale variations of the magnetic field. BARREL will provide the first balloon measurements of relativistic electron precipitation while comprehensive in situ measurements of both plasma waves and energetic particles are available, and will characterize the spatial scale of precipitation at relativistic energies. All data and analysis software will be made freely available to the scientific community.</t>
  </si>
  <si>
    <t>[Millan, R. M.; McGaw, D. G.; Woodger, L. A.; Anderson, B. A.; Knezek, N. R.; Scheiman, J. M.; Halford, A. J.; Hudson, M. K.] Dartmouth Coll, Dept Phys &amp; Astron, Hanover, NH 03755 USA; [McCarthy, M. P.] Univ Washington, Dept Earth &amp; Space Sci, Seattle, WA 98195 USA; [Sample, J. G.; Lin, R. P.] Univ Calif Berkeley, Dept Phys, Berkeley, CA 94720 USA; [Sample, J. G.; Yando, K. B.; Lin, R. P.] Univ Calif Berkeley, Space Sci Lab, Berkeley, CA 94720 USA; [Smith, D. M.; Liang, A. X.; Rexroad, W. Z.; Bowers, G. S.] Univ Calif Santa Cruz, Dept Phys, Santa Cruz, CA 95064 USA; [Thompson, L. D.] NASA, Wallops Flight Facil, Wallops Isl, VA 23337 USA; [Hewitt, J. G.] USAF Acad, Dept Phys DFP, Colorado Springs, CO 80840 USA; [Comess, M. D.] Space X, Hawthorne, CA 90250 USA; [Collier, A. B.] Univ Kwazulu Natal, Sch Phys, ZA-4001 Durban, South Africa; [Clilverd, M. A.] British Antarctic Survey, Cambridge CB3 0ET, England; [Lin, R. P.] Kyung Hee Univ, Sch Space Res, Yongin, South Korea</t>
  </si>
  <si>
    <t>Dartmouth College; University of Washington; University of Washington Seattle; University of California System; University of California Berkeley; University of California System; University of California Berkeley; University of California System; University of California Santa Cruz; National Aeronautics &amp; Space Administration (NASA); NASA Goddard Space Flight Center; Wallops Flight Facility; United States Department of Defense; United States Air Force; United States Air Force Academy; University of Kwazulu Natal; UK Research &amp; Innovation (UKRI); Natural Environment Research Council (NERC); NERC British Antarctic Survey; Kyung Hee University</t>
  </si>
  <si>
    <t>Millan, RM (corresponding author), Dartmouth Coll, Dept Phys &amp; Astron, Hanover, NH 03755 USA.</t>
  </si>
  <si>
    <t>Robyn.Millan@dartmouth.edu</t>
  </si>
  <si>
    <t>Thompson, Lester D. R./J-8404-2016; Halford, Alexa/AAH-2098-2019; Collier, Andrew B/H-3752-2011; Thompson, Laura Lea/HSC-9374-2023</t>
  </si>
  <si>
    <t>Thompson, Lester D. R./0000-0003-3714-1432; Halford, Alexa/0000-0002-5383-4602; Bowers, Gregory/0000-0002-9524-2234; Anderson, Brett/0000-0001-5937-5497</t>
  </si>
  <si>
    <t>NASA Living With a Star program through NASA at Dartmouth College [NNX08AM58G]; Natural Environmental Research Council under the Antarctic Funding Initiative [AFI/11/22]; NERC [bas0100023, NE/H014888/1] Funding Source: UKRI; Natural Environment Research Council [bas0100023, NE/H014888/1] Funding Source: researchfish</t>
  </si>
  <si>
    <t>NASA Living With a Star program through NASA at Dartmouth College; Natural Environmental Research Council under the Antarctic Funding Initiative; NERC(UK Research &amp; Innovation (UKRI)Natural Environment Research Council (NERC)); Natural Environment Research Council(UK Research &amp; Innovation (UKRI)Natural Environment Research Council (NERC))</t>
  </si>
  <si>
    <t>BARREL is supported by the NASA Living With a Star program through NASA grant NNX08AM58G at Dartmouth College. Support for operations was provided by the Columbia Scientific Balloon Facility, the NASA Balloon Program Office, and the National Science Foundation's Office of Polar Programs. MAC has received funding from the Natural Environmental Research Council under the Antarctic Funding Initiative (AFI/11/22). The BARREL science campaigns were supported by NERC/British Antarctic Survey, SANSA Space Science, and the University of KwaZulu-Natal.</t>
  </si>
  <si>
    <t>10.1007/s11214-013-9971-z</t>
  </si>
  <si>
    <t>WOS:000326381300014</t>
  </si>
  <si>
    <t>Jouzel, J; Delaygue, G; Landais, A; Masson-Delmotte, V; Risi, C; Vimeux, F</t>
  </si>
  <si>
    <t>Jouzel, Jean; Delaygue, Gilles; Landais, Amaelle; Masson-Delmotte, Valerie; Risi, Camille; Vimeux, Francoise</t>
  </si>
  <si>
    <t>Water isotopes as tools to document oceanic sources of precipitation</t>
  </si>
  <si>
    <t>WATER RESOURCES RESEARCH</t>
  </si>
  <si>
    <t>precipitation; isotopes; deuterium-excess</t>
  </si>
  <si>
    <t>DEUTERIUM EXCESS RECORD; ANTARCTIC ICE CORES; EPICA DOME-C; MEDITERRANEAN-SEA; SURFACE SNOW; LAGRANGIAN ANALYSIS; ATMOSPHERIC BRANCH; MOISTURE SOURCES; CLIMATE CONTROLS; STABLE ISOTOPES</t>
  </si>
  <si>
    <t>The isotopic composition of precipitation, in deuterium, oxygen 18 and oxygen 17, depends on the climatic conditions prevailing in the oceanic regions where it originates, mainly the sea surface temperature and the relative humidity of air. This dependency applies to present-day precipitation but also to past records which are extracted, for example, from polar ice cores. In turn, coisotopic measurements of deuterium and oxygen 18 offer the possibility to retrieve information about the oceanic origin of modern precipitation as well as about past changes in sea surface temperature and relative humidity of air. This interpretation of isotopic measurements has largely relied on simple Rayleigh-type isotopic models and is complemented by Lagrangian back trajectory analysis of moisture sources. It is now complemented by isotopic General Circulation Models (IGCM) in which the origin of precipitation can be tagged. We shortly review published results documenting this link between the oceanic sources of precipitation and their isotopic composition. We then present experiments performed with two different IGCMs, the GISS model II and the LMDZ model. We focus our study on marine water vapor and its contribution to precipitation over Antarctica and over the Andean region of South America. We show how IGCM experiments allow us to relate climatic conditions prevailing in the oceanic source of precipitation to its isotopic composition. Such experiments support, at least qualitatively, the current interpretation of ice core isotopic data in terms of changes in sea surface temperature. Additionally, we discuss recent studies clearly showing the added value of oxygen 17 measurements.</t>
  </si>
  <si>
    <t>[Jouzel, Jean; Landais, Amaelle; Masson-Delmotte, Valerie; Vimeux, Francoise] CEA CNRS UVSQ, Inst Pierre Simon Laplace, Lab Sci Climat &amp; Environm, UMR 8212, Gif Sur Yvette, France; [Delaygue, Gilles] Univ Grenoble Alpes, CNRS, LGGE, Grenoble, France; [Risi, Camille] UPMC, Inst Pierre Simon Laplace, CNRS, Meteorol Dynam Lab, Paris, France; [Vimeux, Francoise] IRD, Lab Hydro Sci Montpellier HSM, Montpellier, France</t>
  </si>
  <si>
    <t>CEA; Centre National de la Recherche Scientifique (CNRS); Universite Paris Saclay; Universite Paris Cite; CNRS - National Institute for Earth Sciences &amp; Astronomy (INSU); Centre National de la Recherche Scientifique (CNRS); Communaute Universite Grenoble Alpes; Universite Grenoble Alpes (UGA); Centre National de la Recherche Scientifique (CNRS); CNRS - National Institute for Earth Sciences &amp; Astronomy (INSU); Sorbonne Universite; Universite Paris Cite; Universite Paris Saclay; Institut de Recherche pour le Developpement (IRD)</t>
  </si>
  <si>
    <t>Jouzel, J (corresponding author), CEA Saclay, Inst Pierre Simon Laplace, Lab Sci Climat &amp; Environm, CEA,CNRS,UVSQ,UMR 8212, Bt 701, F-91191 Gif Sur Yvette, France.</t>
  </si>
  <si>
    <t>jean.jouzel@lsce.ipsl.fr</t>
  </si>
  <si>
    <t>Masson-Delmotte, Valerie L/G-1995-2011</t>
  </si>
  <si>
    <t>Masson-Delmotte, Valerie L/0000-0001-8296-381X; LANDAIS, Amaelle/0000-0002-5620-5465</t>
  </si>
  <si>
    <t>project VANISH (Vulnerability of the Antarctic Ice Sheet and its Atmosphere) [ANR-VULN-013]; project GREEN-LAND (Groenland vert) [ANR-10-CEPL-0008]</t>
  </si>
  <si>
    <t>project VANISH (Vulnerability of the Antarctic Ice Sheet and its Atmosphere); project GREEN-LAND (Groenland vert)</t>
  </si>
  <si>
    <t>This work has benefited from the support of projects VANISH (Vulnerability of the Antarctic Ice Sheet and its Atmosphere, ANR-VULN-013) and GREEN-LAND (Groenland vert, ANR-10-CEPL-0008). We are indebted to the people who largely contributed to develop the GISS GCM and implement the water isotopes and tagging, especially Gary Russell and Randy Koster at NASA/GISS. LMDZ simulations were performed on the NEC supercomputer of the IDRIS computing center. We thank Romain Trasancos and Benedicte Minster for their contribution to the program of isotopic measurements conducted on precipitation from the Zongo valley, and Randy Koster and Andreas Stohl for their very constructive reviews.</t>
  </si>
  <si>
    <t>0043-1397</t>
  </si>
  <si>
    <t>1944-7973</t>
  </si>
  <si>
    <t>WATER RESOUR RES</t>
  </si>
  <si>
    <t>Water Resour. Res.</t>
  </si>
  <si>
    <t>10.1002/2013WR013508</t>
  </si>
  <si>
    <t>Environmental Sciences; Limnology; Water Resources</t>
  </si>
  <si>
    <t>275NJ</t>
  </si>
  <si>
    <t>WOS:000328683800022</t>
  </si>
  <si>
    <t>Vang, B; Mæhre, HK; Jensen, IJ; Olsen, RL</t>
  </si>
  <si>
    <t>Vang, Birthe; Maehre, Hanne K.; Jensen, Ida-J.; Olsen, Ragnar L.</t>
  </si>
  <si>
    <t>Detection of tropomyosin and determination of proteins in crustacean oils</t>
  </si>
  <si>
    <t>Antarctic krill; Calanus finmarchicus; Oils; Proteins; Tropomyosin; Western blotting; Amino acid analysis</t>
  </si>
  <si>
    <t>ALLERGENICITY; KRILL; PEPTIDES; ALLERGY; FISH</t>
  </si>
  <si>
    <t>Tropomyosin is known to be the main allergen in crustaceans and the objective of this study was to investigate if this protein could be detected in commercial crustacean oils from Antarctic krill (Euphausia superba) and the zooplankton Calanus finmarchicus. We also examined the possibility of determining the protein content in the oils by direct amino acid analysis. Western blotting showed that a commercial antibody against shrimp tropomyosin cross-reacted with a protein of similar size in Antarctic krill and C. finmarchicus. The protein tentatively identified as tropomyosin, was also detected in krill oil products, but not in oils from C. finmarchicus. The acetone-heptane method used for extracting proteins in the oils is however not optimal. Other extraction methods should therefore be considered when investigating the presence of allergenic proteins in oils. Direct amino acid analysis on oils should be further explored as a method for determining the total amount of proteins present. (c) 2013 Elsevier Ltd. All rights reserved.</t>
  </si>
  <si>
    <t>[Vang, Birthe; Maehre, Hanne K.; Jensen, Ida-J.; Olsen, Ragnar L.] Univ Tromso, Norwegian Coll Fishery Sci, N-9037 Tromso, Norway</t>
  </si>
  <si>
    <t>UiT The Arctic University of Tromso</t>
  </si>
  <si>
    <t>Vang, B (corresponding author), Univ Tromso, Norwegian Coll Fishery Sci, N-9037 Tromso, Norway.</t>
  </si>
  <si>
    <t>birthe.vang@uit.no; hanne.maehre@uit.no; ida-johanne.jensen@uit.no; ragnar.olsen@uit.no</t>
  </si>
  <si>
    <t>Maehre, Hanne K./0000-0001-9965-2145; Jensen, Ida-Johanne/0000-0003-3275-693X</t>
  </si>
  <si>
    <t>10.1016/j.foodchem.2013.02.125</t>
  </si>
  <si>
    <t>176OM</t>
  </si>
  <si>
    <t>WOS:000321314000012</t>
  </si>
  <si>
    <t>Codabaccus, MB; Ng, WK; Nichols, PD; Carter, CG</t>
  </si>
  <si>
    <t>Codabaccus, Mohamed B.; Ng, Wing-Keong; Nichols, Peter D.; Carter, Chris G.</t>
  </si>
  <si>
    <t>Restoration of EPA and DHA in rainbow trout (Oncorhynchus mykiss) using a finishing fish oil diet at two different water temperatures</t>
  </si>
  <si>
    <t>Finishing diet; Fish oil; Palm fatty acid distillate; Oncorhynchus mykiss</t>
  </si>
  <si>
    <t>SALMON SALMO-SALAR; FATTY-ACID-COMPOSITION; SIMPLE DILUTION MODEL; FED VEGETABLE-OILS; PALM OIL; GROWTH-PERFORMANCE; FLESH QUALITY; RAPESEED OIL; TIME-COURSE; WASH-OUT</t>
  </si>
  <si>
    <t>Feeding fish a fish oil finishing diet (FOFD) after grow-out on vegetable oil diet is one strategy to restore eicosapentaenoic acid (EPA) and docosahexaenoic acid (DHA) levels. We investigated restoration of EPA and DHA in rainbow trout fed a FOFD preceded by a grow-out period on 50% or 75% palm fatty acid distillate (PFAD) diets at optimal (15 degrees C) or elevated (20 degrees C) water temperatures. Using the FOFD restored EPA and DHA in fillet and whole carcass of fish previously fed either 50% PFAD diet from 85% to 98% or 75% PFAD from 66% to 93% of values obtained for fish fed FO diet throughout. Water temperature did not influence EPA and DHA restoration. Growing rainbow trout with diets where FO was replaced by either 50% or 75% PFAD followed by a FOFD reduced FO usage by around 30% and 44% at 15 degrees C, respectively, and 32% and 48% at 20 degrees C, respectively. (c) 2013 Elsevier Ltd. All rights reserved.</t>
  </si>
  <si>
    <t>[Codabaccus, Mohamed B.] Univ Tasmania, NCMCRS, Launceston, Tas 7250, Australia; [Ng, Wing-Keong] Univ Sains Malaysia, Sch Biol Sci, Fish Nutr Lab, George Town 11800, Malaysia; [Codabaccus, Mohamed B.; Nichols, Peter D.] CSIRO Food Futures Flagship, Div Marine &amp; Atmospher Res, Hobart, Tas 7001, Australia; [Codabaccus, Mohamed B.; Carter, Chris G.] Univ Tasmania, Inst Marine &amp; Antarctic Studies, Hobart, Tas 7001, Australia</t>
  </si>
  <si>
    <t>University of Tasmania; Universiti Sains Malaysia; Commonwealth Scientific &amp; Industrial Research Organisation (CSIRO); University of Tasmania</t>
  </si>
  <si>
    <t>Codabaccus, MB (corresponding author), Univ Tasmania, Private Bag 49, Hobart, Tas 7250, Australia.</t>
  </si>
  <si>
    <t>mohamedc@utas.edu.au</t>
  </si>
  <si>
    <t>Ng, Wing-Keong/E-6327-2012; Nichols, Peter D/C-5128-2011; Carter, Chris Guy/A-3438-2008</t>
  </si>
  <si>
    <t>Ng, Wing-Keong/0000-0002-8183-7640; Carter, Chris Guy/0000-0001-5210-1282; codabaccus, mohamed/0000-0001-5108-373X</t>
  </si>
  <si>
    <t>Universiti Sains Malaysia; CSIRO Food Futures Flagship; University of Tasmania Endeavour International Postgraduate Scholarship; Australian government</t>
  </si>
  <si>
    <t>Universiti Sains Malaysia(Universiti Sains Malaysia); CSIRO Food Futures Flagship(Commonwealth Scientific &amp; Industrial Research Organisation (CSIRO)); University of Tasmania Endeavour International Postgraduate Scholarship; Australian government(Australian Government)</t>
  </si>
  <si>
    <t>The authors thank B.P. Teh (Wilmar Edible Oils, Malaysia) for providing the palm fatty acid distillate. The financial support awarded for this study by Universiti Sains Malaysia, the CSIRO Food Futures Flagship and the University of Tasmania Endeavour International Postgraduate Scholarship, is gratefully acknowledged. W.-K. Ng thanks the Australian government for the Endeavour Research Fellowship. We are also grateful to R.S. Katersky (UTAS) for technical assistance during the experiment, and D. Holdsworth (CSIRO) for managing the GC-MS facility. We thank Gordon Birch and two anonymous reviewers for their helpful comments on the manuscript.</t>
  </si>
  <si>
    <t>10.1016/j.foodchem.2013.02.032</t>
  </si>
  <si>
    <t>WOS:000321314000036</t>
  </si>
  <si>
    <t>Hattori, S; Schmidt, JA; Johnson, MS; Danielache, SO; Yamada, A; Ueno, Y; Yoshida, N</t>
  </si>
  <si>
    <t>Hattori, Shohei; Schmidt, Johan A.; Johnson, Matthew S.; Danielache, Sebastian O.; Yamada, Akinori; Ueno, Yuichiro; Yoshida, Naohiro</t>
  </si>
  <si>
    <t>SO2 photoexcitation mechanism links mass-independent sulfur isotopic fractionation in cryospheric sulfate to climate impacting volcanism</t>
  </si>
  <si>
    <t>stratospheric volcanic eruption; sulfur dioxide; wavelength-dependent; isotopic fractionation</t>
  </si>
  <si>
    <t>ABSORPTION CROSS-SECTIONS; ANTARCTIC ICE CORE; CARBONYL SULFIDE; AEROSOL; OXIDATION; PHOTOLYSIS; DEPENDENCE; OXYGEN; S-33; OCS</t>
  </si>
  <si>
    <t>Natural climate variation, such as that caused by volcanoes, is the basis for identifying anthropogenic climate change. However, knowledge of the history of volcanic activity is inadequate, particularly concerning the explosivity of specific events. Some material is deposited in ice cores, but the concentration of glacial sulfate does not distinguish between tropospheric and stratospheric eruptions. Stable sulfur isotope abundances contain additional information, and recent studies showa correlation between volcanic plumes that reach the stratosphere and mass-independent anomalies in sulfur isotopes in glacial sulfate. We describe a mechanism, photoexcitation of SO2, that links the two, yielding a useful metric of the explosivity of historic volcanic events. A plume model of S(IV) to S(VI) conversion was constructed including photochemistry, entrainment of background air, and sulfate deposition. Isotopologue-specific photoexcitation rates were calculated based on the UV absorption cross-sections of (SO2)-S-32, (SO2)-S-33, (SO2)-S-34, and (SO2)-S-36 from 250 to 320 nm. The model shows that UV photoexcitation is enhanced with altitude, whereasmass-dependent oxidation, such as SO2 + OH, is suppressed by in situ plume chemistry, allowing the production and preservation of amass-independent sulfur isotope anomaly in the sulfate product. The model accounts for the amplitude, phases, and time development of Delta S-33/delta S-34 and Delta S-36/delta S-33 found in glacial samples. We are able to identify the process controlling mass-independent sulfur isotope anomalies in the modern atmosphere. This mechanism is the basis of identifying the magnitude of historic volcanic events.</t>
  </si>
  <si>
    <t>[Hattori, Shohei; Yoshida, Naohiro] Tokyo Inst Technol, Dept Environm Chem &amp; Engn, Yokohama, Kanagawa 2268502, Japan; [Hattori, Shohei; Danielache, Sebastian O.; Yoshida, Naohiro] Tokyo Inst Technol, Dept Environm Sci &amp; Technol, Yokohama, Kanagawa 2268502, Japan; [Schmidt, Johan A.; Johnson, Matthew S.] Univ Copenhagen, Dept Chem, DK-2100 Copenhagen, Denmark; [Danielache, Sebastian O.] Sophia Univ, Fac Sci &amp; Technol, Chiyoda Ku, Tokyo 1028554, Japan; [Danielache, Sebastian O.; Ueno, Yuichiro] Tokyo Inst Technol, Dept Earth &amp; Planetary Sci, Meguro Ku, Tokyo 1528551, Japan; [Ueno, Yuichiro; Yoshida, Naohiro] Tokyo Inst Technol, ELSI, Meguro Ku, Tokyo 1528551, Japan; [Yamada, Akinori] Univ Tokyo, Dept Earth &amp; Planetary Sci, Bunkyo Ku, Tokyo 1130033, Japan</t>
  </si>
  <si>
    <t>Tokyo Institute of Technology; Tokyo Institute of Technology; University of Copenhagen; Sophia University; Tokyo Institute of Technology; Tokyo Institute of Technology; University of Tokyo</t>
  </si>
  <si>
    <t>Hattori, S (corresponding author), Tokyo Inst Technol, Dept Environm Chem &amp; Engn, Yokohama, Kanagawa 2268502, Japan.</t>
  </si>
  <si>
    <t>hattori.s.ab@m.titech.ac.jp; yoshida.n.aa@m.titech.ac.jp</t>
  </si>
  <si>
    <t>Hattori, Shohei/KGK-4865-2024; Ueno, Yuichiro/A-9959-2014; Yamaichi, Takeshi/A-5595-2010; Yoshida, Naohiro/A-8335-2010; Johnson, Matthew Stanley/AAS-7100-2021; Danielache, Sebastian/ABG-8349-2020; Schmidt, Johan/D-5605-2012</t>
  </si>
  <si>
    <t>Hattori, Shohei/0000-0002-4438-5462; Yoshida, Naohiro/0000-0003-0454-3849; Johnson, Matthew Stanley/0000-0002-3645-3955; Ueno, Yuichiro/0000-0002-9095-4742; Schmidt, Johan/0000-0002-7297-3851; Danielache, Sebastian/0000-0002-2756-6771</t>
  </si>
  <si>
    <t>Global Environmental Research Fund of the Ministry of the Environment, Japan [A-0904]; Ministry of Education, Culture, Sports, and Technology (MEXT), Japan [23224013]; European Community [237890]; Danish Council for Independent Research-Natural Sciences; MEXT, Japan; JSPS researchers of MEXT, Japan; Grants-in-Aid for Scientific Research [23224013, 10J07563] Funding Source: KAKEN</t>
  </si>
  <si>
    <t>Global Environmental Research Fund of the Ministry of the Environment, Japan; Ministry of Education, Culture, Sports, and Technology (MEXT), Japan(Ministry of Education, Culture, Sports, Science and Technology, Japan (MEXT)); European Community; Danish Council for Independent Research-Natural Sciences(Det Frie Forskningsrad (DFF)); MEXT, Japan(Ministry of Education, Culture, Sports, Science and Technology, Japan (MEXT)); JSPS researchers of MEXT, Japan; Grants-in-Aid for Scientific Research(Ministry of Education, Culture, Sports, Science and Technology, Japan (MEXT)Japan Society for the Promotion of ScienceGrants-in-Aid for Scientific Research (KAKENHI))</t>
  </si>
  <si>
    <t>We thank K. Sudo, C. Yoshikawa, M. Nakagawa, and D. Mahler for valuable assistance. We thank C. McLinden of the Meteorological Service of Canada for sharing actinic flux data. We also thank two anonymous reviewers for valuable comments on this manuscript. This work is supported by Global Environmental Research Fund A-0904 of the Ministry of the Environment, Japan and Grant in Aid for Scientific Research (S) 23224013 of the Ministry of Education, Culture, Sports, and Technology (MEXT), Japan. The research also has received funding from the European Community's Seventh Framework Programme (FP7/2007-2013) under Grant 237890 and the Danish Council for Independent Research-Natural Sciences. S. H. is supported by Grant in Aid for Japan Society for the Promotion of Science (JSPS) Research Fellows DC1 22-7563 and Global Centers of Excellence (COE) program From the Earth to Earths of MEXT, Japan. Y.U. is supported by the funding program for next-generation world-leading JSPS researchers of MEXT, Japan.</t>
  </si>
  <si>
    <t>OCT 29</t>
  </si>
  <si>
    <t>10.1073/pnas.1213153110</t>
  </si>
  <si>
    <t>242LJ</t>
  </si>
  <si>
    <t>WOS:000326243100024</t>
  </si>
  <si>
    <t>Winkler, R; Landais, A; Risi, C; Baroni, M; Ekaykin, A; Jouzel, J; Petit, JR; Prie, F; Minster, B; Falourd, S</t>
  </si>
  <si>
    <t>Winkler, Renato; Landais, Amaelle; Risi, Camille; Baroni, Melanie; Ekaykin, Alexey; Jouzel, Jean; Petit, Jean Robert; Prie, Frederic; Minster, Benedicte; Falourd, Sonia</t>
  </si>
  <si>
    <t>Interannual variation of water isotopologues at Vostok indicates a contribution from stratospheric water vapor</t>
  </si>
  <si>
    <t>ice core; d-excess; triple oxygen; O-17-anomaly; beryllium-10</t>
  </si>
  <si>
    <t>MASS-INDEPENDENT FRACTIONATION; ATMOSPHERIC CIRCULATION; ISOTOPE COMPOSITION; ICE-CORE; SNOW; STATION; ANTARCTICA; SURFACE; PRECIPITATION; ACCUMULATION</t>
  </si>
  <si>
    <t>Combined measurements of water isotopologues of a snow pit at Vostok over the past 60 y reveal a unique signature that cannot be explained only by climatic features as usually done. Comparisons of the data using a general circulation model and a simpler isotopic distillation model reveal a stratospheric signature in the O-17-excess record at Vostok. Our data and theoretical considerations indicate that mass-independent fractionation imprints the isotopic signature of stratospheric water vapor, which may allow for a distinction between stratospheric and tropospheric influences at remote East Antarctic sites.</t>
  </si>
  <si>
    <t>[Winkler, Renato; Landais, Amaelle; Jouzel, Jean; Prie, Frederic; Minster, Benedicte; Falourd, Sonia] Univ Versailles St Quentin Yvelines UVSQ, IPSL, Lab Sci Climat &amp; Environm, CNRS,CEA, F-91191 Gif Sur Yvette, France; [Risi, Camille] Lab Meteorol Dynam, F-75005 Paris, France; [Baroni, Melanie] Aix Marseille Univ, CNRS, CEREGE, Coll France,UMR,IRD, F-13545 Aix En Provence, France; [Ekaykin, Alexey] Arctic &amp; Antarctic Res Inst, St Petersburg 199397, Russia; [Petit, Jean Robert] Univ Grenoble 1, CNRS, Lab Glaciol &amp; Geophys Environm, F-38041 St Martin Dheres, France</t>
  </si>
  <si>
    <t>Universite Paris Saclay; CEA; Centre National de la Recherche Scientifique (CNRS); Universite Paris Cite; Sorbonne Universite; Universite PSL; College de France; Centre National de la Recherche Scientifique (CNRS); Aix-Marseille Universite; Institut de Recherche pour le Developpement (IRD); Arctic &amp; Antarctic Research Institute; Communaute Universite Grenoble Alpes; Universite Grenoble Alpes (UGA); Centre National de la Recherche Scientifique (CNRS)</t>
  </si>
  <si>
    <t>Winkler, R (corresponding author), Univ Versailles St Quentin Yvelines UVSQ, IPSL, Lab Sci Climat &amp; Environm, CNRS,CEA, F-91191 Gif Sur Yvette, France.</t>
  </si>
  <si>
    <t>winklerrenato@gmail.com</t>
  </si>
  <si>
    <t>Ekaykin, Alexey A./K-9894-2015; Lipenkov, Vladimir/Q-8262-2016</t>
  </si>
  <si>
    <t>LANDAIS, Amaelle/0000-0002-5620-5465; Lipenkov, Vladimir/0000-0003-4221-5440</t>
  </si>
  <si>
    <t>Agence Nationale de la Recherche (ANR Composition Isotopique TRiple de l'OxygeNe: de Nouveaux Indicateurs de l'Evolution de la BiosphEre et du cycle hydRologique); Renato Winkler's PhD at LSCE; [ANR-09-BLAN-0003-01]</t>
  </si>
  <si>
    <t>Agence Nationale de la Recherche (ANR Composition Isotopique TRiple de l'OxygeNe: de Nouveaux Indicateurs de l'Evolution de la BiosphEre et du cycle hydRologique)(Agence Nationale de la Recherche (ANR)); Renato Winkler's PhD at LSCE;</t>
  </si>
  <si>
    <t>We thank the authors of ref. 29, who provided the Matlab code that we used to perform the wavelet analysis, and the two reviewers whose comments significantly improved the quality of this work. We also thank Guillaume Tremoy, Alexandre Cauquoin, Elise Fourre, and Philippe Jean-Baptiste for fruitful discussions about the topic of water isotopologues and 10Be. The sampling has been carried out in the vicinity of the Vostok station with the support of the Russian Foundation for Basic Research, whereas the experimental work done at Laboratoire des Sciences du Climat et de l'Environnement (LSCE) was funded by the Agence Nationale de la Recherche (ANR Composition Isotopique TRiple de l'OxygeNe: de Nouveaux Indicateurs de l'Evolution de la BiosphEre et du cycle hydRologique). Experimental work (10Be analysis) at Centre Europeen de Recherche et d'Enseignement des Geosciences de l'Environnement was a contribution to the VOLSOL project and was funded by Grant ANR-09-BLAN-0003-01. We also thank the Marie-Curie Initial Training Network on Mass-Independent Fractionation (FP7), which funded Renato Winkler's PhD at LSCE.</t>
  </si>
  <si>
    <t>10.1073/pnas.1215209110</t>
  </si>
  <si>
    <t>WOS:000326243100027</t>
  </si>
  <si>
    <t>Rosell-Fieschi, M; Rintoul, SR; Gourrion, J; Pelegrí, JL</t>
  </si>
  <si>
    <t>Rosell-Fieschi, Miquel; Rintoul, Stephen R.; Gourrion, Jeroeme; Pelegri, Josep L.</t>
  </si>
  <si>
    <t>Tasman Leakage of intermediate waters as inferred from Argo floats</t>
  </si>
  <si>
    <t>EAST AUSTRALIAN CURRENT; SOUTHERN SHELVES; CONVEYOR BELT; CIRCULATION; VARIABILITY; PACIFIC; SECTION; ATLANTIC; EXCHANGE; CURRENTS</t>
  </si>
  <si>
    <t>We use Argo float trajectories to infer ocean current velocity at the sea surface and 1000 dbar near Australia. The East Australian Current flows southward along the east coast of Australia at both surface and intermediate levels, but only the intermediate waters leak round the southern tip of Tasmania and cross the Great Australian Bight. We calculate the transport of Antarctic Intermediate Water (AAIW) between the southern Australian coast and the Antarctic Circumpolar Current (ACC) as the velocity at 1000 dbar times the layer thickness. Between March 2006 and December 2012, the Eulerian AAIW transport through 147 degrees E ranges between 0 and 12.0 sverdrup (Sv). The mean Tasman Leakage of intermediate waters from the Pacific Ocean into the Indian Ocean, obtained using all Argo data until March 2013, is 3.8 +/- 1.3 Sv. The mean intermediate water transport into the Indian Ocean through 115 degrees E increases to 5.2 +/- 1.8 Sv due to contributions from the westward recirculation of ACC waters.</t>
  </si>
  <si>
    <t>[Rosell-Fieschi, Miquel; Gourrion, Jeroeme; Pelegri, Josep L.] CSIC, Inst Ciencies Mar, ES-08003 Barcelona, Spain; [Rintoul, Stephen R.] CSIRO Marine &amp; Atmospher Res, Hobart, Tas, Australia; [Rintoul, Stephen R.] Ctr Australian Weather &amp; Climate, Hobart, Tas, Australia; [Rintoul, Stephen R.] Antarctic Climate &amp; Ecosyst Cooperat Res Ctr, Hobart, Tas, Australia; [Rintoul, Stephen R.] CSIRO Wealth Oceans Natl Res Flagship, Hobart, Tas, Australia</t>
  </si>
  <si>
    <t>Consejo Superior de Investigaciones Cientificas (CSIC); CSIC - Centro Mediterraneo de Investigaciones Marinas y Ambientales (CMIMA); CSIC - Instituto de Ciencias del Mar (ICM); Commonwealth Scientific &amp; Industrial Research Organisation (CSIRO); Antarctic Climate &amp; Ecosystems Cooperative Research Centre (ACE CRC); Commonwealth Scientific &amp; Industrial Research Organisation (CSIRO)</t>
  </si>
  <si>
    <t>Pelegrí, JL (corresponding author), CSIC, Inst Ciencies Mar, ES-08003 Barcelona, Spain.</t>
  </si>
  <si>
    <t>pelegri@icm.csic.es</t>
  </si>
  <si>
    <t>Pelegrí, Josep L/L-5815-2014; Rintoul, Stephen R/A-1471-2012</t>
  </si>
  <si>
    <t>Pelegrí, Josep L/0000-0003-0661-2190; Rintoul, Stephen R/0000-0002-7055-9876; Rosell-Fieschi, Miquel/0000-0003-0247-3517</t>
  </si>
  <si>
    <t>Spanish Ministerio de Ciencia e Innovacion through project Tipping Corners in the Meridional Overturning Circulation (TIC-MOC) [CTM2011-28867]; Ministerio de Ciencia e Innovacion through a FPU; Australian Government's Cooperative Research Centres Program, through the Antarctic Climate and Ecosystems Cooperative Research Centre (ACE CRC); Department of Climate Change and Energy Efficiency, through the Australian Climate Change Science Program</t>
  </si>
  <si>
    <t>Spanish Ministerio de Ciencia e Innovacion through project Tipping Corners in the Meridional Overturning Circulation (TIC-MOC); Ministerio de Ciencia e Innovacion through a FPU; Australian Government's Cooperative Research Centres Program, through the Antarctic Climate and Ecosystems Cooperative Research Centre (ACE CRC)(Australian GovernmentDepartment of Industry, Innovation and ScienceCooperative Research Centres (CRC) Programme); Department of Climate Change and Energy Efficiency, through the Australian Climate Change Science Program</t>
  </si>
  <si>
    <t>Funding for this work comes from the Spanish Ministerio de Ciencia e Innovacion through project Tipping Corners in the Meridional Overturning Circulation (TIC-MOC, reference CTM2011-28867). Miquel Rosell-Fieschi would also like to acknowledge the Ministerio de Ciencia e Innovacion for funding through a FPU grant. This work was supported in part by the Australian Government's Cooperative Research Centres Program, through the Antarctic Climate and Ecosystems Cooperative Research Centre (ACE CRC), and by the Department of Climate Change and Energy Efficiency, through the Australian Climate Change Science Program.</t>
  </si>
  <si>
    <t>OCT 28</t>
  </si>
  <si>
    <t>10.1002/2013GL057797</t>
  </si>
  <si>
    <t>301DY</t>
  </si>
  <si>
    <t>Green Accepted, Bronze, Green Published</t>
  </si>
  <si>
    <t>WOS:000330514200023</t>
  </si>
  <si>
    <t>Christianson, K; Parizek, BR; Alley, RB; Horgan, HJ; Jacobel, RW; Anandakrishnan, S; Keisling, BA; Craig, BD; Muto, A</t>
  </si>
  <si>
    <t>Christianson, Knut; Parizek, Byron R.; Alley, Richard B.; Horgan, Huw J.; Jacobel, Robert W.; Anandakrishnan, Sridhar; Keisling, Benjamin A.; Craig, Brian D.; Muto, Atsuhiro</t>
  </si>
  <si>
    <t>Ice sheet grounding zone stabilization due to till compaction</t>
  </si>
  <si>
    <t>WEST ANTARCTICA; PENETRATING RADAR; BASAL MECHANICS; STREAM B; LINE; WHILLANS; BENEATH; FLOW</t>
  </si>
  <si>
    <t>Based on modeling motivated by new GPS and radio-echo sounding surveys, a few-kilometers-long zone of Whillans Ice Stream, West Antarctica, just inland of the grounding line has higher basal shear stress than the ice farther upstream or the freely slipping ice shelf downstream. Data from this zone show a few-meter-high upwarp of the surface overlying a large fold extending through all internal radar layers observed. Flowband modeling shows that the fold can be generated by decreased basal lubrication beneath the upwarp. Basal topography alone cannot create this fold. Physical modeling and available data suggest that low-amplitude tidal flexure of the ice shelf extends a few kilometers inland. Downward flexing of this grounded ice from the rising tide would compact subglacial till, resulting in higher basal shear stress. This result suggests that important processes influencing grounding line stability are not included in modern whole-ice-sheet models.</t>
  </si>
  <si>
    <t>[Christianson, Knut; Jacobel, Robert W.; Keisling, Benjamin A.; Craig, Brian D.] St Olaf Coll, Dept Phys, Northfield, MN 55057 USA; [Christianson, Knut] NYU, Courant Inst Math Sci, New York, NY 10012 USA; [Parizek, Byron R.] Penn State Univ, Du Bois, PA USA; [Parizek, Byron R.; Alley, Richard B.; Anandakrishnan, Sridhar; Muto, Atsuhiro] Penn State Univ, Dept Geosci, University Pk, PA 16802 USA; [Parizek, Byron R.; Alley, Richard B.; Anandakrishnan, Sridhar; Muto, Atsuhiro] Penn State Univ, Earth &amp; Environm Syst Inst, University Pk, PA 16802 USA; [Horgan, Huw J.] Victoria Univ Wellington, Antarctic Res Ctr, Wellington, New Zealand; [Keisling, Benjamin A.] Univ Massachusetts, Dept Geosci, Amherst, MA 01003 USA</t>
  </si>
  <si>
    <t>Saint Olaf College; New York University; Pennsylvania Commonwealth System of Higher Education (PCSHE); Pennsylvania State University; Pennsylvania Commonwealth System of Higher Education (PCSHE); Pennsylvania State University; Pennsylvania State University - University Park; Pennsylvania Commonwealth System of Higher Education (PCSHE); Pennsylvania State University; Pennsylvania State University - University Park; Victoria University Wellington; University of Massachusetts System; University of Massachusetts Amherst</t>
  </si>
  <si>
    <t>Christianson, K (corresponding author), NYU, Courant Inst Math Sci, 251 Mercer St, New York, NY 10012 USA.</t>
  </si>
  <si>
    <t>knut@nyu.edu</t>
  </si>
  <si>
    <t>Anandakrishnan, Sridhar/JCN-5026-2023; Horgan, Huw/I-5847-2019; Muto, Atsuhiro/AAJ-9558-2020; Keisling, Benjamin/HDN-5682-2022</t>
  </si>
  <si>
    <t>Horgan, Huw/0000-0002-4836-0078; Muto, Atsuhiro/0000-0002-1722-2457; Keisling, Benjamin/0000-0002-2182-2025</t>
  </si>
  <si>
    <t>National Science Foundation [NSF OPP 0838854, 0838855, 0838763, 0838764]; Center for Remote Sensing of Ice Sheets [NSF OPP 0424589]; NSF OPP [0909335]; NASA [NNX10AI04G]; US-NSF graduate research fellowship; NASA [132889, NNX10AI04G] Funding Source: Federal RePORTER; Office of Polar Programs (OPP); Directorate For Geosciences [0909335] Funding Source: National Science Foundation</t>
  </si>
  <si>
    <t>National Science Foundation(National Science Foundation (NSF)); Center for Remote Sensing of Ice Sheets; NSF OPP(National Science Foundation (NSF)NSF - Directorate for Geosciences (GEO)); NASA(National Aeronautics &amp; Space Administration (NASA)); US-NSF graduate research fellowship(National Science Foundation (NSF)); NASA(National Aeronautics &amp; Space Administration (NASA)); Office of Polar Programs (OPP); Directorate For Geosciences(National Science Foundation (NSF)NSF - Directorate for Geosciences (GEO))</t>
  </si>
  <si>
    <t>This experiment was carried out as part of the WISSARD program funded by the National Science Foundation (NSF OPP 0838854, 0838855, 0838763, and 0838764). The Center for Remote Sensing of Ice Sheets (NSF OPP 0424589), NSF OPP 0909335, and NASA grant NNX10AI04G also partially funded this study. K.C. was supported by a US-NSF graduate research fellowship. We thank Benjamin Petersen and the WISSARD geophysics field team. Undergraduate students Kevin Dalla Santa and Lauren Snyder at St. Olaf College assisted with data processing. NSIDC provided MODIS MOA and DInSAR data. GPS base station data were obtained from UNAVCO and SOPAC. We thank Eric Rignot for digitization of the grounding zone in DInSAR data. Logistical support was provided by Raytheon Polar Services, Kenn Borek Air, and the New York Air National Guard. We thank several anonymous reviewers for their constructive comments.</t>
  </si>
  <si>
    <t>10.1002/2013GL057447</t>
  </si>
  <si>
    <t>WOS:000330514200014</t>
  </si>
  <si>
    <t>Thomas, ER; Bracegirdle, TJ; Turner, J; Wolff, EW</t>
  </si>
  <si>
    <t>Thomas, Elizabeth R.; Bracegirdle, Thomas J.; Turner, John; Wolff, Eric W.</t>
  </si>
  <si>
    <t>A 308 year record of climate variability in West Antarctica</t>
  </si>
  <si>
    <t>ICE CORE; TEMPERATURE; SURFACE; ISOTOPES; SNOW</t>
  </si>
  <si>
    <t>We present a new stable isotope record from Ellsworth Land which provides a valuable 308 year record (1702-2009) of climate variability from coastal West Antarctica. Climate variability at this site is strongly forced by sea surface temperatures and atmospheric pressure in the tropical Pacific and related to local sea ice conditions. The record shows that this region has warmed since the late 1950s, at a similar magnitude to that observed in the Antarctic Peninsula and central West Antarctica; however, this warming trend is not unique. More dramatic isotopic warming (and cooling) trends occurred in the mid-nineteenth and eighteenth centuries, suggesting that at present, the effect of anthropogenic climate drivers at this location has not exceeded the natural range of climate variability in the context of the past similar to 300 years.</t>
  </si>
  <si>
    <t>[Thomas, Elizabeth R.; Bracegirdle, Thomas J.; Turner, John] British Antarctic Survey, Cambridge CB4 0ET, England; [Wolff, Eric W.] Univ Cambridge, Dept Earth Sci, Cambridge CB2 3EQ, England</t>
  </si>
  <si>
    <t>UK Research &amp; Innovation (UKRI); Natural Environment Research Council (NERC); NERC British Antarctic Survey; University of Cambridge</t>
  </si>
  <si>
    <t>Thomas, ER (corresponding author), British Antarctic Survey, Cambridge CB4 0ET, England.</t>
  </si>
  <si>
    <t>lith@bas.ac.uk</t>
  </si>
  <si>
    <t>Bracegirdle, Tom/AAD-6060-2020; Wolff, Eric W/D-7925-2014; Thomas, Elizabeth Ruth/ADF-3660-2022</t>
  </si>
  <si>
    <t>Wolff, Eric W/0000-0002-5914-8531; Thomas, Elizabeth Ruth/0000-0002-3010-6493; Turner, John/0000-0002-6111-5122; Bracegirdle, Thomas/0000-0002-8868-4739</t>
  </si>
  <si>
    <t>British Antarctic Survey, Natural Environment Research Council [NE/J020710/1]; NERC [bas0100024, NE/J020710/1] Funding Source: UKRI; Natural Environment Research Council [bas0100024, NE/J020710/1] Funding Source: researchfish</t>
  </si>
  <si>
    <t>British Antarctic Survey, Natural Environment Research Council; NERC(UK Research &amp; Innovation (UKRI)Natural Environment Research Council (NERC)); Natural Environment Research Council(UK Research &amp; Innovation (UKRI)Natural Environment Research Council (NERC))</t>
  </si>
  <si>
    <t>This study was funded by the British Antarctic Survey, Natural Environment Research Council (in part funded by grant NE/J020710/1). We thank P. Anker who helped drill the ice core and E. Ludlow and L. Fleet for laboratory assistance. We thank two anonymous reviewers for their suggestions. This study was aided by the use of the KNMI Climate Explorer Web resource provided by G. J. van Oldenborgh.</t>
  </si>
  <si>
    <t>10.1002/2013GL057782</t>
  </si>
  <si>
    <t>WOS:000330514200029</t>
  </si>
  <si>
    <t>Lunt, DJ; Elderfield, H; Pancost, R; Ridgwell, A; Foster, GL; Haywood, A; Kiehl, J; Sagoo, N; Shields, C; Stone, EJ; Valdes, P</t>
  </si>
  <si>
    <t>Lunt, D. J.; Elderfield, H.; Pancost, R.; Ridgwell, A.; Foster, G. L.; Haywood, A.; Kiehl, J.; Sagoo, N.; Shields, C.; Stone, E. J.; Valdes, P.</t>
  </si>
  <si>
    <t>Warm climates of the past-a lesson for the future?</t>
  </si>
  <si>
    <t>PHILOSOPHICAL TRANSACTIONS OF THE ROYAL SOCIETY A-MATHEMATICAL PHYSICAL AND ENGINEERING SCIENCES</t>
  </si>
  <si>
    <t>palaeoclimate; future climate; modelling; proxy data</t>
  </si>
  <si>
    <t>SEA-LEVEL; ANTARCTIC GLACIATION; MODEL; OCEAN; TEMPERATURES; MIDHOLOCENE; IMPACT; RECORD</t>
  </si>
  <si>
    <t>This Discussion Meeting Issue of the Philosophical Transactions A had its genesis in a Discussion Meeting of the Royal Society which took place on 1011 October 2011. The Discussion Meeting, entitled 'Warm climates of the past: a lesson for the future?', brought together 16 eminent international speakers from the field of palaeoclimate, and was attended by over 280 scientists and members of the public. Many of the speakers have contributed to the papers compiled in this Discussion Meeting Issue. The papers summarize the talks at the meeting, and present further or related work. This Discussion Meeting Issue asks to what extent information gleaned from the study of past climates can aid our understanding of future climate change. Climate change is currently an issue at the forefront of environmental science, and also has important sociological and political implications. Most future predictions are carried out by complex numerical models; however, these models cannot be rigorously tested for scenarios outside of the modern, without making use of past climate data. Furthermore, past climate data can inform our understanding of how the Earth system operates, and can provide important contextual information related to environmental change. All past time periods can be useful in this context; here, we focus on past climates that were warmer than the modern climate, as these are likely to be the most similar to the future. This introductory paper is not meant as a comprehensive overview of all work in this field. Instead, it gives an introduction to the important issues therein, using the papers in this Discussion Meeting Issue, and other works from all the Discussion Meeting speakers, as exemplars of the various ways in which past climates can inform projections of future climate. Furthermore, we present new work that uses a palaeo constraint to quantitatively inform projections of future equilibrium ice sheet change.</t>
  </si>
  <si>
    <t>[Lunt, D. J.; Ridgwell, A.; Sagoo, N.; Stone, E. J.; Valdes, P.] Univ Bristol, Cabot Inst, Bristol BS8 1SS, Avon, England; [Lunt, D. J.; Ridgwell, A.; Sagoo, N.; Stone, E. J.; Valdes, P.] Univ Bristol, Sch Geog Sci, Bristol BS8 1SS, Avon, England; [Elderfield, H.] Univ Cambridge, Dept Earth Sci, Cambridge CB2 3EQ, England; [Pancost, R.] Univ Bristol, Cabot Inst, Bristol BS8 1TS, Avon, England; [Pancost, R.] Univ Bristol, Sch Chem, Bristol BS8 1TS, Avon, England; [Foster, G. L.] Univ Southampton, Southampton SO14 3ZH, Hants, England; [Haywood, A.] Univ Leeds, Sch Earth &amp; Environm, Leeds LS2 9JT, W Yorkshire, England; [Kiehl, J.] Natl Ctr Atmospher Res, Boulder, CO 80305 USA</t>
  </si>
  <si>
    <t>University of Bristol; University of Bristol; University of Cambridge; University of Bristol; University of Bristol; University of Southampton; University of Leeds; National Center Atmospheric Research (NCAR) - USA</t>
  </si>
  <si>
    <t>Lunt, DJ (corresponding author), Univ Bristol, Cabot Inst, Univ Rd, Bristol BS8 1SS, Avon, England.</t>
  </si>
  <si>
    <t>d.j.lunt@bristol.ac.uk</t>
  </si>
  <si>
    <t>Foster, Gavin/W-5968-2019; Foster, Gavin/CAF-4654-2022; Stone, Emma J/H-9549-2012; Valdes, Paul J/C-4129-2013; Ridgwell, Andy/AAD-9487-2021; Valdes, Paul/T-2004-2019; Lunt, Daniel/G-9451-2011</t>
  </si>
  <si>
    <t>Foster, Gavin/0000-0003-3688-9668; Stone, Emma J/0000-0002-8633-8074; Ridgwell, Andy/0000-0003-2333-0128; Valdes, Paul/0000-0002-1902-3283; Shields, Christine A./0000-0003-4481-1377; Pancost, Richard/0000-0003-0298-4026; Lunt, Daniel/0000-0003-3585-6928</t>
  </si>
  <si>
    <t>NERC [NE/J008591/1, NE/H006273/1, NE/I005595/1, NE/I010874/1, NE/I005714/1] Funding Source: UKRI; Natural Environment Research Council [NE/I010874/1, NE/J008591/1, NE/H006273/1, NE/I005714/1, NE/I005595/1] Funding Source: researchfish</t>
  </si>
  <si>
    <t>1364-503X</t>
  </si>
  <si>
    <t>1471-2962</t>
  </si>
  <si>
    <t>PHILOS T R SOC A</t>
  </si>
  <si>
    <t>Philos. Trans. R. Soc. A-Math. Phys. Eng. Sci.</t>
  </si>
  <si>
    <t>10.1098/rsta.2013.0146</t>
  </si>
  <si>
    <t>298GN</t>
  </si>
  <si>
    <t>WOS:000330312300011</t>
  </si>
  <si>
    <t>Otto-Bliesner, BL; Rosenbloom, N; Stone, EJ; McKay, NP; Lunt, DJ; Brady, EC; Overpeck, JT</t>
  </si>
  <si>
    <t>Otto-Bliesner, Bette L.; Rosenbloom, Nan; Stone, Emma J.; McKay, Nicholas P.; Lunt, Daniel J.; Brady, Esther C.; Overpeck, Jonathan T.</t>
  </si>
  <si>
    <t>How warm was the last interglacial? New model-data comparisons</t>
  </si>
  <si>
    <t>last interglacial; climate change; climate modelling; polar warmth</t>
  </si>
  <si>
    <t>ANTARCTIC ICE-SHEET; SEA-SURFACE TEMPERATURES; GLACIAL MAXIMUM; FORAMINIFERAL MG/CA; CLIMATE VARIABILITY; HOLOCENE CLIMATE; KYR BP; OCEAN; CORE; RECONSTRUCTION</t>
  </si>
  <si>
    <t>A Community Climate System Model, Version 3 (CCSM3) simulation for 125 ka during the Last Interglacial (LIG) is compared to two recent proxy reconstructions to evaluate surface temperature changes from modern times. The dominant forcing change from modern, the orbital forcing, modified the incoming solar insolation at the top of the atmosphere, resulting in large positive anomalies in boreal summer. Greenhouse gas concentrations are similar to those of the pre-industrial (PI) Holocene. CCSM3 simulates an enhanced seasonal cycle over the Northern Hemisphere continents with warming most developed during boreal summer. In addition, year-round warming over the North Atlantic is associated with a seasonal memory of sea ice retreat in CCSM3, which extends the effects of positive summer insolation anomalies on the high-latitude oceans to winter months. The simulated Arctic terrestrial annual warming, though, is much less than the observational evidence, suggesting either missing feedbacks in the simulation and/or interpretation of the proxies. Over Antarctica, CCSM3 cannot reproduce the large LIG warming recorded by the Antarctic ice cores, even with simulations designed to consider observed evidence of early LIG warmth in Southern Ocean and Antarctica records and the possible disintegration of the West Antarctic Ice Sheet. Comparisons with a HadCM3 simulation indicate that sea ice is important for understanding model polar responses. Overall, the models simulate little global annual surface temperature change, while the proxy reconstructions suggest a global annual warming at LIG (as compared to the PI Holocene) of approximately 1 degrees C, though with possible spatial sampling biases. The CCSM3 SRES B1 (low scenario) future projections suggest high-latitude warmth similar to that reconstructed for the LIG may be exceeded before the end of this century.</t>
  </si>
  <si>
    <t>[Otto-Bliesner, Bette L.; Rosenbloom, Nan; Brady, Esther C.] Natl Ctr Atmospher Res, Climate &amp; Global Dynam Div, Boulder, CO 80307 USA; [Stone, Emma J.; Lunt, Daniel J.] Univ Bristol, Sch Geog Sci, Bristol, Avon, England; [McKay, Nicholas P.] No Arizona Univ, Sch Earth &amp; Environm Sustainabil, Flagstaff, AZ 86011 USA; [Overpeck, Jonathan T.] Univ Arizona, Dept Geosci, Tucson, AZ USA</t>
  </si>
  <si>
    <t>National Center Atmospheric Research (NCAR) - USA; University of Bristol; Northern Arizona University; University of Arizona</t>
  </si>
  <si>
    <t>Otto-Bliesner, BL (corresponding author), Natl Ctr Atmospher Res, Climate &amp; Global Dynam Div, POB 3000, Boulder, CO 80307 USA.</t>
  </si>
  <si>
    <t>ottobli@ucar.edu</t>
  </si>
  <si>
    <t>McKay, Nicholas Paul/JYQ-5440-2024; Stone, Emma J/H-9549-2012; Otto-Bliesner, Bette/AAY-7691-2020; Lunt, Daniel/G-9451-2011</t>
  </si>
  <si>
    <t>Stone, Emma J/0000-0002-8633-8074; McKay, Nicholas/0000-0003-3598-5113; Lunt, Daniel/0000-0003-3585-6928</t>
  </si>
  <si>
    <t>US National Science Foundation (NSF); Office of Science (BER) of the US Department of Energy; NSF; EU; European Union [243908]</t>
  </si>
  <si>
    <t>US National Science Foundation (NSF)(National Science Foundation (NSF)); Office of Science (BER) of the US Department of Energy(United States Department of Energy (DOE)); NSF(National Science Foundation (NSF)); EU(European Union (EU)); European Union(European Union (EU))</t>
  </si>
  <si>
    <t>The CCSM project is supported by the US National Science Foundation (NSF) and the Office of Science (BER) of the US Department of Energy. NCAR is sponsored by NSF. E.J.S. is funded by the EU project Past4Future. This is Past4Future contribution no. 33. The research leading to these results has received funding from the European Union's Seventh Framework Programme (FP7/2007-2013) under grant agreement no. 243908, 'Past4Future. Climate change: learning from the past climate'.</t>
  </si>
  <si>
    <t>10.1098/rsta.2013.0097</t>
  </si>
  <si>
    <t>WOS:000330312300008</t>
  </si>
  <si>
    <t>Zhang, YG; Pagani, M; Liu, ZH; Bohaty, SM; DeConto, R</t>
  </si>
  <si>
    <t>Zhang, Yi Ge; Pagani, Mark; Liu, Zhonghui; Bohaty, Steven M.; DeConto, Robert</t>
  </si>
  <si>
    <t>A 40-million-year history of atmospheric CO2</t>
  </si>
  <si>
    <t>Cenozoic carbon dioxide; alkenone-pCO(2) method; carbon isotopes; benthic oxygen isotopes; global temperature; cryosphere</t>
  </si>
  <si>
    <t>CARBON-ISOTOPE FRACTIONATION; MARINE-PHYTOPLANKTON; GROWTH-RATE; DIOXIDE CONCENTRATION; CONCENTRATING MECHANISMS; EQUATORIAL PACIFIC; CELL-SIZE; CLIMATE; RECORD; C-13</t>
  </si>
  <si>
    <t>The alkenone-pCO(2) methodology has been used to reconstruct the partial pressure of ancient atmospheric carbon dioxide (pCO(2)) for the past 45 million years of Earth's history (Middle Eocene to Pleistocene epochs). The present long-term CO2 record is a composite of data from multiple ocean localities that express a wide range of oceanographic and algal growth conditions that potentially bias CO2 results. In this study, we present a pCO(2) record spanning the past 40 million years from a single marine locality, Ocean Drilling Program Site 925 located in the western equatorial Atlantic Ocean. The trends and absolute values of our new CO2 record site are broadly consistent with previously published multi-site alkenone-CO2 results. However, new pCO(2) estimates for the Middle Miocene are notably higher than published records, with average pCO(2) concentrations in the range of 400-500 ppm. Our results are generally consistent with recent pCO(2) estimates based on boron isotopepH data and stomatal index records, and suggest that CO2 levels were highest during a period of global warmth associated with the Middle Miocene Climatic Optimum (17-14 million years ago, Ma), followed by a decline in CO2 during the Middle Miocene Climate Transition (approx. 14 Ma). Several relationships remain contrary to expectations. For example, benthic foraminiferal delta O-18 records suggest a period of deglaciation and/or high-latitude warming during the latest Oligocene (27-23 Ma) that, based on our results, occurred concurrently with a long-term decrease in CO2 levels. Additionally, a large positive delta O-18 excursion near the Oligocene-Miocene boundary (the Mi-1 event, approx. 23Ma), assumed to represent a period of glacial advance and retreat on Antarctica, is difficult to explain by our CO2 record alone given what is known of Antarctic ice sheet history and the strong hysteresis of the East Antarctic Ice Sheet once it has grown to continental dimensions. We also demonstrate that in the Neogene with low CO2 levels, algal carbon concentrating mechanisms and spontaneous biocarbonate-CO2 conversions are likely to play a more important role in algal carbon fixation, which provides a potential bias to the alkenone-pCO(2) method.</t>
  </si>
  <si>
    <t>[Zhang, Yi Ge; Pagani, Mark] Yale Univ, Dept Geol &amp; Geophys, New Haven, CT 06520 USA; [Liu, Zhonghui] Univ Hong Kong, Dept Earth Sci, Hong Kong, Hong Kong, Peoples R China; [Bohaty, Steven M.] Univ Southampton, Natl Oceanog Ctr, Sch Ocean &amp; Earth Sci, Southampton SO14 3ZH, Hants, England; [DeConto, Robert] Univ Massachusetts, Dept Geosci, Amherst, MA 01003 USA</t>
  </si>
  <si>
    <t>Yale University; University of Hong Kong; University of Southampton; NERC National Oceanography Centre; University of Massachusetts System; University of Massachusetts Amherst</t>
  </si>
  <si>
    <t>Zhang, YG (corresponding author), Yale Univ, Dept Geol &amp; Geophys, New Haven, CT 06520 USA.</t>
  </si>
  <si>
    <t>yige.zhang@yale.edu</t>
  </si>
  <si>
    <t>Zhang, Yige/R-6330-2018; Zhang, Yi Ge/B-6712-2008; Liu, Zhonghui/D-3163-2009; Pagani, Mark/B-3233-2008</t>
  </si>
  <si>
    <t>Liu, Zhonghui/0000-0002-2168-8305; Zhang, Yi Ge/0000-0001-7331-1246</t>
  </si>
  <si>
    <t>NSF AGS P2C2 award [1203163]; Directorate For Geosciences; Div Atmospheric &amp; Geospace Sciences [1203910] Funding Source: National Science Foundation; Directorate For Geosciences; Div Atmospheric &amp; Geospace Sciences [1203163] Funding Source: National Science Foundation</t>
  </si>
  <si>
    <t>NSF AGS P2C2 award(National Science Foundation (NSF)NSF - Directorate for Geosciences (GEO)); Directorate For Geosciences; Div Atmospheric &amp; Geospace Sciences(National Science Foundation (NSF)NSF - Directorate for Geosciences (GEO)); Directorate For Geosciences; Div Atmospheric &amp; Geospace Sciences(National Science Foundation (NSF)NSF - Directorate for Geosciences (GEO))</t>
  </si>
  <si>
    <t>This study was supported by NSF AGS P2C2 award 1203163 to M.P. and R.D.</t>
  </si>
  <si>
    <t>UNSP 20130096</t>
  </si>
  <si>
    <t>10.1098/rsta.2013.0096</t>
  </si>
  <si>
    <t>WOS:000330312300007</t>
  </si>
  <si>
    <t>Clem, KR; Fogt, RL</t>
  </si>
  <si>
    <t>Clem, Kyle R.; Fogt, Ryan L.</t>
  </si>
  <si>
    <t>Varying roles of ENSO and SAM on the Antarctic Peninsula climate in austral spring</t>
  </si>
  <si>
    <t>SOUTHERN ANNULAR MODE; AMERICAN MODES; OSCILLATION; TEMPERATURE; GLACIER; IMPACT; ICE; VARIABILITY; TROPICS; SURFACE</t>
  </si>
  <si>
    <t>[1] Recent studies have identified a significant warming trend across West Antarctica and the Antarctic Peninsula, which is likely linked to tropical forcing. Here we investigate temporal variations in El Nino-Southern Oscillation (ENSO)-related tropical forcing and Southern Annular Mode (SAM)-related forcing on the Amundsen-Bellingshausen Seas Low and the regional climate during austral spring. We find a spatial dependency regarding the impacts each of these climate modes have on the Antarctic Peninsula: relationships with ENSO and Antarctic Peninsula climate are persistent and significant across the western Peninsula, while relationships with the SAM are persistent and significant across the northeastern Peninsula. Other ENSO/SAM-Peninsula temperature correlations appear weak since 1957 as they vary temporally, fluctuating in response to changing correlations between the SAM index and the Southern Oscillation Index in austral spring. Changes in the ENSO-SAM correlations are due primarily to the 1988 La Nina/SAM negative event, which significantly altered the location of the ENSO teleconnection in the South Pacific Ocean and, therefore, its influence on the regional climate. Whether or not there is decadal variability in the ENSO-SAM relationship remains unclear; however, it is evident that the influence across the Peninsula varies in both space and time, related to the strength and spatial extent of the response in the Amundsen-Bellingshausen Seas. This suggests that in order to accurately attribute the warming to ENSO-related tropical forcing, it is necessary to consider the role of the regional circulation manifested by the phase of each climate mode together.</t>
  </si>
  <si>
    <t>[Clem, Kyle R.; Fogt, Ryan L.] Ohio Univ, Scalia Lab Atmospher Anal, Athens, OH 45701 USA; [Clem, Kyle R.; Fogt, Ryan L.] Ohio Univ, Dept Geog, Athens, OH 45701 USA</t>
  </si>
  <si>
    <t>University System of Ohio; Ohio University; University System of Ohio; Ohio University</t>
  </si>
  <si>
    <t>Clem, KR (corresponding author), Ohio Univ, Scalia Lab Atmospher Anal, Athens, OH 45701 USA.</t>
  </si>
  <si>
    <t>kc268406@ohio.edu</t>
  </si>
  <si>
    <t>Clem, Kyle/AAG-6626-2021; Fogt, Ryan L/B-6989-2008</t>
  </si>
  <si>
    <t>Clem, Kyle/0000-0002-1419-2758; Fogt, Ryan L/0000-0002-5398-3990</t>
  </si>
  <si>
    <t>National Science Foundation Office of Polar Programs [ANT-0944168]; Office of Polar Programs (OPP); Directorate For Geosciences [0944168] Funding Source: National Science Foundation</t>
  </si>
  <si>
    <t>National Science Foundation Office of Polar Programs(National Science Foundation (NSF)NSF - Directorate for Geosciences (GEO)); Office of Polar Programs (OPP); Directorate For Geosciences(National Science Foundation (NSF)NSF - Directorate for Geosciences (GEO))</t>
  </si>
  <si>
    <t>Both authors acknowledge support from the National Science Foundation Office of Polar Programs (grant ANT-0944168). ECMWF is thanked for providing ERA-Int data. Elizabeth Zbacnik is thanked for assistance on investigating the October 1988 event.</t>
  </si>
  <si>
    <t>OCT 27</t>
  </si>
  <si>
    <t>10.1002/jgrd.50860</t>
  </si>
  <si>
    <t>V45WS</t>
  </si>
  <si>
    <t>WOS:000209847300001</t>
  </si>
  <si>
    <t>Alexander, SP; Klekociuk, AR; McDonald, AJ; Pitts, MC</t>
  </si>
  <si>
    <t>Alexander, S. P.; Klekociuk, A. R.; McDonald, A. J.; Pitts, M. C.</t>
  </si>
  <si>
    <t>Quantifying the role of orographic gravity waves on polar stratospheric cloud occurrence in the Antarctic and the Arctic</t>
  </si>
  <si>
    <t>[1] The proportion of polar stratospheric clouds due to orographic gravity wave (OGW) forcing is quantified during four Antarctic (2007-2010) and four Arctic (2006/2007 to 2009/2010) winter seasons. OGW-active days are defined as those days above major polar mountain ranges which have wave-ice polar stratospheric clouds (PSCs), tropospheric wind conditions appropriate for orographic wave generation and propagation, and stratospheric temperatures below the frost point: 37% of Antarctic days and 12% of Arctic days are OGW-active. Regions downstream of these mountain ranges are defined using a forward-trajectory model which follows particle movement from ridge lines for 24 h periods. In both hemispheres in these mountain regions, more than 75% of H2O ice PSCs and around 50% of a high number density liquid-nitric acid trihydrate mixture class (Mix 2-enh) are attributed to OGW activity, with the balances due to non-orographic formation. For the whole Arctic (equatorward of 82 degrees), 25% of Mix 2-enh and 54% of H2O ice PSCs are attributed to OGWs, while for the whole Antarctic, 7% of Mix 2-enh and 13% of H2O ice PSCs are attributed to OGWs. For all types of PSC, 5% in the whole Antarctic and 12% in the whole Arctic are attributed to OGW forcing. While gravity waves play a role in PSC formation in the Antarctic, overall it is minor compared with other forcing sources. However, in the synoptically warmer Arctic, much larger proportions of PSCs are due to OGW activity.</t>
  </si>
  <si>
    <t>[Alexander, S. P.; Klekociuk, A. R.] Australian Antarctic Div, 203 Channel Highway, Kingston, Tas 7050, Australia; [McDonald, A. J.] Univ Canterbury, Dept Phys &amp; Astron, Christchurch, New Zealand; [Pitts, M. C.] NASA, Langley Res Ctr, Hampton, VA 23665 USA</t>
  </si>
  <si>
    <t>Australian Antarctic Division; University of Canterbury; National Aeronautics &amp; Space Administration (NASA); NASA Langley Research Center</t>
  </si>
  <si>
    <t>Alexander, SP (corresponding author), Australian Antarctic Div, 203 Channel Highway, Kingston, Tas 7050, Australia.</t>
  </si>
  <si>
    <t>simon.alexander@aad.gov.au</t>
  </si>
  <si>
    <t>; Klekociuk, Andrew/A-4498-2015</t>
  </si>
  <si>
    <t>Alexander, Simon/0000-0001-6823-8857; Klekociuk, Andrew/0000-0003-3335-0034; McDonald, Adrian/0000-0002-1456-6254</t>
  </si>
  <si>
    <t>Australian Antarctic program [737, 3140, 4012]; Antarctica New Zealand; Royal Society of New Zealand</t>
  </si>
  <si>
    <t>Australian Antarctic program; Antarctica New Zealand; Royal Society of New Zealand(Royal Society of New Zealand)</t>
  </si>
  <si>
    <t>The CALIPSO CALIOP v3.01 Level 1B Profile data products were obtained through the NASA Langley Atmospheric Science Data Center (ASDC). The COSMIC version 2.0 dry temperature data were obtained from the COSMIC Data Analysis and Archive Center (CDAAC). Aura MLS data (v3.3) used in this study were acquired as part of the NASA's Earth-Sun System Division and archived and distributed by the Goddard Earth Sciences (GES) Data and Information Services Center (DISC) Distributed Active Archive Center (DAAC). This research was conducted for projects 737, 3140, and 4012 of the Australian Antarctic program and partially supported by Antarctica New Zealand. This work was partially supported by the Royal Society of New Zealand Marsden Fund project Evaluating the Impact of Excess Ionization on the Atmosphere. We thank the three anonymous reviewers for their constructive comments, which allowed us to improve an earlier version of the manuscript.</t>
  </si>
  <si>
    <t>10.1002/2013JD020122</t>
  </si>
  <si>
    <t>WOS:000209847300002</t>
  </si>
  <si>
    <t>Sinisalo, A; Anschütz, H; Aasen, AT; Langley, K; von Deschwanden, A; Kohler, J; Matsuoka, K; Hamran, SE; Oyan, MJ; Schlosser, E; Hagen, JO; Nost, OA; Isaksson, E</t>
  </si>
  <si>
    <t>Sinisalo, Anna; Anschutz, Helgard; Aasen, Anne Tarand; Langley, Kirsty; von Deschwanden, Angela; Kohler, Jack; Matsuoka, Kenichi; Hamran, Svein-Erik; Oyan, Mats-Jorgen; Schlosser, Elisabeth; Hagen, Jon Ove; Nost, Ole Anders; Isaksson, Elisabeth</t>
  </si>
  <si>
    <t>Surface mass balance on Fimbul ice shelf, East Antarctica: Comparison of field measurements and large-scale studies</t>
  </si>
  <si>
    <t>[1] Many challenges remain for estimating the Antarctic ice sheet surface mass balance (SMB), which represents a major uncertainty in predictions of future sea-level rise. Validating continental scale studies is hampered by the sparse distribution of in situ data. Here we present a 26 year mean SMB of the Fimbul ice shelf in East Antarctica between 1983-2009, and recent interannual variability since 2010. We compare these data to the results of large-scale SMB studies for similar time periods, obtained from regional atmospheric modeling and remote sensing. Our in situ data include ground penetrating radar, firn cores, and mass balance stakes and provide information on both temporal and spatial scales. The 26 year mean SMB on the Fimbul ice shelf varies between 170 and 620 kg m(-2) a(-1) giving a regional average value of 310 +/- 70 kg m(-2) a(-1). Our measurements indicate higher long-term accumulation over large parts of the ice shelf compared to the large-scale studies. We also show that the variability of the mean annual SMB, which can be up to 90%, can be a dominant factor in short-term estimates. The results emphasize the importance of using a combination of ground-based validation data, regional climate models, and remote sensing over a relevant time period in order to achieve a reliable SMB for Antarctica.</t>
  </si>
  <si>
    <t>[Sinisalo, Anna; Langley, Kirsty; Hagen, Jon Ove] Univ Oslo, Dept Geosci, POB 1047, N-0316 Oslo, Norway; [Anschutz, Helgard] Norwegian Geotech Inst, Oslo, Norway; [Aasen, Anne Tarand; von Deschwanden, Angela; Kohler, Jack; Matsuoka, Kenichi; Isaksson, Elisabeth] Norwegian Polar Res Inst, Tromso, Norway; [Hamran, Svein-Erik; Oyan, Mats-Jorgen] Norwegian Def Res Estab, Kjeller, Norway; [Schlosser, Elisabeth] Univ Innsbruck, Inst Meteorol &amp; Geophys, A-6020 Innsbruck, Austria; [Nost, Ole Anders] Akvaplan Niva, Tromso, Norway</t>
  </si>
  <si>
    <t>University of Oslo; Norwegian Geotechnical Institute, NGI; Norwegian Polar Institute; Norwegian Defence Research Establishment; University of Innsbruck; Akvaplan-niva</t>
  </si>
  <si>
    <t>Sinisalo, A (corresponding author), Univ Oslo, Dept Geosci, POB 1047, N-0316 Oslo, Norway.</t>
  </si>
  <si>
    <t>a.k.sinisalo@geo.uio.no</t>
  </si>
  <si>
    <t>Matsuoka, Kenichi/B-7298-2017</t>
  </si>
  <si>
    <t>Matsuoka, Kenichi/0000-0002-3587-3405; Sinisalo, Anna/0000-0002-7587-1877; Kohler, Jack/0000-0003-1963-054X; Nost, Ole Anders/0000-0002-6139-4088</t>
  </si>
  <si>
    <t>Norwegian Research Council through NARE; Center for Ice, Climate and Ecosystems (ICE) at the Norwegian Polar Institute, Tromso; Austrian Science Fund (FWF) [P 24223] Funding Source: researchfish</t>
  </si>
  <si>
    <t>Norwegian Research Council through NARE(Research Council of Norway); Center for Ice, Climate and Ecosystems (ICE) at the Norwegian Polar Institute, Tromso; Austrian Science Fund (FWF)(Austrian Science Fund (FWF))</t>
  </si>
  <si>
    <t>We thank the field teams of the project ICE Fimbul ice shelf-from top to bottom (http://www.npolar.no/no/forskning/ice/fimbulisen/) for helping collecting the data. The authors are grateful for the useful comments and suggestions from the three reviewers and the editors. This study was financed by the Norwegian Research Council through NARE and Center for Ice, Climate and Ecosystems (ICE) at the Norwegian Polar Institute, Tromso.</t>
  </si>
  <si>
    <t>10.1002/jgrd.50875</t>
  </si>
  <si>
    <t>WOS:000209847300012</t>
  </si>
  <si>
    <t>Depoorter, MA; Bamber, JL; Griggs, JA; Lenaerts, JTM; Ligtenberg, SRM; van den Broeke, MR; Moholdt, G</t>
  </si>
  <si>
    <t>Depoorter, M. A.; Bamber, J. L.; Griggs, J. A.; Lenaerts, J. T. M.; Ligtenberg, S. R. M.; van den Broeke, M. R.; Moholdt, G.</t>
  </si>
  <si>
    <t>Calving fluxes and basal melt rates of Antarctic ice shelves (vol 502, pg 89, 2013)</t>
  </si>
  <si>
    <t>NATURE</t>
  </si>
  <si>
    <t>Lenaerts, Jan/D-9423-2012; Bamber, Jonathan/C-7608-2011; Ligtenberg, Stefan/AAF-8290-2020; Van den Broeke, Michiel R./F-7867-2011</t>
  </si>
  <si>
    <t>Lenaerts, Jan/0000-0003-4309-4011; Bamber, Jonathan/0000-0002-2280-2819; Van den Broeke, Michiel R./0000-0003-4662-7565</t>
  </si>
  <si>
    <t>0028-0836</t>
  </si>
  <si>
    <t>1476-4687</t>
  </si>
  <si>
    <t>Nature</t>
  </si>
  <si>
    <t>OCT 24</t>
  </si>
  <si>
    <t>10.1038/nature12737</t>
  </si>
  <si>
    <t>238YN</t>
  </si>
  <si>
    <t>WOS:000325988400062</t>
  </si>
  <si>
    <t>Ratcliffe, N; Takahashi, A; O'Sullivan, C; Adlard, S; Trathan, PN; Harris, MP; Wanless, S</t>
  </si>
  <si>
    <t>Ratcliffe, Norman; Takahashi, Akinori; O'Sullivan, Claire; Adlard, Stacey; Trathan, Philip N.; Harris, Michael P.; Wanless, Sarah</t>
  </si>
  <si>
    <t>The Roles of Sex, Mass and Individual Specialisation in Partitioning Foraging-Depth Niches of a Pursuit-Diving Predator</t>
  </si>
  <si>
    <t>BLUE-EYED SHAG; REARING CROZET SHAGS; ANTARCTIC FUR SEALS; PHALACROCORAX-ALBIVENTER; INTERSEXUAL DIFFERENCES; JAPANESE CORMORANTS; SPATIAL SEGREGATION; STABLE-ISOTOPES; KING CORMORANTS; SITE FIDELITY</t>
  </si>
  <si>
    <t>Intra-specific foraging niche partitioning can arise due to gender differences or individual specialisation in behaviour or prey selection. These may in turn be related to sexual size dimorphism or individual variation in body size through allometry. These variables are often inter-related and challenging to separate statistically. We present a case study in which the effects of sex, body mass and individual specialisation on the dive depths of the South Georgia shag on Bird Island, South Georgia are investigated simultaneously using a linear mixed model. The nested random effects of trip within individual explained a highly significant amount of the variance. The effects of sex and body mass were both significant independently but could not be separated statistically owing to them being strongly interrelated. Variance components analysis revealed that 45.5% of the variation occurred among individuals, 22.6% among trips and 31.8% among Dives, while R-2 approximations showed gender explained 31.4% and body mass 55.9% of the variation among individuals. Male dive depths were more variable than those of females at the levels of individual, trip and dive. The effect of body mass on individual dive depths was only marginally significant within sexes. The percentage of individual variation in dive depths explained by mass was trivial in males (0.8%) but substantial in females (24.1%), suggesting that differences in dive depths among males was largely due to them adopting different behavioural strategies whereas in females allometry played an additional role. Niche partitioning in the study population therefore appears to be achieved through the interactive effects of individual specialisation and gender upon vertical foraging patch selection, and has the potential to interact in complex ways with other axes of the niche hypervolume such as foraging locations, timing of foraging and diet.</t>
  </si>
  <si>
    <t>[Ratcliffe, Norman; O'Sullivan, Claire; Adlard, Stacey; Trathan, Philip N.] British Antarctic Survey, Cambridge CB3 0ET, England; [Takahashi, Akinori] Natl Inst Polar Res, Tokyo, Japan; [Harris, Michael P.; Wanless, Sarah] Ctr Ecol &amp; Hydrol, Penicuik, Midlothian, Scotland</t>
  </si>
  <si>
    <t>UK Research &amp; Innovation (UKRI); Natural Environment Research Council (NERC); NERC British Antarctic Survey; Research Organization of Information &amp; Systems (ROIS); National Institute of Polar Research (NIPR) - Japan; UK Centre for Ecology &amp; Hydrology (UKCEH)</t>
  </si>
  <si>
    <t>Ratcliffe, N (corresponding author), British Antarctic Survey, Cambridge CB3 0ET, England.</t>
  </si>
  <si>
    <t>notc@bas.ac.uk</t>
  </si>
  <si>
    <t>Natural Environment Research Council (NERC); British Ecological Society and Akinori Takahashi; Natural Environment Research Council [bas0100025, CEH010021] Funding Source: researchfish; NERC [bas0100025] Funding Source: UKRI</t>
  </si>
  <si>
    <t>Natural Environment Research Council (NERC)(UK Research &amp; Innovation (UKRI)Natural Environment Research Council (NERC)); British Ecological Society and Akinori Takahashi; Natural Environment Research Council(UK Research &amp; Innovation (UKRI)Natural Environment Research Council (NERC)); NERC(UK Research &amp; Innovation (UKRI)Natural Environment Research Council (NERC))</t>
  </si>
  <si>
    <t>This work was funded by the Natural Environment Research Council (NERC) as part of the British Antarctic Ecosystems programme. SW received a travel grant from the British Ecological Society and Akinori Takahashi one from the Japan Society the Promotion of Science. BAS and CEH are institutions within the NERC funding organisation, but no member of NERC other than the authors had any role in study design, data collection or analysis, decision to publish or preparation of the manuscript.</t>
  </si>
  <si>
    <t>OCT 21</t>
  </si>
  <si>
    <t>e79107</t>
  </si>
  <si>
    <t>10.1371/journal.pone.0079107</t>
  </si>
  <si>
    <t>239NN</t>
  </si>
  <si>
    <t>gold, Green Submitted, Green Published, Green Accepted</t>
  </si>
  <si>
    <t>WOS:000326032600118</t>
  </si>
  <si>
    <t>Yi, SX; Wu, XF; Dai, ZG</t>
  </si>
  <si>
    <t>Yi, Shuang-Xi; Wu, Xue-Feng; Dai, Zi-Gao</t>
  </si>
  <si>
    <t>EARLY AFTERGLOWS OF GAMMA-RAY BURSTS IN A STRATIFIED MEDIUM WITH A POWER-LAW DENSITY DISTRIBUTION</t>
  </si>
  <si>
    <t>gamma-ray burst: general; radiation mechanisms: non-thermal</t>
  </si>
  <si>
    <t>EARLY OPTICAL AFTERGLOWS; WIND INTERACTION-MODELS; INITIAL LORENTZ FACTOR; SWIFT XRT DATA; X-RAY; LIGHT CURVES; ENERGY INJECTION; MILLISECOND PULSARS; CENTRAL ENGINE; RADIO FLARES</t>
  </si>
  <si>
    <t>A long-duration gamma-ray burst (GRB) has been widely thought to arise from the collapse of a massive star, and it has been suggested that its ambient medium is a homogenous interstellar medium (ISM) or a stellar wind. There are two shocks when an ultra-relativistic fireball that has been ejected during the prompt gamma-ray emission phase sweeps up the circumburst medium: a reverse shock that propagates into the fireball, and a forward shock that propagates into the ambient medium. In this paper, we investigate the temporal evolution of the dynamics and emission of these two shocks in an environment with a general density distribution of n proportional to R-k (where R is the radius) by considering thick-shell and thin-shell cases. A GRB afterglow with one smooth onset peak at early times is understood to result from such external shocks. Thus, we can determine the medium density distribution by fitting the onset peak appearing in the light curve of an early optical afterglow. We apply our model to 19 GRBs and find that their k values are in the range of 0.4-1.4, with a typical value of k similar to 1, implying that this environment is neither a homogenous ISM with k = 0 nor a typical stellar wind with k = 2. This shows that the progenitors of these GRBs might have undergone a new mass-loss evolution.</t>
  </si>
  <si>
    <t>[Yi, Shuang-Xi; Dai, Zi-Gao] Nanjing Univ, Sch Astron &amp; Space Sci, Nanjing 210093, Jiangsu, Peoples R China; [Yi, Shuang-Xi; Dai, Zi-Gao] Nanjing Univ, Minist Educ, Key Lab Modern Astron &amp; Astrophys, Nanjing 210093, Jiangsu, Peoples R China; [Wu, Xue-Feng] Chinese Acad Sci, Purple Mt Observ, Nanjing 210008, Jiangsu, Peoples R China; [Wu, Xue-Feng] Chinese Acad Sci, Chinese Ctr Antarctic Astron, Nanjing 210008, Jiangsu, Peoples R China; [Wu, Xue-Feng] Chinese Acad Sci, Joint Ctr Particle Nucl Phys &amp; Cosmol Purple Mt O, Nanjing 210008, Jiangsu, Peoples R China</t>
  </si>
  <si>
    <t>Nanjing University; Nanjing University; Purple Mountain Observatory, CAS; Chinese Academy of Sciences; Nanjing Institute of Astronomical Optics &amp; Technology, NAOC, CAS; Chinese Academy of Sciences; Purple Mountain Observatory, CAS; Chinese Academy of Sciences</t>
  </si>
  <si>
    <t>Yi, SX (corresponding author), Nanjing Univ, Sch Astron &amp; Space Sci, Nanjing 210093, Jiangsu, Peoples R China.</t>
  </si>
  <si>
    <t>dzg@nju.edu.cn</t>
  </si>
  <si>
    <t>Wu, Xuefeng/G-5316-2015</t>
  </si>
  <si>
    <t>Wu, Xuefeng/0000-0002-6299-1263</t>
  </si>
  <si>
    <t>National Basic Research Program of China [2014CB845800, 2013CB834900]; National Natural Science Foundation of China [11033002]; One-Hundred-Talents Program of Chinese Academy of Sciences; Youth Innovation Promotion Association of Chinese Academy of Sciences</t>
  </si>
  <si>
    <t>National Basic Research Program of China(National Basic Research Program of China); National Natural Science Foundation of China(National Natural Science Foundation of China (NSFC)); One-Hundred-Talents Program of Chinese Academy of Sciences(Chinese Academy of Sciences); Youth Innovation Promotion Association of Chinese Academy of Sciences</t>
  </si>
  <si>
    <t>We thank the anonymous referee for constructive suggestions. We also thank En-Wei Liang, Xiang-Yu Wang, Yong-Feng Huang, Fa-Yin Wang, Ruo-Yu Liu, and Xuan Ding for useful comments and help. This work was supported by the National Basic Research Program of China (grants No. 2014CB845800 and 2013CB834900) and the National Natural Science Foundation of China (grant No. 11033002). X.F.W. acknowledges support by the One-Hundred-Talents Program and the Youth Innovation Promotion Association of Chinese Academy of Sciences.</t>
  </si>
  <si>
    <t>OCT 20</t>
  </si>
  <si>
    <t>10.1088/0004-637X/776/2/120</t>
  </si>
  <si>
    <t>255CF</t>
  </si>
  <si>
    <t>WOS:000327216100057</t>
  </si>
  <si>
    <t>Morgan, EMJ; Green, BS; Murphy, NP; Strugnell, JM</t>
  </si>
  <si>
    <t>Morgan, Erin M. J.; Green, Bridget S.; Murphy, Nicholas P.; Strugnell, Jan M.</t>
  </si>
  <si>
    <t>Investigation of Genetic Structure between Deep and Shallow Populations of the Southern Rock Lobster, Jasus edwardsii in Tasmania, Australia</t>
  </si>
  <si>
    <t>NEW-ZEALAND; DIFFERENTIATION; TRANSLOCATION; SUBDIVISION; INFERENCE; SOFTWARE</t>
  </si>
  <si>
    <t>The southern rock lobster, Jasus edwardsii, shows clear phenotypic differences between shallow water (red coloured) and deeper water (pale coloured) individuals. Translocations of individuals from deeper water to shallower waters are currently being trialled as a management strategy to facilitate a phenotypic change from lower value pale colouration, common in deeper waters, to the higher value red colouration found in shallow waters. Although panmixia across the J. edwardsii range has been long assumed, it is critical to assess the genetic variability of the species to ensure that the level of population connectivity is appropriately understood and translocations do not have unintended consequences. Eight microsatellite loci were used to investigate genetic differentiation between six sites (three shallow, three deep) across southern Tasmania, Australia, and one from New Zealand. Based on analyses the assumption of panmixia was rejected, revealing small levels of genetic differentiation across southern Tasmania, significant levels of differentiation between Tasmania and New Zealand, and high levels of asymmetric gene flow in an easterly direction from Tasmania into New Zealand. These results suggest that translocation among Tasmanian populations are not likely to be problematic, however, a re-consideration of panmictic stock structure for this species is necessary.</t>
  </si>
  <si>
    <t>[Morgan, Erin M. J.; Murphy, Nicholas P.; Strugnell, Jan M.] La Trobe Univ, Dept Genet, La Trobe Inst Mol Sci, Bundoora, Vic, Australia; [Green, Bridget S.] Univ Tasmania, Inst Marine &amp; Antarctic Studies, Hobart, Tas, Australia</t>
  </si>
  <si>
    <t>La Trobe University; University of Tasmania</t>
  </si>
  <si>
    <t>Strugnell, JM (corresponding author), La Trobe Univ, Dept Genet, La Trobe Inst Mol Sci, Bundoora, Vic, Australia.</t>
  </si>
  <si>
    <t>J.Strugnell@latrobe.edu.au</t>
  </si>
  <si>
    <t>Murphy, Nick/J-9883-2019; Strugnell, Jan M/P-9921-2016; Green, Bridget S/G-3368-2014</t>
  </si>
  <si>
    <t>Murphy, Nick/0000-0002-0907-4642; Strugnell, Jan/0000-0003-2994-637X</t>
  </si>
  <si>
    <t>La Trobe University (Faculty of Science Technology and Engineering); CRC Seafood</t>
  </si>
  <si>
    <t>La Trobe University (Faculty of Science Technology and Engineering); CRC Seafood(Australian GovernmentDepartment of Industry, Innovation and ScienceCooperative Research Centres (CRC) Programme)</t>
  </si>
  <si>
    <t>La Trobe University (Faculty of Science Technology and Engineering) and CRC Seafood funded this study. The funders had no role in study design, data collection and analysis, decision to publish, or preparation of the manuscript.</t>
  </si>
  <si>
    <t>OCT 18</t>
  </si>
  <si>
    <t>e77978</t>
  </si>
  <si>
    <t>10.1371/journal.pone.0077978</t>
  </si>
  <si>
    <t>239MM</t>
  </si>
  <si>
    <t>WOS:000326029300130</t>
  </si>
  <si>
    <t>Hill, DJ; Haywood, AM; Valdes, PJ; Francis, JE; Lunt, DJ; Wade, BS; Bowman, VC</t>
  </si>
  <si>
    <t>Hill, Daniel J.; Haywood, Alan M.; Valdes, Paul J.; Francis, Jane E.; Lunt, Daniel J.; Wade, Bridget S.; Bowman, Vanessa C.</t>
  </si>
  <si>
    <t>Paleogeographic controls on the onset of the Antarctic circumpolar current</t>
  </si>
  <si>
    <t>Antarctic Circumpolar Current; paleogeography; Oligocene; paleoceanography; gateways; glaciation</t>
  </si>
  <si>
    <t>EASTERN NEW-ZEALAND; FLUX ADJUSTMENTS; CARBON-DIOXIDE; SOUTHERN-OCEAN; DRAKE PASSAGE; GLACIATION; EOCENE; EVOLUTION; SEA; CIRCULATION</t>
  </si>
  <si>
    <t>Development of the Antarctic Circumpolar Current (ACC) during the Cenozoic is controversial in terms of timing and its role in major climate transitions. Some propose that the development of the ACC was instrumental in the continental scale glaciation of Antarctica and climate cooling at the Eocene/Oligocene boundary. Here we present climate model results that show that a coherent ACC was not possible during the Oligocene due to Australasian paleogeography, despite deep water connections through the Drake Passage and Tasman Gateway and the initiation of Antarctic glaciation. The simulations of ocean currents compare well to paleoenvironmental records relating to the physical oceanography of the Oligocene and provide a framework for understanding apparently contradictory dating of the initiation of the ACC. We conclude that the northward motion of the Australasian land masses and the reconfiguration of the Tasman Seaway and Drake Passage are necessary preconditions for the formation of a strong, coherent ACC.</t>
  </si>
  <si>
    <t>[Hill, Daniel J.; Haywood, Alan M.; Francis, Jane E.; Bowman, Vanessa C.] Univ Leeds, Sch Earth &amp; Environm, Leeds LS2 9JT, W Yorkshire, England; [Hill, Daniel J.] British Geol Survey, Climate Change Programme, Nottingham NG12 5GG, England; [Valdes, Paul J.; Lunt, Daniel J.] Univ Bristol, Sch Geog Sci, Bristol, Avon, England; [Wade, Bridget S.] UCL, Dept Earth Sci, London, England</t>
  </si>
  <si>
    <t>University of Leeds; UK Research &amp; Innovation (UKRI); Natural Environment Research Council (NERC); NERC British Geological Survey; University of Bristol; University of London; University College London</t>
  </si>
  <si>
    <t>Hill, DJ (corresponding author), Univ Leeds, Sch Earth &amp; Environm, Woodhouse Lane, Leeds LS2 9JT, W Yorkshire, England.</t>
  </si>
  <si>
    <t>eardjh@leeds.ac.uk</t>
  </si>
  <si>
    <t>Valdes, Paul J/C-4129-2013; Wade, Bridget S/F-4987-2014; Valdes, Paul/T-2004-2019; Lunt, Daniel/G-9451-2011</t>
  </si>
  <si>
    <t>Wade, Bridget S/0000-0002-7245-8614; Valdes, Paul/0000-0002-1902-3283; Lunt, Daniel/0000-0003-3585-6928; Hill, Daniel/0000-0001-5492-3925; Bowman, Vanessa/0000-0002-4887-3949</t>
  </si>
  <si>
    <t>Leverhulme Trust; National Centre for Atmospheric Science; British Geological Survey; NERC [NE/I00582X/1, bgs05002, bas0100026, NE/G014817/2, NE/G014817/1] Funding Source: UKRI; Natural Environment Research Council [bas0100026, bgs05002, NE/I00582X/1, NE/G014817/1, NE/G014817/2, ncas10009] Funding Source: researchfish</t>
  </si>
  <si>
    <t>Leverhulme Trust(Leverhulme Trust); National Centre for Atmospheric Science; British Geological Survey; NERC(UK Research &amp; Innovation (UKRI)Natural Environment Research Council (NERC)); Natural Environment Research Council(UK Research &amp; Innovation (UKRI)Natural Environment Research Council (NERC))</t>
  </si>
  <si>
    <t>The authors thank Fugro-Robertson and Paul Markwick for access to the paleogeographic reconstructions. Daniel Hill acknowledges the Leverhulme Trust for the award of an Early Career Fellowship, jointly funded by the National Centre for Atmospheric Science and the British Geological Survey. The reviewers are thanked for their constructive comments.</t>
  </si>
  <si>
    <t>OCT 16</t>
  </si>
  <si>
    <t>10.1002/grl.50941</t>
  </si>
  <si>
    <t>243JB</t>
  </si>
  <si>
    <t>WOS:000326311600041</t>
  </si>
  <si>
    <t>Moffat-Griffin, T; Jarvis, MJ; Colwell, SR; Kavanagh, AJ; Manney, GL; Daffer, WH</t>
  </si>
  <si>
    <t>Moffat-Griffin, T.; Jarvis, M. J.; Colwell, S. R.; Kavanagh, A. J.; Manney, G. L.; Daffer, W. H.</t>
  </si>
  <si>
    <t>Seasonal variations in lower stratospheric gravity wave energy above the Falkland Islands</t>
  </si>
  <si>
    <t>POLAR VORTEX; NUMERICAL SIMULATIONS; CLIMATOLOGY; CIRCULATION; CONVECTION; ROTORS; MODELS</t>
  </si>
  <si>
    <t>[Moffat-Griffin, T.; Jarvis, M. J.; Colwell, S. R.; Kavanagh, A. J.] British Antarctic Survey, Cambridge CB3 0ET, England; [Manney, G. L.] NorthWest Res Associates, Socorro, NM USA; [Daffer, W. H.] CALTECH, Jet Prop Lab, Pasadena, CA USA</t>
  </si>
  <si>
    <t>UK Research &amp; Innovation (UKRI); Natural Environment Research Council (NERC); NERC British Antarctic Survey; NorthWest Research Associates; National Aeronautics &amp; Space Administration (NASA); NASA Jet Propulsion Laboratory (JPL); California Institute of Technology</t>
  </si>
  <si>
    <t>Moffat-Griffin, T (corresponding author), British Antarctic Survey, Madingley Rd, Cambridge CB3 0ET, England.</t>
  </si>
  <si>
    <t>tmof@bas.ac.uk</t>
  </si>
  <si>
    <t>Manney, Gloria/JED-7207-2023; Daffer, William/AGV-1399-2022</t>
  </si>
  <si>
    <t>National Aeronautics and Space Administration; Natural Environment Research Council [bas0100023] Funding Source: researchfish; NERC [bas0100023] Funding Source: UKRI</t>
  </si>
  <si>
    <t>National Aeronautics and Space Administration(National Aeronautics &amp; Space Administration (NASA)); Natural Environment Research Council(UK Research &amp; Innovation (UKRI)Natural Environment Research Council (NERC)); NERC(UK Research &amp; Innovation (UKRI)Natural Environment Research Council (NERC))</t>
  </si>
  <si>
    <t>We would like to thank the Met Office for their assistance and guidance in using the radiosonde data set and the BADC for making the data publically available. Thanks to NASA's Global Modelling and Assimilation Office for providing the MERRA reanalysis used in defining polar vortex diagnostics. NCEP Reanalysis data were provided by the NOAA/OAR/ESRL PSD, Boulder, Colorado, USA (http://www.esrl.noaa.gov/psd/). Work at the Jet Propulsion Laboratory, California Institute of Technology was done under contract with the National Aeronautics and Space Administration.</t>
  </si>
  <si>
    <t>10.1002/jgrd.50859</t>
  </si>
  <si>
    <t>297PF</t>
  </si>
  <si>
    <t>WOS:000330266700013</t>
  </si>
  <si>
    <t>Verronen, PT; Andersson, ME; Rodger, CJ; Clilverd, MA; Wang, SH; Turunen, E</t>
  </si>
  <si>
    <t>Verronen, Pekka T.; Andersson, Monika E.; Rodger, Craig J.; Clilverd, Mark A.; Wang, Shuhui; Turunen, Esa</t>
  </si>
  <si>
    <t>Comparison of modeled and observed effects of radiation belt electron precipitation on mesospheric hydroxyl and ozone</t>
  </si>
  <si>
    <t>SOLAR PROTON EVENTS; MIDDLE ATMOSPHERE</t>
  </si>
  <si>
    <t>[Verronen, Pekka T.; Andersson, Monika E.] Finnish Meteorol Inst, FI-00101 Helsinki, Finland; [Rodger, Craig J.] Univ Otago, Dept Phys, Dunedin, New Zealand; [Clilverd, Mark A.] British Antarctic Survey NERC, Cambridge, England; [Wang, Shuhui] CALTECH, Jet Prop Lab, Pasadena, CA USA; [Turunen, Esa] Univ Oulu, Sodankyla Geophys Observ, Sodankyla, Finland</t>
  </si>
  <si>
    <t>Finnish Meteorological Institute; University of Otago; UK Research &amp; Innovation (UKRI); Natural Environment Research Council (NERC); NERC British Antarctic Survey; California Institute of Technology; National Aeronautics &amp; Space Administration (NASA); NASA Jet Propulsion Laboratory (JPL); University of Oulu</t>
  </si>
  <si>
    <t>Verronen, PT (corresponding author), Finnish Meteorol Inst, POB 503, FI-00101 Helsinki, Finland.</t>
  </si>
  <si>
    <t>pekka.verronen@fmi.fi</t>
  </si>
  <si>
    <t>Verronen, P. T./AIE-0203-2022; Rodger, Craig/A-1501-2011; Szelag, Monika Ewa/AAH-3529-2019; Verronen, Pekka T/G-6658-2014</t>
  </si>
  <si>
    <t>Verronen, P. T./0000-0002-3479-9071; Szelag, Monika Ewa/0000-0002-8501-3366; Turunen, Esa/0000-0001-8232-8744; Rodger, Craig J./0000-0002-6770-2707</t>
  </si>
  <si>
    <t>Academy of Finland [136225, 140888]; New Zealand Marsden fund; National Aeronautics and Space Administration; NERC [bas0100023] Funding Source: UKRI; Academy of Finland (AKA) [136225, 140888] Funding Source: Academy of Finland (AKA); Natural Environment Research Council [bas0100023] Funding Source: researchfish</t>
  </si>
  <si>
    <t>Academy of Finland(Research Council of Finland); New Zealand Marsden fund(Royal Society of New ZealandMarsden Fund (NZ)); National Aeronautics and Space Administration(National Aeronautics &amp; Space Administration (NASA)); NERC(UK Research &amp; Innovation (UKRI)Natural Environment Research Council (NERC)); Academy of Finland (AKA)(Research Council of Finland); Natural Environment Research Council(UK Research &amp; Innovation (UKRI)Natural Environment Research Council (NERC))</t>
  </si>
  <si>
    <t>The work of P.T.V. and M.E.A was supported by the Academy of Finland through projects 136225 and 140888 (SPOC: Significance of Energetic Electron Precipitation to Odd Hydrogen, Ozone, and Climate). C.J.R. was supported by the New Zealand Marsden fund. Research at the Jet Propulsion Laboratory, California Institute of Technology is performed under contract with the National Aeronautics and Space Administration.</t>
  </si>
  <si>
    <t>10.1002/jgrd.50845</t>
  </si>
  <si>
    <t>WOS:000330266700038</t>
  </si>
  <si>
    <t>Tribelli, PM; Hay, AG; López, NI</t>
  </si>
  <si>
    <t>Tribelli, Paula M.; Hay, Anthony G.; Lopez, Nancy I.</t>
  </si>
  <si>
    <t>The Global Anaerobic Regulator Anr, Is Involved in Cell Attachment and Aggregation Influencing the First Stages of Biofilm Development in Pseudomonas extremaustralis</t>
  </si>
  <si>
    <t>TWITCHING MOTILITY; GENE-EXPRESSION; AERUGINOSA; STRESS; POLY(3-HYDROXYBUTYRATE); RESPIRATION; INFECTIONS; SECRETION; FLAGELLAR; SYSTEM</t>
  </si>
  <si>
    <t>Pseudomonas extremaustralis is a versatile Antarctic bacterium, able to grow under microaerobic and anaerobic conditions and is related to several non-pathogenic Pseudomonads. Here we report on the role of the global anaerobic regulator Anr, in the early steps of P. extremaustralis biofilm development. We found that the anr mutant was reduced in its ability to attach, to form aggregates and to display twitching motility but presented higher swimming motility than the wild type. In addition, microscopy revealed that the wild type biofilm contained more biomass and was thicker, but were less rough than that of the anr mutant. In silico analysis of the P. extremaustralis genome for Anr-like binding sites led to the identification of two biofilm-related genes as potential targets of this regulator. When measured using Quantitative Real Time PCR, we found that the anr mutant expressed lower levels of pilG, which encodes a component of Type IV pili and has been previously implicated in cellular adhesion. Levels of morA, involved in signal transduction and flagella development, were also lower in the mutant. Our data suggest that under low oxygen conditions, such as those encountered in biofilms, Anr differentially regulates aggregation and motility thus affecting the first stages of biofilm formation.</t>
  </si>
  <si>
    <t>[Tribelli, Paula M.; Lopez, Nancy I.] Consejo Nacl Invest Cient &amp; Tecn, IQUIBICEN, RA-1033 Buenos Aires, DF, Argentina; [Tribelli, Paula M.; Lopez, Nancy I.] Univ Buenos Aires, Fac Ciencias Exactas &amp; Nat, Dpto Quim Biol, Buenos Aires, DF, Argentina; [Hay, Anthony G.] Cornell Univ, Dept Microbiol, Ithaca, NY USA</t>
  </si>
  <si>
    <t>Consejo Nacional de Investigaciones Cientificas y Tecnicas (CONICET); University of Buenos Aires; Cornell University</t>
  </si>
  <si>
    <t>López, NI (corresponding author), Consejo Nacl Invest Cient &amp; Tecn, IQUIBICEN, RA-1033 Buenos Aires, DF, Argentina.</t>
  </si>
  <si>
    <t>nan@qb.fcen.uba.ar</t>
  </si>
  <si>
    <t>Hay, Anthony/0000-0002-9427-148X; Lopez, Nancy/0000-0002-2966-3014; Tribelli, Paula Maria/0000-0001-9558-6275</t>
  </si>
  <si>
    <t>University of Buenos Aires-UBACyT [20020100100854]; Consejo Nacional de Investigaciones Cientificas y Tecnicas (CONICET)-PIP [0338]; Agencia Nacional de Promocion Cientifica y Tecnologica (ANPCyT) [PICT 0639]; CONICET; International Union of Biochemistry and Molecular Biology</t>
  </si>
  <si>
    <t>University of Buenos Aires-UBACyT(University of Buenos Aires); Consejo Nacional de Investigaciones Cientificas y Tecnicas (CONICET)-PIP(Consejo Nacional de Investigaciones Cientificas y Tecnicas (CONICET)); Agencia Nacional de Promocion Cientifica y Tecnologica (ANPCyT)(ANPCyTSpanish Government); CONICET(Consejo Nacional de Investigaciones Cientificas y Tecnicas (CONICET)); International Union of Biochemistry and Molecular Biology</t>
  </si>
  <si>
    <t>This work was supported by grants from University of Buenos Aires-UBACyT 2011-2014 Proyecto No 20020100100854, Consejo Nacional de Investigaciones Cientificas y Tecnicas (CONICET)-PIP (2011) 0338, and Agencia Nacional de Promocion Cientifica y Tecnologica (ANPCyT)-Programacion 2007, PICT 0639. N.I.L. is a career investigator from CONICET. P.M.T. received a post-graduate student fellowship from CONICET and a Wood-Wheland fellowship for short term research stays from the International Union of Biochemistry and Molecular Biology. The funders had no role in study design, data collection and analysis, decision to publish, or preparation of the manuscript.</t>
  </si>
  <si>
    <t>e76685</t>
  </si>
  <si>
    <t>10.1371/journal.pone.0076685</t>
  </si>
  <si>
    <t>239JR</t>
  </si>
  <si>
    <t>WOS:000326019400081</t>
  </si>
  <si>
    <t>Rodhouse, PGK; Olson, RJ; Young, JW</t>
  </si>
  <si>
    <t>Rodhouse, Paul G. K.; Olson, Robert J.; Young, Jock W.</t>
  </si>
  <si>
    <t>Dedication: Malcolm Clarke, his life and work</t>
  </si>
  <si>
    <t>DEEP-SEA RESEARCH PART II-TOPICAL STUDIES IN OCEANOGRAPHY</t>
  </si>
  <si>
    <t>Biographical-Item</t>
  </si>
  <si>
    <t>[Rodhouse, Paul G. K.] British Antarctic Survey, Cambridge CB3 0ET, England; [Olson, Robert J.] Interamer Trop Tuna Commiss, La Jolla, CA 92037 USA; [Young, Jock W.] CSIRO Marine &amp; Atmospher Res, Wealth Oceans Flagship, Hobart, Tas 7001, Australia</t>
  </si>
  <si>
    <t>UK Research &amp; Innovation (UKRI); Natural Environment Research Council (NERC); NERC British Antarctic Survey; Commonwealth Scientific &amp; Industrial Research Organisation (CSIRO)</t>
  </si>
  <si>
    <t>Rodhouse, PGK (corresponding author), British Antarctic Survey, Madingley Rd, Cambridge CB3 0ET, England.</t>
  </si>
  <si>
    <t>p.rodhouse@bas.ac.uk</t>
  </si>
  <si>
    <t>Young, jock/A-1682-2012</t>
  </si>
  <si>
    <t>0967-0645</t>
  </si>
  <si>
    <t>1879-0100</t>
  </si>
  <si>
    <t>DEEP-SEA RES PT II</t>
  </si>
  <si>
    <t>Deep-Sea Res. Part II-Top. Stud. Oceanogr.</t>
  </si>
  <si>
    <t>OCT 15</t>
  </si>
  <si>
    <t>10.1016/j.dsr22013.05.038</t>
  </si>
  <si>
    <t>274FO</t>
  </si>
  <si>
    <t>WOS:000328592400001</t>
  </si>
  <si>
    <t>O'Sullivan, JE; Watson, RJ; Butler, ECV</t>
  </si>
  <si>
    <t>O'Sullivan, Jeanette E.; Watson, Roslyn J.; Butler, Edward C. V.</t>
  </si>
  <si>
    <t>An ICP-MS procedure to determine Cd, Co, Cu, Ni, Pb and Zn in oceanic waters using in-line flow-injection with solid-phase extraction for preconcentration</t>
  </si>
  <si>
    <t>TALANTA</t>
  </si>
  <si>
    <t>Automated; In-line; ICP-MS; Iminodiacetate; Trace elements; Seawater</t>
  </si>
  <si>
    <t>PLASMA-MASS SPECTROMETRY; MARINE BIOGEOCHEMICAL CYCLES; TRACE-METALS; CHELATING RESIN; ONLINE PRECONCENTRATION; SEA-WATER; IMINODIACETATE RESIN; SOLVENT-EXTRACTION; HEAVY-METALS; SEAWATER</t>
  </si>
  <si>
    <t>An automated procedure including both in-line preconcentration and multi-element determination by an inductively coupled plasma mass spectrometer (ICP-MS) has been developed for the determination of Cd, Co, Cu, Ni, Pb and Zn in open-ocean samples. The method relies on flow injection of the sample through a minicolumn of chelating (iminodiacetate) sorbent to preconcentrate the trace metals, while simultaneously eliminating the major cations and anions of seawater. The effectiveness of this step is tested and reliability in results are secured with a rigorous process of quality assurance comprising 36 calibration and reference samples in a run for analysis of 24 oceanic seawaters in a 6-h program. The in-line configuration and procedures presented minimise analyst operations and exposure to contamination. Seawater samples are used for calibration providing a true matrix match. The continuous automated pH measurement registers that chelation occurs within a selected narrow pH range and monitors the consistency of the entire analytical sequence. The eluent (0.8 M HNO3) is sufficiently strong to elute the six metals in 39 s at a flow rate of 2.0 mL/min, while being compatible for prolonged use with the mass spectrometer. Throughput is one sample of 7 mL every 6 min. Detection limits were Co 3.2 pM, Ni 23 pM, Cu 46 pM, Zn 71 pM, Cd 2.7 pM and Pb 1.5 pM with coefficients of variation ranging from 3.4% to 8.6% (n=14) and linearity of calibration established beyond the observed concentration range of each trace metal in ocean waters. Recoveries were Co 96.7%, Ni 102%, Cu 102%, Zn 98.1%, Cd 92.2% and Pb 97.6%. The method has been used to analyse similar to 800 samples from three voyages in the Southern Ocean and Tasman Sea. It has the potential to be extended to other trace elements in ocean waters. (C) 2013 Elsevier B.V. All rights reserved.</t>
  </si>
  <si>
    <t>[O'Sullivan, Jeanette E.; Watson, Roslyn J.; Butler, Edward C. V.] CSIRO Wealth Oceans Natl Res Flagship, Hobart, Tas 7001, Australia; [O'Sullivan, Jeanette E.; Watson, Roslyn J.; Butler, Edward C. V.] Ctr Australian Weather &amp; Climate Res, Hobart, Tas 7001, Australia; [O'Sullivan, Jeanette E.; Watson, Roslyn J.; Butler, Edward C. V.] CSIRO Marine &amp; Atmospher Res, Hobart, Tas 7001, Australia; [Butler, Edward C. V.] Univ Tasmania, Antarctic Climate &amp; Ecosyst CRC, Hobart, Tas 7001, Australia; [Butler, Edward C. V.] Australian Inst Marine Sci, Arafura Timor Res Facil, Casuarina, NT 0811, Australia</t>
  </si>
  <si>
    <t>Commonwealth Scientific &amp; Industrial Research Organisation (CSIRO); Commonwealth Scientific &amp; Industrial Research Organisation (CSIRO); Commonwealth Scientific &amp; Industrial Research Organisation (CSIRO); University of Tasmania; Australian Institute of Marine Science</t>
  </si>
  <si>
    <t>O'Sullivan, JE (corresponding author), CSIRO Marine &amp; Atmospher Res, GPO Box 1538, Hobart, Tas 7001, Australia.</t>
  </si>
  <si>
    <t>Jeanette.OSullivan@csiro.au</t>
  </si>
  <si>
    <t>Watson, Roslyn J./JVN-9055-2024</t>
  </si>
  <si>
    <t>Butler, Edward/0000-0002-6660-3985</t>
  </si>
  <si>
    <t>0039-9140</t>
  </si>
  <si>
    <t>1873-3573</t>
  </si>
  <si>
    <t>Talanta</t>
  </si>
  <si>
    <t>10.1016/j.talanta.2013.06.054</t>
  </si>
  <si>
    <t>Chemistry, Analytical</t>
  </si>
  <si>
    <t>267KD</t>
  </si>
  <si>
    <t>WOS:000328095600142</t>
  </si>
  <si>
    <t>Fletcher, WJ; Müller, UC; Koutsodendris, A; Christanis, K; Pross, J</t>
  </si>
  <si>
    <t>Fletcher, William J.; Mueller, Ulrich C.; Koutsodendris, Andreas; Christanis, Kimon; Pross, Joerg</t>
  </si>
  <si>
    <t>A centennial-scale record of vegetation and climate variability from 312 to 240 ka (Marine Isotope Stages 9c-a, 8 and 7e) from Tenaghi Philippon, NE Greece</t>
  </si>
  <si>
    <t>Millennial-scale climate variability; Dansgaard-Oeschger-like events; Marine Isotope Stage 8; Marine Isotope Stage 9; Pollen analysis; Mediterranean region</t>
  </si>
  <si>
    <t>BAHAMA OUTER RIDGE; ICE-CORE; LAST DEGLACIATION; ATMOSPHERIC METHANE; AEGEAN REGION; POLLEN RECORD; LESVOS ISLAND; DOME-C; TERRESTRIAL; DEEP</t>
  </si>
  <si>
    <t>Based on a new, centennial-scale-resolution pollen record from the terrestrial site of Tenaghi Philippon (NE Greece) we report a series of high-amplitude millennial-scale forest expansion events during the interval from 312 to 240 ka (equivalent to isotopic substages c-a of Marine Isotope Stage [MIS] 9, MIS 8, and the onset of MIS 7e). Pollen-based indices support the climatic interpretation of the forest expansion events as indicators of abrupt increases in temperature and moisture availability in the Mediterranean region. Long-term changes in vegetation cover and composition during the studied interval permit the definition of glacial substages (early, middle and late) analogous to the glacial substages of the last climatic cycle. Within this framework, forest expansion events occurred during the early glacial (equivalent to MIS 9c-a) and the later part of the middle glacial (mid to late MIS 8), but are absent from the early part of the middle glacial (early MIS 8). Forest expansion events are also detected during the Lateglacial and onset of MIS 7, associated with a millennial-scale climate oscillation across the glacial-interglacial transition, i.e. Termination III (T-III). A peak-for-peak match between forest expansion events and Antarctic temperature maxima suggests interhemispheric coupling of millennial-scale climate variability via global oceanic circulation change and synergistic variability in atmospheric circulation consistent with the bipolar see-saw. The resolution of our record (mean: 290 yr) also permits the characterisation of climate evolution over the course of interstadial episodes following forest expansion events, and highlights differences in the characteristics of early and middle glacial interstadials (saw-tooth vs. plateau profile). These differences point to an influence of long-term boundary conditions, especially global ice volume, on the characteristics of millennial-scale events. (C) 2013 Elsevier Ltd. All rights reserved.</t>
  </si>
  <si>
    <t>[Fletcher, William J.; Mueller, Ulrich C.; Koutsodendris, Andreas; Pross, Joerg] Goethe Univ Frankfurt, Inst Geosci, Palaeoenvironm Dynam Grp, D-60438 Frankfurt, Germany; [Fletcher, William J.; Mueller, Ulrich C.; Pross, Joerg] Biodivers &amp; Climate Res Ctr BiK F, D-60325 Frankfurt, Germany; [Christanis, Kimon] Univ Patras, Dept Geol, GR-26500 Rion, Greece</t>
  </si>
  <si>
    <t>Goethe University Frankfurt; Senckenberg Gesellschaft fur Naturforschung (SGN); Senckenberg Biodiversitat &amp; Klima- Forschungszentrum (BiK-F); University of Patras</t>
  </si>
  <si>
    <t>Fletcher, WJ (corresponding author), Univ Manchester, Sch Environm &amp; Dev, Manchester M13 9PL, Lancs, England.</t>
  </si>
  <si>
    <t>will.fletcher@manchester.ac.uk</t>
  </si>
  <si>
    <t>Christanis, Kimon/ABB-3363-2021; Koutsodendris, Andreas/G-8966-2013</t>
  </si>
  <si>
    <t>Koutsodendris, Andreas/0000-0003-4236-7508; Fletcher, William/0000-0001-8918-0690; Christanis, Kimon/0000-0003-4625-2783</t>
  </si>
  <si>
    <t>Deutsche Forschungsgemeinschaft [PR 651/3]; Biodiversity and Climate 123 Research Center (BIK-F) of the Hessian Initiative for Scientific and Economic Excellence (LOEWE); Wilhelm Schuler Foundation</t>
  </si>
  <si>
    <t>Deutsche Forschungsgemeinschaft(German Research Foundation (DFG)); Biodiversity and Climate 123 Research Center (BIK-F) of the Hessian Initiative for Scientific and Economic Excellence (LOEWE); Wilhelm Schuler Foundation</t>
  </si>
  <si>
    <t>This research was supported by the Deutsche Forschungsgemeinschaft (project PR 651/3), the Biodiversity and Climate 123 Research Center (BIK-F) of the Hessian Initiative for Scientific and Economic Excellence (LOEWE), and the Wilhelm Schuler Foundation. Technical support by S. Liner, S. Kalaitzidis and N. Scarle is gratefully acknowledged. We thank Belen Martrat and an anonymous reviewer for constructive and insightful comments.</t>
  </si>
  <si>
    <t>10.1016/j.quascirev.2013.08.005</t>
  </si>
  <si>
    <t>264VK</t>
  </si>
  <si>
    <t>WOS:000327908900008</t>
  </si>
  <si>
    <t>de Angelis, M; Tison, JL; Morel-Fourcade, MC; Susini, J</t>
  </si>
  <si>
    <t>de Angelis, M.; Tison, J. -L.; Morel-Fourcade, M. -C.; Susini, J.</t>
  </si>
  <si>
    <t>Micro-investigation of EPICA Dome C bottom ice: evidence of long term in situ processes involving acid-salt interactions, mineral dust, and organic matter</t>
  </si>
  <si>
    <t>Basal ice; Paleoenvironment; In situ processes; Sub-glacial environment; Antarctic; Microbiology</t>
  </si>
  <si>
    <t>LIGHT CARBOXYLIC-ACIDS; SEA-ICE; CLIMATE VARIABILITY; GREENLAND ICE; SOUTH-POLE; CORE; ANTARCTICA; SULFATE; PARTICLES; MICROORGANISMS</t>
  </si>
  <si>
    <t>The EPICA Dome C ice core (EDC) reached a final depth of 3260 m, at a maximum height of about 15 m above the ice-bedrock interface in December 2004. We present here data gained from a detailed investigation of selected samples of the deeper part of the core located below 3200 m and referred to as bottom ice. This part of the core has been poorly investigated so far mainly because there are significant challenges in interpreting paleo-records that were very likely modified by long term in situ processes. Our study combines high resolution ion chromatography, high resolution synchrotron X-Ray micro-fluorescence (micro XRF), scanning, and transmission electron microscopy. Our aim was to identify the long term physico-chemical processes at work close to the bedrock, to determine how they have altered the initial registers, and, ultimately to extract information on the very ancient Antarctic environment. The ubiquitous presence of nanometer iron oxide crystals at the surface of wind-borne dust aggregates containing also large amount of organic matter raises the possibility that the consolidation of windborne dust clusters formed during ice recrystallization could be related to microbial iron reduction and, thus, to the progressive reactivation of dormant bacterial activity in warming ice. Inclusions of size and number density increasing with depth observed in the 12 last meters (3248-3260 m) contain liquid and solid species, among them marine biogenic acids, numerous wind-borne dust aggregates and clusters of large reversible calcium carbonate particles precipitated once the inclusion was formed and often covered by secondary gypsum. The refreezing of slush lenses is discussed as a potential cause of the formation of such heterogeneous and complex mixtures. In addition to the very fine micrometer size minerals windborne from extra-Antarctic continental sources and often accreted in large aggregates, single medium size particles (a few to ca 20 gm and among them organic debris) are commonly encountered. Their size, surface shape, and mineralogy suggest that aerosol transport from Antarctic ice-free areas played a significant role at the time EDC bottom ice was formed. Concentrations and concentration ratios of biogenic sulfur species also advocate for the strengthening of pen-Antarctic meteorological patterns that favor the inland penetration of disturbed flow carrying local material. Very large well preserved mineral particles several tens of micrometers in diameter, and biotope relics in deeper ice close to 3260 m likely come from the sub-glacial environment. (C) 2013 Elsevier Ltd. All rights reserved.</t>
  </si>
  <si>
    <t>[de Angelis, M.] UJF Grenoble 1, CNRS, LGGE, UMR 5183, Grenoble, France; [Tison, J. -L.] Univ Libre Bruxelles, Brussels, Belgium; [Morel-Fourcade, M. -C.] UJF Grenoble 1, CNRS, IRD, LTHE,UMR 5564, Grenoble, France; [Susini, J.] ESRF, Grenoble, France</t>
  </si>
  <si>
    <t>Communaute Universite Grenoble Alpes; Universite Grenoble Alpes (UGA); Centre National de la Recherche Scientifique (CNRS); Universite Libre de Bruxelles; Communaute Universite Grenoble Alpes; Institut National Polytechnique de Grenoble; Universite Grenoble Alpes (UGA); Centre National de la Recherche Scientifique (CNRS); Institut de Recherche pour le Developpement (IRD); European Synchrotron Radiation Facility (ESRF)</t>
  </si>
  <si>
    <t>de Angelis, M (corresponding author), UJF Grenoble 1, CNRS, LGGE, UMR 5183, Grenoble, France.</t>
  </si>
  <si>
    <t>martine.de-angelis@lgge.obs.ujf-grenoble.fr</t>
  </si>
  <si>
    <t>Susini, Jean/HKV-4998-2023; Tison, Jean-Louis/F-4065-2015</t>
  </si>
  <si>
    <t>Morel, Marie-Christine/0000-0001-8975-2492; Tison, Jean-Louis/0000-0002-9758-3454</t>
  </si>
  <si>
    <t>EC (EPICA/MIS)</t>
  </si>
  <si>
    <t>This work is a contribution to EPICA, a joint European Science Foundation (ESF)/European Commission (EC) scientific program, funded by the EC (EPICA/MIS) and by national contributions from Belgium, Denmark, France, Germany, Italy, the Nederland's, Norway, Sweden, Switzerland and the UK. We acknowledge technical support from the C2FN (French National Center for Coring and Drilling), handled by INSU. We thank all the personnel who have contributed to obtain ice core sampling. We thank Paul Duval for helpful discussions.</t>
  </si>
  <si>
    <t>10.1016/j.quascirev.2013.08.012</t>
  </si>
  <si>
    <t>WOS:000327908900016</t>
  </si>
  <si>
    <t>Brasso, RL; Polito, MJ</t>
  </si>
  <si>
    <t>Brasso, Rebecka L.; Polito, Michael J.</t>
  </si>
  <si>
    <t>Trophic calculations reveal the mechanism of population-level variation in mercury concentrations between marine ecosystems: Case studies of two polar seabirds</t>
  </si>
  <si>
    <t>Mercury; Trophic level; Stable isotope analysis; Spatial comparisons; Population; Seabird</t>
  </si>
  <si>
    <t>STABLE-ISOTOPE ANALYSIS; FOOD-WEB; TEMPORAL VARIATION; THUNNUS-ALBACARES; YELLOWFIN TUNA; TRACE-ELEMENTS; NITROGEN; FEATHERS; METHYLMERCURY; DELTA-N-15</t>
  </si>
  <si>
    <t>The incorporation of quantitative trophic level analysis in ecotoxicological studies provides explanatory power to identify the factors, trophic or environmental, driving population-level variation in mercury exposure at large geographic scales. In the Antarctic marine ecosystem, mercury concentrations and stable isotope values in Adelie penguins (Pygoscelis adeliae) were compared between the Antarctic Peninsula and the Ross Sea. Correcting tissue delta N-15 values for baseline delta N-15 values revealed population-level differences in trophic position which contributes to differences in mercury. Data from Thick-billed murres (Uria lomvia) were synthesized from published values from Baffin Bay and Svalbard to demonstrate the utility of baseline delta N-15 values in identifying differences in environmental mercury exposure independent of diet. Here, we demonstrate the importance of calculating population-specific trophic level data to uncover the source of variation in mercury concentrations between geographically distinct populations of marine predators. (C) 2013 Elsevier Ltd. All rights reserved.</t>
  </si>
  <si>
    <t>[Brasso, Rebecka L.] Univ N Carolina, Dept Biol &amp; Marine Biol, Wilmington, NC 28403 USA; [Polito, Michael J.] Woods Hole Oceanog Inst, Woods Hole, MA 02543 USA</t>
  </si>
  <si>
    <t>University of North Carolina; University of North Carolina Wilmington; Woods Hole Oceanographic Institution</t>
  </si>
  <si>
    <t>Brasso, RL (corresponding author), Univ N Carolina, Dept Biol &amp; Marine Biol, 601 South Coll Rd, Wilmington, NC 28403 USA.</t>
  </si>
  <si>
    <t>rlb1196@uncw.edu</t>
  </si>
  <si>
    <t>Brasso, Rebecka L/I-7014-2013; Polito, Michael/G-9118-2012</t>
  </si>
  <si>
    <t>Polito, Michael/0000-0001-8639-4431</t>
  </si>
  <si>
    <t>United States National Science Foundation (NSF) Office of Polar Programs [ANT0739575]; PEO International; Office of Polar Programs (OPP); Directorate For Geosciences [0739575] Funding Source: National Science Foundation</t>
  </si>
  <si>
    <t>United States National Science Foundation (NSF) Office of Polar Programs(National Science Foundation (NSF)NSF - Directorate for Geosciences (GEO)); PEO International; Office of Polar Programs (OPP); Directorate For Geosciences(National Science Foundation (NSF)NSF - Directorate for Geosciences (GEO))</t>
  </si>
  <si>
    <t>Funding for this research was provided by a United States National Science Foundation (NSF) Office of Polar Programs grant (ANT0739575) to S. Emslie, M. Polito, and W. Patterson. Additional funding to R. Brasso provided by PEO International. We thank D. Ainley, W. Trivelpiece and US AMLR and NSF field team working on King George Island and Ross Island for assistance with the collection of chick down samples. D. Besic, B. Drummond, K. Durenberger, W. Patterson, C. Tobais, E. Unger, and C. Vasil provided helpful assistance with sample preparation and stable isotope and mercury analysis. We thank V. Winder for a constructive review during early stages of manuscript preparation. This work completed in accordance with approved Institutional Animal Care and Use Protocols and NSF Antarctic Conservation Act permits provided to S. Emslie (2006-001), D. Ainley (2006-10), and R. Holt (2008-008).</t>
  </si>
  <si>
    <t>10.1016/j.marpolbul.2013.08.003</t>
  </si>
  <si>
    <t>249HL</t>
  </si>
  <si>
    <t>WOS:000326768200040</t>
  </si>
  <si>
    <t>DeMaere, MZ; Williams, TJ; Allen, MA; Brown, MV; Gibson, JAE; Rich, J; Lauro, FM; Dyall-Smith, M; Davenport, KW; Woyke, T; Kyrpides, NC; Tringe, SG; Cavicchioli, R</t>
  </si>
  <si>
    <t>DeMaere, Matthew Z.; Williams, Timothy J.; Allen, Michelle A.; Brown, Mark V.; Gibson, John A. E.; Rich, John; Lauro, Federico M.; Dyall-Smith, Michael; Davenport, Karen W.; Woyke, Tanja; Kyrpides, Nikos C.; Tringe, Susannah G.; Cavicchioli, Ricardo</t>
  </si>
  <si>
    <t>High level of intergenera gene exchange shapes the evolution of haloarchaea in an isolated Antarctic lake</t>
  </si>
  <si>
    <t>mobile genetic elements; Antarctic haloarchaea; saltern; fragment recruitment; BJ1 virus</t>
  </si>
  <si>
    <t>VESTFOLD HILLS; DEEP LAKE; HYPERSALINE; SEQUENCE; ARCHAEA; SALTERN; RECOMBINATION; BACTERIUM; SELECTION; GENOMICS</t>
  </si>
  <si>
    <t>Deep Lake in Antarctica is a globally isolated, hypersaline system that remains liquid at temperatures down to -20 degrees C. By analyzing metagenome data and genomes of four isolates we assessed genome variation and patterns of gene exchange to learn how the lake community evolved. The lake is completely and uniformly dominated by haloarchaea, comprising a hierarchically structured, low-complexity community that differs greatly to temperate and tropical hypersaline environments. The four Deep Lake isolates represent distinct genera (similar to 85% 16S rRNA gene similarity and similar to 73% genome average nucleotide identity) with genomic characteristics indicative of niche adaptation, and collectively account for similar to 72% of the cellular community. Network analysis revealed a remarkable level of intergenera gene exchange, including the sharing of long contiguous regions (up to 35 kb) of high identity (similar to 100%). Although the genomes of closely related Halobacterium, Haloquadratum, and Haloarcula (&gt;90% average nucleotide identity) shared regions of high identity between species or strains, the four Deep Lake isolates were the only distantly related haloarchaea to share long high-identity regions. Moreover, the Deep Lake high-identity regions did not match to any other hypersaline environment metagenome data. The most abundant species, tADL, appears to play a central role in the exchange of insertion sequences, but not the exchange of high-identity regions. The genomic characteristics of the four haloarchaea are consistent with a lake ecosystem that sustains a high level of intergenera gene exchange while selecting for ecotypes that maintain sympatric speciation. The peculiarities of this polar system restrict which species can grow and provide a tempo and mode for accentuating gene exchange.</t>
  </si>
  <si>
    <t>[DeMaere, Matthew Z.; Williams, Timothy J.; Allen, Michelle A.; Brown, Mark V.; Rich, John; Lauro, Federico M.; Cavicchioli, Ricardo] Univ New S Wales, Sch Biotechnol &amp; Biomol Sci, Sydney, NSW 2052, Australia; [Brown, Mark V.] Univ New S Wales, Evolut &amp; Ecol Res Ctr, Sydney, NSW 2052, Australia; [Gibson, John A. E.] Univ Tasmania, Inst Marine &amp; Antarctic Studies, Hobart, Tas 7001, Australia; [Dyall-Smith, Michael] Charles Sturt Univ, Wagga Wagga, NSW 2678, Australia; [Davenport, Karen W.] Los Alamos Natl Lab, Dept Energy Joint Genome Inst, Biosci Div, Los Alamos, NM 87545 USA; [Woyke, Tanja; Kyrpides, Nikos C.; Tringe, Susannah G.] Dept Energy Joint Genome Inst, Walnut Creek, CA 94598 USA</t>
  </si>
  <si>
    <t>University of New South Wales Sydney; University of New South Wales Sydney; University of Tasmania; Charles Sturt University; United States Department of Energy (DOE); Los Alamos National Laboratory; United States Department of Energy (DOE); Lawrence Berkeley National Laboratory</t>
  </si>
  <si>
    <t>Cavicchioli, R (corresponding author), Univ New S Wales, Sch Biotechnol &amp; Biomol Sci, Sydney, NSW 2052, Australia.</t>
  </si>
  <si>
    <t>r.cavicchioli@unsw.edu.au</t>
  </si>
  <si>
    <t>Kyrpides, Nikos C./A-6305-2014; DeMaere, Matthew Zachariah/D-9002-2012; Lauro, Federico/X-2420-2019; Tringe, Susannah Green/T-9431-2019; Woyke, Tanja/S-7870-2018; Cavicchioli, Ricardo/D-4341-2013</t>
  </si>
  <si>
    <t>Kyrpides, Nikos C./0000-0002-6131-0462; DeMaere, Matthew Zachariah/0000-0002-7601-5108; Lauro, Federico/0000-0002-8373-1014; Tringe, Susannah Green/0000-0001-6479-8427; Woyke, Tanja/0000-0002-9485-5637; Cavicchioli, Ricardo/0000-0001-8989-6402; Williams, Timothy/0000-0002-2738-3019; Allen, Michelle/0000-0002-8852-1454</t>
  </si>
  <si>
    <t>Australian Research Council; Australian Antarctic Science program; Australian Government; Office of Science of the US DOE [DE-AC02-05CH11231]; Max Planck Society</t>
  </si>
  <si>
    <t>Australian Research Council(Australian Research Council); Australian Antarctic Science program; Australian Government(Australian Government); Office of Science of the US DOE(United States Department of Energy (DOE)); Max Planck Society(Max Planck Society)</t>
  </si>
  <si>
    <t>We thank Nico Wanandy for extracting DNA from filters, Yan Liao for assistance with PCR and sequencing of HIR, Aaron Darling for helpful discussions, Philip Johnson for guidance on the use of Population genetic Inference In Metagenomics, Jon Magnuson and Jerry Jenkins for access to the draft Dunaliella salina Culture Collection of Algae and Protozoa 19/18 genome sequence, and Tassia Kolesnikow for comments on the manuscript. We also thank the Editor and reviewers who provided very insightful and constructive feedback. This work was supported by the Australian Research Council and the Australian Antarctic Science program and undertaken with the assistance of resources provided at the National Computational Infrastructure National Facility systems at the Australian National University through the National Computational Merit Allocation Scheme supported by the Australian Government. The work conducted by the US DOE Joint Genome Institute is supported by the Office of Science of the US DOE under Contract DE-AC02-05CH11231. M.D.S. is grateful for the support by the Max Planck Society, and particularly D. Oesterhelt (Department of Membrane Biochemistry, Max Planck Institute).</t>
  </si>
  <si>
    <t>1091-6490</t>
  </si>
  <si>
    <t>10.1073/pnas.1307090110</t>
  </si>
  <si>
    <t>234HT</t>
  </si>
  <si>
    <t>Green Published, Green Submitted, Bronze, Green Accepted</t>
  </si>
  <si>
    <t>WOS:000325634200056</t>
  </si>
  <si>
    <t>Kartushinsky, AV; Sidorenko, AY</t>
  </si>
  <si>
    <t>Kartushinsky, A. V.; Sidorenko, A. Y.</t>
  </si>
  <si>
    <t>Analysis of the variability of temperature gradient in the ocean frontal zones based on satellite data</t>
  </si>
  <si>
    <t>ADVANCES IN SPACE RESEARCH</t>
  </si>
  <si>
    <t>Frontal zones; Sea surface temperature gradients; South oscillation - El Ninjo; North Atlantic oscillation; Variability of gradients; Thermohaline circulation</t>
  </si>
  <si>
    <t>NORTH-ATLANTIC OSCILLATION; SEA-SURFACE TEMPERATURE; STABILITY; SALINITY; DYNAMICS; KUROSHIO</t>
  </si>
  <si>
    <t>AVHRR MCSST data for the periods 1982-2000 (mean weekly data) were used to calculate mean gradient fields in the ocean for different periods of time. Three-month averaged sea surface temperature gradients (SSTG) and their mean seasonal variations have been studied for 25 points in the large-scale oceanic fronts zones. Major oceanic fronts in the Atlantic and Pacific have been identified and compared in literature. In the North Atlantic and Pacific, the areas under study were the North Polar Front and Subpolar Fronts. In the South Atlantic and Pacific we studied the region of the Antarctic Circumpolar Current (ACC) and the fronts formed by this current, known as the South Polar Front, and the Subantarctic Front. SSTG were also calculated for El Nino (Southeast Pacific) and Benguela Current (Southeast Atlantic). In warm periods seasonal SSTG in the North Atlantic markedly increased and exhibit some interannual cycles. The correlation between the North Atlantic Oscillation index and seasonal SSTG for a single point in the Gulf Stream zone can be the key point for evaluation of heat transfer by the currents to the coast of East Europe. In the Southern Atlantic, the SSTG values are low during the cold period (summer in the southern hemisphere) in the ACC zone and increase in the warm season (winter in the southern hemisphere). It also exhibits interannual cycles. In the Northwest Pacific for some points in the Subpolar Front the SSTG values are high in the cold period (winter). Here at seven points in the spring of 1993 and 2000 the calculations disclosed significant increase of the gradient. In these years, the anomalous SSTG in Subpolar Front and South Polar Front were found to vary synchronously in both hemispheres, with maximum intensity in spring (North Pacific) and in summer (South Pacific). Mean annual SSTG in the El Nino zone and south oscillation index have been found to exhibit some correlation. Major jet currents periodically form high-gradient temperature fields and from the temperature satellite data we can derive information about variation in the large-scale fronts in the Global Ocean. (C) 2013 COSPAR. Published by Elsevier Ltd. All rights reserved.</t>
  </si>
  <si>
    <t>[Kartushinsky, A. V.; Sidorenko, A. Y.] Siberian Fed Univ, Krasnoyarsk 660041, Russia; [Kartushinsky, A. V.] Russian Acad Sci, Inst Biophys, Siberian Branch, Krasnoyarsk 660036, Russia</t>
  </si>
  <si>
    <t>Siberian Federal University; Russian Academy of Sciences; Krasnoyarsk Science Center of the Siberian Branch of the Russian Academy of Sciences; Biophysics Institute, Siberian Branch, Russian Academy of Sciences</t>
  </si>
  <si>
    <t>Kartushinsky, AV (corresponding author), Siberian Fed Univ, 79 Svobodny, Krasnoyarsk 660041, Russia.</t>
  </si>
  <si>
    <t>kartushka@mail.ru</t>
  </si>
  <si>
    <t>Kartushinsky, Alexei V/G-3894-2016</t>
  </si>
  <si>
    <t>RFBR [02-05-64740, 06-05-90872-Mol_a]; Ministry of Education RF, US-CRDF [RDF REC-002]</t>
  </si>
  <si>
    <t>RFBR(Russian Foundation for Basic Research (RFBR)); Ministry of Education RF, US-CRDF</t>
  </si>
  <si>
    <t>The work was supported by the Grants of RFBR 02-05-64740, RFBR 06-05-90872-Mol_a, RDF REC-002 (Ministry of Education RF, US-CRDF).</t>
  </si>
  <si>
    <t>0273-1177</t>
  </si>
  <si>
    <t>1879-1948</t>
  </si>
  <si>
    <t>ADV SPACE RES</t>
  </si>
  <si>
    <t>Adv. Space Res.</t>
  </si>
  <si>
    <t>10.1016/j.asr.2013.07.023</t>
  </si>
  <si>
    <t>Engineering, Aerospace; Astronomy &amp; Astrophysics; Geosciences, Multidisciplinary; Meteorology &amp; Atmospheric Sciences</t>
  </si>
  <si>
    <t>Engineering; Astronomy &amp; Astrophysics; Geology; Meteorology &amp; Atmospheric Sciences</t>
  </si>
  <si>
    <t>233TJ</t>
  </si>
  <si>
    <t>WOS:000325592100007</t>
  </si>
  <si>
    <t>Young, JW; Olson, RJ; Rodhouse, PGK</t>
  </si>
  <si>
    <t>Young, Jock W.; Olson, Robert J.; Rodhouse, Paul G. K.</t>
  </si>
  <si>
    <t>The role of squids in pelagic ecosystems: An overview</t>
  </si>
  <si>
    <t>DOSIDICUS-GIGAS; YELLOWFIN TUNA; THUNNUS-ALBACARES; ISOTOPE ANALYSIS; FOOD-WEB; CEPHALOPODS; PREDATION; ECOLOGY; OCEAN; DIETS</t>
  </si>
  <si>
    <t>[Young, Jock W.] CSIRO Marine &amp; Atmospher Res, Wealth Oceans Flagship, Hobart, Tas 7000, Australia; [Olson, Robert J.] Interamer Trop Tuna Commiss, La Jolla, CA 92037 USA; [Rodhouse, Paul G. K.] British Antarctic Survey, Cambridge CB25 9BG, England</t>
  </si>
  <si>
    <t>Commonwealth Scientific &amp; Industrial Research Organisation (CSIRO); UK Research &amp; Innovation (UKRI); Natural Environment Research Council (NERC); NERC British Antarctic Survey</t>
  </si>
  <si>
    <t>Young, JW (corresponding author), CSIRO Marine &amp; Atmospher Res, Wealth Oceans Flagship, GPO Box 1538, Hobart, Tas 7000, Australia.</t>
  </si>
  <si>
    <t>jock.young@csiro.au; rolson@iattc.org; p.rodhouse@bas.ac.uk</t>
  </si>
  <si>
    <t>10.1016/j.dsr2.2013.05.008</t>
  </si>
  <si>
    <t>WOS:000328592400002</t>
  </si>
  <si>
    <t>Arkhipkin, AI</t>
  </si>
  <si>
    <t>Arkhipkin, Alexander I.</t>
  </si>
  <si>
    <t>Squid as nutrient vectors linking Southwest Atlantic marine ecosystems</t>
  </si>
  <si>
    <t>Biomass; Production; Squid; IIlex argentinus; Dolyteuthis gahi; Onykia ingens</t>
  </si>
  <si>
    <t>DEEP-WATER SQUID; MOROTEUTHIS INGENS CEPHALOPODA; ILLEX-ARGENTINUS CEPHALOPODA; LOLIGO-GAHI; EMBRYONIC-DEVELOPMENT; REPRODUCTIVE-BIOLOGY; ONTOGENIC MIGRATIONS; DOSIDICUS-GIGAS; ANADROMOUS FISH; META-ECOSYSTEMS</t>
  </si>
  <si>
    <t>Long-term investigations of three abundant nektonic squid species from the Southwest Atlantic, Illex argentinus, Doryteuthis gahi and Onykia ingens, permitted to estimate important population parameters including individual growth rates, duration of ontogenetic phases and mortalities. Using production model, the productivity of squid populations at different phases of their life cycle was assessed and the amount of biomass they convey between marine ecosystems as a result of their ontogenetic migrations was quantified. It was found that squid are major nutrient vectors and play a key role as transient 'biological pumps' linking spatially distinct marine ecosystems. I. argentinus has the largest impact in all three ecosystems it encounters due to its high abundance and productivity. The variable nature of squid populations increases the vulnerability of these biological conveyers to overfishing and environmental change. Failure of these critical biological pathways may induce irreversible long-term consequences for biodiversity, resource abundance and spatial availability in the world ocean. (C) 2012 Elsevier Ltd. All rights reserved.</t>
  </si>
  <si>
    <t>Falkland Islands Govt Fisheries Dept, FIPASS, Stanley FIQQ 1ZZ, Falkland Island, England</t>
  </si>
  <si>
    <t>Arkhipkin, AI (corresponding author), Falkland Islands Govt Fisheries Dept, FIPASS, POB 598, Stanley FIQQ 1ZZ, Falkland Island, England.</t>
  </si>
  <si>
    <t>aarkhipkin@fisheries.gov.fk</t>
  </si>
  <si>
    <t>GLOBEC-CLIOTOP Working Group 3</t>
  </si>
  <si>
    <t>I am grateful to the staff of the Falkland Islands Fisheries Department for collection of the data presented in this paper. Thanks are also extended to the masters and crews of the patrol and research vessels Dorada, Protegat and Castelo and the commercial vessels that helped to collect biological data. I gratefully acknowledge helpful discussions, comments and advice of my colleagues Dr. Chingis Nigmatullin (AtlantNIRO, Kaliningrad, Russia), Profs. Paul G. Rodhouse (British Antarctic Survey, United Kingdom), Ron O'Dor (Census of Marine Life, Washington, USA), Yasunori Sakurai (Hokkaido University, Japan), Drs. Lianos Trianta-fillos (PIRSA Fisheries and Aquaculture, Adelaide, Australia) and Wetjens Dimmlich (Marine Stewardship Council, Cologne, Germany) that greatly improved the manuscript. I am grateful to Dr Marie-Julie Roux (Fisheries Department, Stanley, Falkland Islands) and two reviewers Drs. G. Tarling (British Antarctic Survey, Cambridge, UK) and J. M. Portela (Instituto Espafiol de Oceanografia, Vigo, Spain) for their comments that helped to improve the manuscript. I also thank the Director of Natural Resources John Barton for supporting this work, and the organisers of a joint workshop sponsored by GLOBEC-CLIOTOP Working Group 3 held in the University of Hawaii (Honolulu) in November, 2006 for invitation to present the main results of the study. This paper is a contribution to a CLIOTOP initiative to develop understanding of squid in pelagic ecosystems.</t>
  </si>
  <si>
    <t>10.1016/j.dsr2.2012.07.003</t>
  </si>
  <si>
    <t>WOS:000328592400003</t>
  </si>
  <si>
    <t>Rodhouse, PGK</t>
  </si>
  <si>
    <t>Rodhouse, Paul G. K.</t>
  </si>
  <si>
    <t>Role of squid in the Southern Ocean pelagic ecosystem and the possible consequences of climate change</t>
  </si>
  <si>
    <t>Squid; Pelagic; Ecosystem; Southern Ocean; Oceanography; Climate change</t>
  </si>
  <si>
    <t>ANTARCTIC POLAR FRONT; ILLEX-ARGENTINUS CEPHALOPODA; MARTIALIA-HYADESI; ELEPHANT SEALS; MESOSCALE OCEANOGRAPHY; POPULATION-STRUCTURE; DOSIDICUS-GIGAS; FISHERY BIOLOGY; RANGE EXPANSION; KING PENGUINS</t>
  </si>
  <si>
    <t>Southern Ocean squid are important predators and prey and are a potential fishery resource. Their future under climate change is analysed from predictions of change by 2100 and assessments of the effects on squid biology. There are similar to 18 Antarctic species of squid. Young feed primarily on crustaceans and switch later to fishes. They are preyed on by odontocetes, seals and seabirds - which together consume similar to 34 x 10(6) t yr(-1) - and fish. As predators, squid are second to fish as biomass producers but recent evidence suggests predator consumption of squid needs to be reassessed. Fatty acid composition and stable nitrogen isotope ratios indicate some predators consume less squid in their diet than gut contents data suggest. Southern Ocean oceanography is unique in having circumpolar circulation and frontal systems and at high latitudes it is heavily influenced by sea ice. The Antarctic Peninsula is among the fastest warming regions worldwide but elsewhere the Southern Ocean is warming more slowly and the Ross Sea is probably cooling. Sea ice is receding in the Peninsula region and increasing elsewhere. Modelled predictions for 2100 suggest although the Southern Ocean will warm less than other oceans and sea ice will reduce. The Antarctic Circumpolar Current may shift slightly southwards with intensification of westerly winds but resolution of the models is insufficient to predict mesoscale change. Globally, pH of seawater has decreased by 0.1 units since the mid-1900s and is predicted to decrease by another 0.5 units by 2100. Impact on calcifying organisms will be high in the cold Southern Ocean where solubility of calcium carbonate is high. Predicted temperature increases are unlikely to have major effects on squid other than changes in distribution near the limits of their range; acidification may have greater impact. Small changes in large scale circulation are unlikely to affect squid but changes in mesoscale oceanography may have high impact. Change in sea ice extent may not have a direct effect but consequent ecosystem changes could have a major impact. Cephalopods are ecological opportunists adapted to exploit favourable environmental conditions. Given their potential to evolve fast, change in the Southern Ocean pelagic ecosystem might act in their favour. (C) 2012 Elsevier Ltd. All rights reserved.</t>
  </si>
  <si>
    <t>British Antarctic Survey, Cambridge CB3 0ET, England</t>
  </si>
  <si>
    <t>10.1016/j.dsr2.2012.07.001</t>
  </si>
  <si>
    <t>WOS:000328592400014</t>
  </si>
  <si>
    <t>Schründer, S; Schnack-Schiel, SB; Auel, H; Sartoris, FJ</t>
  </si>
  <si>
    <t>Schruender, Sabine; Schnack-Schiel, Sigrid B.; Auel, Holger; Sartoris, Franz Josef</t>
  </si>
  <si>
    <t>Control of Diapause by Acidic pH and Ammonium Accumulation in the Hemolymph of Antarctic Copepods</t>
  </si>
  <si>
    <t>INVERTEBRATE SIPUNCULUS-NUDUS; CALANUS-PROPINQUUS COPEPODA; LIFE-CYCLE STRATEGIES; MARGINAL ICE-ZONE; CALANOIDES-ACUTUS; WEDDELL-SEA; METABOLIC DEPRESSION; BUOYANCY MECHANISM; MARINE ZOOPLANKTON; RHINCALANUS-GIGAS</t>
  </si>
  <si>
    <t>Life-cycles of polar herbivorous copepods are characterised by seasonal/ontogenetic vertical migrations and diapause to survive periods of food shortage during the long winter season. However, the triggers of vertical migration and diapause are still far from being understood. In this study, we test the hypothesis that acidic pH and the accumulation of ammonium (NH4+) in the hemolymph contribute to the control of diapause in certain Antarctic copepod species. In a recent study, it was already hypothesized that the replacement of heavy ions by ammonium is necessary for diapausing copepods to achieve neutral buoyancy at overwintering depth. The current article extends the hypothesis of ammonium-aided buoyancy by highlighting recent findings of low pH values in the hemolymph of diapausing copepods with elevated ammonium concentrations. Since ammonia (NH3) is toxic to most organisms, a low hemolymph pH is required to maintain ammonium in the less toxic ionized form (NH4+). Recognizing that low pH values are a relevant factor reducing metabolic rate in other marine invertebrates, the low pH values found in overwintering copepods might not only be a precondition for ammonium accumulation, but in addition, it may insure metabolic depression throughout diapause.</t>
  </si>
  <si>
    <t>[Schruender, Sabine; Auel, Holger] Univ Bremen, BreMarE Bremen Marine Ecol, D-28359 Bremen, Germany; [Schnack-Schiel, Sigrid B.; Sartoris, Franz Josef] Alfred Wegener Inst Polar &amp; Marine Res, Bremerhaven, Germany</t>
  </si>
  <si>
    <t>University of Bremen; Helmholtz Association; Alfred Wegener Institute, Helmholtz Centre for Polar &amp; Marine Research</t>
  </si>
  <si>
    <t>Schründer, S (corresponding author), Univ Bremen, BreMarE Bremen Marine Ecol, D-28359 Bremen, Germany.</t>
  </si>
  <si>
    <t>sabines@uni-bremen.de</t>
  </si>
  <si>
    <t>Sartoris, Franz-Josef/0000-0001-7228-3220</t>
  </si>
  <si>
    <t>Deutsche Forschungsgemeinschaft (DFG) [AU 175/6, SA 1713/3]</t>
  </si>
  <si>
    <t>Deutsche Forschungsgemeinschaft (DFG)(German Research Foundation (DFG))</t>
  </si>
  <si>
    <t>This work was supported by the Deutsche Forschungsgemeinschaft (DFG) in the framework of the priority programme 'Antarctic Research with comparative investigations in Arctic ice areas' (grant numbers AU 175/6 and SA 1713/3). http://www.spp-antarktisforschung.de/. The funders had no role in study design, data collection and analysis, decision to publish, or preparation of the manuscript.</t>
  </si>
  <si>
    <t>e77498</t>
  </si>
  <si>
    <t>10.1371/journal.pone.0077498</t>
  </si>
  <si>
    <t>237TP</t>
  </si>
  <si>
    <t>WOS:000325894100076</t>
  </si>
  <si>
    <t>Lavigne, F; Degeai, JP; Komorowski, JC; Guillet, S; Robert, V; Lahitte, P; Oppenheimer, C; Stoffel, M; Vidal, CM; Surono; Pratomo, I; Wassmer, P; Hajdas, I; Hadmoko, DS; De Belizal, E</t>
  </si>
  <si>
    <t>Lavigne, Franck; Degeai, Jean-Philippe; Komorowski, Jean-Christophe; Guillet, Sebastien; Robert, Vincent; Lahitte, Pierre; Oppenheimer, Clive; Stoffel, Markus; Vidal, Celine M.; Surono; Pratomo, Indyo; Wassmer, Patrick; Hajdas, Irka; Hadmoko, Danang Sri; De Belizal, Edouard</t>
  </si>
  <si>
    <t>Source of the great A.D. 1257 mystery eruption unveiled, Samalas volcano, Rinjani Volcanic Complex, Indonesia</t>
  </si>
  <si>
    <t>volcanism; climate; ultraplinian; caldera; archaeology</t>
  </si>
  <si>
    <t>CALDERA-FORMING ERUPTION; TEPHRA-FALL; ICE CORE; PLINIAN ERUPTIONS; TAUPO ERUPTION; LAKE CALDERA; MOUNT MAZAMA; NEW-ZEALAND; AGE; GREENLAND</t>
  </si>
  <si>
    <t>Polar ice core records attest to a colossal volcanic eruption that took place ca. A. D. 1257 or 1258, most probably in the tropics. Estimates based on sulfate deposition in these records suggest that it yielded the largest volcanic sulfur release to the stratosphere of the past 7,000 y. Tree rings, medieval chronicles, and computational models corroborate the expected worldwide atmospheric and climatic effects of this eruption. However, until now there has been no convincing candidate for the mid-13th century mystery eruption. Drawing upon compelling evidence from stratigraphic and geomorphic data, physical volcanology, radiocarbon dating, tephra geochemistry, and chronicles, we argue the source of this long-sought eruption is the Samalas volcano, adjacent to Mount Rinjani on Lombok Island, Indonesia. At least 40 km(3) (dense-rock equivalent) of tephra were deposited and the eruption column reached an altitude of up to 43 km. Three principal pumice fallout deposits mantle the region and thick pyroclastic flow deposits are found at the coast, 25 km from source. With an estimated magnitude of 7, this event ranks among the largest Holocene explosive eruptions. Radiocarbon dates on charcoal are consistent with a mid-13th century eruption. In addition, glass geochemistry of the associated pumice deposits matches that of shards found in both Arctic and Antarctic ice cores, providing compelling evidence to link the prominent A. D. 1258/1259 ice core sulfate spike to Samalas. We further constrain the timing of the mystery eruption based on tephra dispersal and historical records, suggesting it occurred between May and October A. D. 1257.</t>
  </si>
  <si>
    <t>[Lavigne, Franck; Degeai, Jean-Philippe; Robert, Vincent; Wassmer, Patrick; De Belizal, Edouard] Univ Paris 01, Dept Geog, F-92195 Meudon, France; [Lavigne, Franck; Degeai, Jean-Philippe; Robert, Vincent; Wassmer, Patrick; De Belizal, Edouard] CNRS, Unite Mixte Rech 8591, Lab Geog Phys, F-92195 Meudon, France; [Degeai, Jean-Philippe] Univ Montpellier 3, F-34970 Lattes, France; [Degeai, Jean-Philippe] CNRS, Unite Mixte Rech 5140, F-34970 Lattes, France; [Komorowski, Jean-Christophe; Vidal, Celine M.] CNRS, Inst Phys Globe, Equipe Geol Syst Volcan, Sorbonne Paris Cite,Unite Mixte Rech 7654, F-75238 Paris 05, France; [Guillet, Sebastien; Stoffel, Markus] Univ Bern, Inst Geol Sci, CH-3012 Bern, Switzerland; [Lahitte, Pierre] Univ Paris Sud, Dept Sci Terre IDES, F-91405 Orsay, France; [Oppenheimer, Clive] Univ Cambridge, Dept Geog, Cambridge CB2 3EN, England; [Stoffel, Markus] Univ Geneva, Inst Environm Sci, Dept Earth Sci, CH-1227 Carouge, Switzerland; [Surono] Geol Agcy, Ctr Volcanol &amp; Geol Hazard Mitigat, Bandung 40122, Indonesia; [Pratomo, Indyo] Geol Agcy, Geol Museum, Bandung 40122, Indonesia; [Wassmer, Patrick] Univ Strasbourg, Fac Geog &amp; Amenagement, F-67000 Strasbourg, France; [Hajdas, Irka] ETH, Lab Ion Beam Phys, CH-8093 Zurich, Switzerland; [Hadmoko, Danang Sri] Gadjah Mada Univ, Dept Environm Geog, Fac Geog, Bulaksumur 55281, Yogyakarta, Indonesia</t>
  </si>
  <si>
    <t>Universite Paris-Est-Creteil-Val-de-Marne (UPEC); Centre National de la Recherche Scientifique (CNRS); CNRS - Institute of Ecology &amp; Environment (INEE); Universite Paul-Valery; Centre National de la Recherche Scientifique (CNRS); Universite Paris Cite; Centre National de la Recherche Scientifique (CNRS); University of Bern; Universite Paris Saclay; Universite Paris Cite; University of Cambridge; University of Geneva; Universites de Strasbourg Etablissements Associes; Universite de Strasbourg; Swiss Federal Institutes of Technology Domain; ETH Zurich; Gadjah Mada University</t>
  </si>
  <si>
    <t>Lavigne, F (corresponding author), Univ Paris 01, Dept Geog, F-92195 Meudon, France.</t>
  </si>
  <si>
    <t>franck.lavigne@univ-paris1.fr</t>
  </si>
  <si>
    <t>Komorowski, Jean-Christophe/W-2158-2019; Komorowski, Jean-Christophe/H-9613-2017; Stoffel, Markus/A-1793-2017; Hajdas, Irka/C-6696-2011; Hadmoko, Danang Sri/GLV-2440-2022; Lahitte, Pierre/AAX-8909-2020; Lahitte, Pierre/G-3366-2019; Oppenheimer, Clive/G-9881-2013; lavigne, franck/Q-2008-2015</t>
  </si>
  <si>
    <t>Komorowski, Jean-Christophe/0000-0002-6874-786X; Komorowski, Jean-Christophe/0000-0002-6874-786X; Stoffel, Markus/0000-0003-0816-1303; Hajdas, Irka/0000-0003-2373-2725; Hadmoko, Danang Sri/0000-0003-0360-5577; Lahitte, Pierre/0000-0002-0311-8704; Oppenheimer, Clive/0000-0003-4506-7260; Guillet, Sebastien/0000-0002-0602-0518; lavigne, franck/0000-0002-1320-9765</t>
  </si>
  <si>
    <t>ECRin project [AO-INSU-2013]</t>
  </si>
  <si>
    <t>ECRin project</t>
  </si>
  <si>
    <t>We thank Anne-Kyria Robin, Gilang Arya Dipayana, Catherine Kuzucuoglu, Clement Virmoux, Hiden, Syamsuddin, Wiwit Suryanto for participating in the fieldwork; the Indonesian Ministry of Research (RISTEK), the local government of Lombok, Gadjah Mada University, the University of Mataram, and Karen Fontijn for providing data from Bali; Putu Perdana and Kusuma Wiguna for facilitating fieldwork; Michel Fialin and Frederic Couffignal for assistance in geochemical analyses; Julie Morin for mapping assistance; and Samia Hidalgo and Agnes Michel for clast density and pycnometry measurements. We thank two anonymous reviewers for their throrough and insightful comments and suggestions which improved the manuscript. Fieldwork was supported by the Laboratoire de Geographie Physique, University Paris 1-Pantheon-Sorbonne, the Centre National pour la Recherche Scientifique, the ECRin project (AO-INSU-2013), and the Institut de Physique du Globe de Paris. This research represents part of the work of the Laboratory of Excellence (LabEx) Dynamiques Territoriale (DYNAMITE) of the Pole Recherche et Enseignement Superieur Hautes Etudes Sorbonne Art et Metiers (PRES HESAM).</t>
  </si>
  <si>
    <t>10.1073/pnas.1307520110</t>
  </si>
  <si>
    <t>Green Submitted, Green Published, Bronze</t>
  </si>
  <si>
    <t>WOS:000325634200023</t>
  </si>
  <si>
    <t>Siegert, M; Ross, N; Corr, H; Kingslake, J; Hindmarsh, R</t>
  </si>
  <si>
    <t>Siegert, Martin; Ross, Neil; Corr, Hugh; Kingslake, Jonathan; Hindmarsh, Richard</t>
  </si>
  <si>
    <t>Late Holocene ice-flow reconfiguration in the Weddell Sea sector of West Antarctica</t>
  </si>
  <si>
    <t>Marine ice sheet; Internal layers; Ice rise; Ice sheet stability</t>
  </si>
  <si>
    <t>GROUNDING-LINE RETREAT; LAST GLACIAL MAXIMUM; RONNE ICE; STREAM-C; SHEET; RADAR; SHELF; STABILITY; EMBAYMENT; CONSTRAINTS</t>
  </si>
  <si>
    <t>Here we report Late Holocene ice sheet and grounding-line changes to the Weddell Sea sector of West Antarctica. Internal radio-echo layering within the Bungenstock Ice Rise, which comprises very slow-flowing ice separating the fast-flowing Institute and Moller ice streams, reveals ice deformed by former enhanced flow, overlain by un-deformed ice. The ice-rise surface is traversed by surface lineations explicable as diffuse ice-flow generated stripes, which thus capture the direction of flow immediately prior to the creation of the ice rise. The arrangement of internal layers can be explained by adjustment to the flow path of the Institute Ice Stream, during either a phase of ice sheet retreat not longer than similar to 4000 years ago or by wholesale expansion of the grounding-line from an already retreated situation not sooner than similar to 400 years ago. Some combination of these events, involving uplift of the ice rise bed during ice stream retreat and reorganisation, is also possible. Whichever the case, the implication is that the ice sheet upstream of the Bungenstock Ice Rise, which currently grounds over a &gt;1.5 km deep basin has been, and therefore may be, susceptible to significant change. (C) 2013 The Authors. Published by Elsevier Ltd. All rights reserved.</t>
  </si>
  <si>
    <t>[Siegert, Martin] Univ Bristol, Sch Geog Sci, Bristol Glaciol Ctr, Bristol BS8 1SS, Avon, England; [Ross, Neil] Newcastle Univ, Sch Geog Polit &amp; Sociol, Newcastle Upon Tyne NE1 7RU, Tyne &amp; Wear, England; [Corr, Hugh; Kingslake, Jonathan; Hindmarsh, Richard] British Antarctic Survey, Cambridge CB3 0ET, England</t>
  </si>
  <si>
    <t>University of Bristol; Newcastle University - UK; UK Research &amp; Innovation (UKRI); Natural Environment Research Council (NERC); NERC British Antarctic Survey</t>
  </si>
  <si>
    <t>Siegert, M (corresponding author), Univ Bristol, Sch Geog Sci, Bristol Glaciol Ctr, Bristol BS8 1SS, Avon, England.</t>
  </si>
  <si>
    <t>m.j.siegert@bris.ac.uk</t>
  </si>
  <si>
    <t>Hindmarsh, Richard/N-1195-2019; Siegert, Martin/M-9939-2019; Siegert, Martin J/A-3826-2008; Corr, Hugh/C-5398-2011</t>
  </si>
  <si>
    <t>Hindmarsh, Richard/0000-0003-1633-2416; Siegert, Martin/0000-0002-0090-4806; Siegert, Martin J/0000-0002-0090-4806;</t>
  </si>
  <si>
    <t>UK NERC AFI [NE/G013071/1]; BAS Polar Science for Planet Earth programme; COST Action [ES0701]; NERC [NE/J008087/1, NE/G013071/2, NE/F015526/1, bas0100027, NE/G013071/1] Funding Source: UKRI; Natural Environment Research Council [NE/G013071/1, NE/J008087/1, NE/F015526/1, NE/G013071/2, bas0100027] Funding Source: researchfish</t>
  </si>
  <si>
    <t>UK NERC AFI(UK Research &amp; Innovation (UKRI)Natural Environment Research Council (NERC)); BAS Polar Science for Planet Earth programme; COST Action(European Cooperation in Science and Technology (COST)); NERC(UK Research &amp; Innovation (UKRI)Natural Environment Research Council (NERC)); Natural Environment Research Council(UK Research &amp; Innovation (UKRI)Natural Environment Research Council (NERC))</t>
  </si>
  <si>
    <t>Funding was provided by UK NERC AFI grant NE/G013071/1. HC, JK and RH were supported by the BAS Polar Science for Planet Earth programme. Carl Robinson (Airborne Survey engineer), Ian Potten and Doug Cochrane (pilots) and Mark Oostlander (air mechanic) are thanked for their invaluable assistance in the field. This paper was partially supported by COST Action ES0701.</t>
  </si>
  <si>
    <t>10.1016/j.quascirev.2013.08.003</t>
  </si>
  <si>
    <t>WOS:000327908900007</t>
  </si>
  <si>
    <t>Golledge, NR; Levy, RH; McKay, RM; Fogwill, CJ; White, DA; Graham, AGC; Smith, JA; Hillenbrand, CD; Licht, KJ; Denton, GH; Ackert, RP; Maas, SM; Hall, BL</t>
  </si>
  <si>
    <t>Golledge, Nicholas R.; Levy, Richard H.; McKay, Robert M.; Fogwill, Christopher J.; White, Duanne A.; Graham, Alastair G. C.; Smith, James A.; Hillenbrand, Claus-Dieter; Licht, Kathy J.; Denton, George H.; Ackert, Robert P., Jr.; Maas, Sanne M.; Hall, Brenda L.</t>
  </si>
  <si>
    <t>Glaciology and geological signature of the Last Glacial Maximum Antarctic ice sheet</t>
  </si>
  <si>
    <t>Ice-sheet modelling; Glacial geology; Subglacial erosion; Plio-Pleistocene</t>
  </si>
  <si>
    <t>WEDDELL SEA EMBAYMENT; PINE ISLAND BAY; TROUGH-MOUTH FAN; ROSS SEA; BELLINGSHAUSEN SEA; DEGLACIAL HISTORY; EAST ANTARCTICA; LARSEMANN HILLS; GROUNDING-LINE; MASS-BALANCE</t>
  </si>
  <si>
    <t>Dynamical changes in contemporary ice sheets account for significant proportions of their current rates of mass loss, but assessing whether or not these processes are a natural part of ice-sheet evolution requires inference from palaeo-glaciological records. However, a robust mechanism for translating sparse geological data into meaningful interpretations of past glacier dynamics at the continental scale is lacking, since geological archives can be ambiguous, and often their chronology is only poorly constrained. To address this, we combine the interpretation of high-resolution Antarctic ice sheet model results with continent-wide geological evidence pertinent to the dynamical configuration of the ice sheet during the last, and possibly preceding, glacial maxima. We first focus on the thermal regime of the ice sheet, its pattern and velocity of flow, variability in likely subglacial erosion and sediment transport, and how these characteristics evolve during glacial transitions. We show that rapid basal sliding was restricted to discrete outlets that eroded and advected sediment toward and across the continental shelf primarily during the early stages of advance and retreat of the ice sheet, highlighting the need to consider time-transgressive behaviour in the interpretation of geological archives. Secondly, we present new modelling that attempts to improve the fit of our numerical model to geologically-based reconstructions in the Ross Sea. By accounting for locally-enhanced ablation in McMurdo Sound, our new simulation achieves a much closer fit to empirically-derived flow patterns than previously. Growth of the modelled Last Glacial Maximum ice sheet takes place primarily by marine ice accretion in the major embayments, as a consequence of cooler ocean temperatures and reduced sub-ice-shelf melting, and at its maximal extent represents a grounded ice volume excess above present of approximately 83 m sea-level equivalent. This figure thus provides an upper bound on the possible Antarctic contribution to deglacial meltwater pulses. (C) 2013 Elsevier Ltd. All rights reserved.</t>
  </si>
  <si>
    <t>[Golledge, Nicholas R.; McKay, Robert M.; Maas, Sanne M.] Victoria Univ Wellington, Antarctic Res Ctr, Wellington 6140, New Zealand; [Golledge, Nicholas R.; Levy, Richard H.] Avalon, GNS Sci, Lower Hutt 5011, New Zealand; [Fogwill, Christopher J.] Univ New S Wales, Climate Change Res Ctr, Sydney, NSW 2052, Australia; [White, Duanne A.] Univ Canberra, Inst Appl Ecol, Canberra, ACT 2601, Australia; [Graham, Alastair G. C.; Smith, James A.; Hillenbrand, Claus-Dieter] British Antarctic Survey, Cambridge CB3 0ET, England; [Licht, Kathy J.] Indiana Univ Purdue Univ, Dept Earth Sci, Indianapolis, IN 46202 USA; [Denton, George H.; Hall, Brenda L.] Univ Maine, Sch Earth &amp; Climate Sci, Orono, ME 04469 USA; [Denton, George H.; Hall, Brenda L.] Univ Maine, Climate Change Inst, Bryand Global Sci Ctr, Orono, ME 04469 USA; [Ackert, Robert P., Jr.] Harvard Univ, Dept Earth &amp; Planetary Sci, Cambridge, MA 02138 USA</t>
  </si>
  <si>
    <t>Victoria University Wellington; GNS Science - New Zealand; University of New South Wales Sydney; University of Canberra; UK Research &amp; Innovation (UKRI); Natural Environment Research Council (NERC); NERC British Antarctic Survey; Indiana University System; Indiana University-Purdue University Indianapolis; University of Maine System; University of Maine Orono; University of Maine System; University of Maine Orono; Harvard University</t>
  </si>
  <si>
    <t>Golledge, NR (corresponding author), Victoria Univ Wellington, Antarctic Res Ctr, Wellington 6140, New Zealand.</t>
  </si>
  <si>
    <t>nick.golledge@vuw.ac.nz</t>
  </si>
  <si>
    <t>Fogwill, Christopher/HPF-1150-2023; Smith, James A/N-1836-2013; Fogwill, Chris/AAW-3502-2021; McKay, Robert/N-2449-2015; White, Duanne A/E-6919-2012; Levy, Richard H/E-2477-2011</t>
  </si>
  <si>
    <t>Fogwill, Chris/0000-0002-6471-1106; McKay, Robert/0000-0002-5602-6985; Golledge, Nicholas/0000-0001-7676-8970; Licht, Kathy/0000-0002-2233-2853; Levy, Richard/0000-0002-8783-0167; Graham, Alastair/0000-0002-2880-2908; White, Duanne/0000-0003-0740-2072</t>
  </si>
  <si>
    <t>VUW Foundation grant ARCCIM; GNS Science; ANDRILL; Australian Research Council [FL100100195, FT120100004]; National Science Foundation; NERC [bas0100027] Funding Source: UKRI; Natural Environment Research Council [bas0100027] Funding Source: researchfish; Office of Polar Programs (OPP); Directorate For Geosciences [0944150] Funding Source: National Science Foundation</t>
  </si>
  <si>
    <t>VUW Foundation grant ARCCIM; GNS Science; ANDRILL; Australian Research Council(Australian Research Council); National Science Foundation(National Science Foundation (NSF)); NERC(UK Research &amp; Innovation (UKRI)Natural Environment Research Council (NERC)); Natural Environment Research Council(UK Research &amp; Innovation (UKRI)Natural Environment Research Council (NERC)); Office of Polar Programs (OPP); Directorate For Geosciences(National Science Foundation (NSF)NSF - Directorate for Geosciences (GEO))</t>
  </si>
  <si>
    <t>We are grateful to Ed Bueler, Constantine Khroulev &amp; Andy Aschwanden for ongoing PISM support, and to Kevin Buckley for access to and assistance with the VUW compute cluster. Discussions with Sarah Greenwood and Craig Stewart proved helpful in evolving some of the ideas presented in this paper. Stephen Livingstone kindly provided digitised LGM limits. NRG acknowledges financial support from VUW Foundation grant ARCCIM. NRG and RHL are grateful to GNS Science and the ANDRILL project for support. CIF is supported by Australian Research Council Fellowships FL100100195 and FT120100004. GHD and BLH acknowledge support from the National Science Foundation. We are grateful to the anonymous reviewers for comments that helped refine the manuscript.</t>
  </si>
  <si>
    <t>10.1016/j.quascirev.2013.08.011</t>
  </si>
  <si>
    <t>WOS:000327908900015</t>
  </si>
  <si>
    <t>EUROPEAN STEEL DESIGN AWARD 2013 for Bharati Antarctic Research Station Steel resists permanent Ice</t>
  </si>
  <si>
    <t>STAHL UND EISEN</t>
  </si>
  <si>
    <t>VERLAG STAHLEISEN MBH</t>
  </si>
  <si>
    <t>DUSSELDORF</t>
  </si>
  <si>
    <t>SOHNSTRABE 65, D-40237 DUSSELDORF, GERMANY</t>
  </si>
  <si>
    <t>0340-4803</t>
  </si>
  <si>
    <t>STAHL EISEN</t>
  </si>
  <si>
    <t>Stahl Eisen</t>
  </si>
  <si>
    <t>Metallurgy &amp; Metallurgical Engineering</t>
  </si>
  <si>
    <t>248BZ</t>
  </si>
  <si>
    <t>WOS:000326670000023</t>
  </si>
  <si>
    <t>DeYoung, T</t>
  </si>
  <si>
    <t>DeYoung, Tyce</t>
  </si>
  <si>
    <t>IceCube Collaboration</t>
  </si>
  <si>
    <t>Toward precision neutrino physics with DeepCore and beyond</t>
  </si>
  <si>
    <t>NUCLEAR INSTRUMENTS &amp; METHODS IN PHYSICS RESEARCH SECTION A-ACCELERATORS SPECTROMETERS DETECTORS AND ASSOCIATED EQUIPMENT</t>
  </si>
  <si>
    <t>5th workshop on very large volume neutrino telescopes</t>
  </si>
  <si>
    <t>OCT 12-14, 2011</t>
  </si>
  <si>
    <t>Erlangen, GERMANY</t>
  </si>
  <si>
    <t>Astroparticle physics; Neutrino oscillations; Dark matter</t>
  </si>
  <si>
    <t>INDUCED CASCADES; SEARCH; AMANDA</t>
  </si>
  <si>
    <t>DeepCore, the fully contained low energy extension to IceCube, extends IceCube's sensitivity for indirect dark matter searches and atmospheric neutrino oscillation physics as well as astrophysical neutrino sources in the southern sky. With the first year of DeepCore data we observe a significant sample of atmospheric neutrino-induced cascades, confirming the scientific potential of this approach. We discuss ideas for PINGU, a further IceCube infill array which aims for an energy threshold of around 1 GeV to support a precision IceCube neutrino physics program. In the longer term, we are exploring the feasibility of a precision neutrino physics program with a multi-megaton, sub-GeV detector in the Antarctic ice cap. (C) 2012 Elsevier B.V. All rights reserved.</t>
  </si>
  <si>
    <t>[DeYoung, Tyce] Penn State Univ, Dept Phys, University Pk, PA 16802 USA</t>
  </si>
  <si>
    <t>Pennsylvania Commonwealth System of Higher Education (PCSHE); Pennsylvania State University; Pennsylvania State University - University Park</t>
  </si>
  <si>
    <t>DeYoung, T (corresponding author), Penn State Univ, Dept Phys, 104 Davey Lab, University Pk, PA 16802 USA.</t>
  </si>
  <si>
    <t>deyoung@psu.edu</t>
  </si>
  <si>
    <t>DeYoung, Tyce/O-6895-2019; Sánchez, Juan Antonio Aguilar/H-4467-2015; Diaz Velez, Juan Carlos/T-2788-2018</t>
  </si>
  <si>
    <t>DeYoung, Tyce/0000-0003-4873-3783; Diaz Velez, Juan Carlos/0000-0002-0087-0693</t>
  </si>
  <si>
    <t>Direct For Mathematical &amp; Physical Scien [1210052] Funding Source: National Science Foundation; Division Of Physics [1210052] Funding Source: National Science Foundation</t>
  </si>
  <si>
    <t>Direct For Mathematical &amp; Physical Scien(National Science Foundation (NSF)NSF - Directorate for Mathematical &amp; Physical Sciences (MPS)); Division Of Physics(National Science Foundation (NSF)NSF - Directorate for Mathematical &amp; Physical Sciences (MPS))</t>
  </si>
  <si>
    <t>0168-9002</t>
  </si>
  <si>
    <t>1872-9576</t>
  </si>
  <si>
    <t>NUCL INSTRUM METH A</t>
  </si>
  <si>
    <t>Nucl. Instrum. Methods Phys. Res. Sect. A-Accel. Spectrom. Dect. Assoc. Equip.</t>
  </si>
  <si>
    <t>OCT 11</t>
  </si>
  <si>
    <t>10.1016/j.nima.2012.11.128</t>
  </si>
  <si>
    <t>Instruments &amp; Instrumentation; Nuclear Science &amp; Technology; Physics, Nuclear; Physics, Particles &amp; Fields</t>
  </si>
  <si>
    <t>Science Citation Index Expanded (SCI-EXPANDED); Conference Proceedings Citation Index - Science (CPCI-S)</t>
  </si>
  <si>
    <t>Instruments &amp; Instrumentation; Nuclear Science &amp; Technology; Physics</t>
  </si>
  <si>
    <t>194JT</t>
  </si>
  <si>
    <t>WOS:000322629200006</t>
  </si>
  <si>
    <t>High production of cold-tolerant chitinases on shrimp wastes in bench-top bioreactor by the Antarctic fungus Lecanicillium muscarium CCFEE 5003: Bioprocess optimization and characterization of two main enzymes</t>
  </si>
  <si>
    <t>Lecanicillium muscarium; Shrimp and crab wastes; RSM optimization; Cold-tolerant chitinolytic enzymes; Biochemical characterization</t>
  </si>
  <si>
    <t>PENICILLIUM-JANTHINELLUM P9; CHITINOLYTIC ENZYMES; TRICHODERMA-HARZIANUM; EXTRACELLULAR CHITINASE; VERTICILLIUM-LECANII; BACILLUS-CEREUS; PURIFICATION; STRAIN; TEMPERATURE; EXOCHITINASE</t>
  </si>
  <si>
    <t>The Antarctic fungus Lecanicillium muscarium CCFEE-5003 was preliminary cultivated in shaken flasks to check its chitinase production on rough shrimp and crab wastes. Production on shrimp shells was much higher than that on crab shells (104.6 +/- 9.3 and 48.6 +/- 13.1 U/L, respectively). For possible industrial applications, bioprocess optimization was studied on shrimp shells in bioreactor using RSM to state best conditions of pH and substrate concentration. Optimization improved the production by 137% (243.6 +/- 17.3). Two chitinolytic enzymes (CHIl and CHI2) were purified and characterized. CHIl (MW ca. 61 kDa) showed optima at pH 5.5 and 45 degrees C while CHI2 (MW ca. 25 kDa) optima were at pH 4.5 and 40 degrees C. Both enzymes maintained high activity levels at 5 degrees C and were inhibited by Fe++, Hg++ and Cu++. CHI2 was strongly allosamidin-sensitive. Both proteins were N-acetyl-hexosaminidases (E.C. 3.2.1.52) but showed different roles in chitin hydrolysis: CHI1 could be defined as chitobiase while CHI2 revealed a main eso-chitinase activity. (c) 2013 Elsevier Inc. All rights reserved.</t>
  </si>
  <si>
    <t>[Barghini, Paolo; Moscatelli, Deborah; Garzillo, Anna Maria Vittoria; Fenice, Massimiliano] Univ Tuscia, Largo Univ Snc, Dipartimento Sci Ecol &amp; Biol, I-01100 Viterbo, Italy; [Crognale, Silvia] Univ Tuscia, Largo Univ Snc, Dipartimento Innovaz Sistemi Biol Agroalimentari, I-01100 Viterbo, Italy</t>
  </si>
  <si>
    <t>Fenice, M (corresponding author), Univ Tuscia, Largo Univ Snc, Dipartimento Sci Ecol &amp; Biol, I-01100 Viterbo, Italy.</t>
  </si>
  <si>
    <t>Barghini, Paolo/AAA-5865-2020; Crognale, Silvia/C-7102-2012; Fenice, Massimiliano/L-9195-2014</t>
  </si>
  <si>
    <t>Crognale, Silvia/0000-0001-5249-7053; Barghini, Paolo/0000-0001-6014-1321; Garzillo, Anna Maria Vittoria/0000-0002-4284-1524; Fenice, Massimiliano/0000-0001-8504-0885</t>
  </si>
  <si>
    <t>PNRA (Programma Nazionale Ricerche Antartiche)</t>
  </si>
  <si>
    <t>This work was partially supported by the PNRA (Programma Nazionale Ricerche Antartiche). Special thanks to Dr. S. Sakuda, University of Tokyo, for the kind supply of allosamidin.</t>
  </si>
  <si>
    <t>OCT 10</t>
  </si>
  <si>
    <t>10.1016/j.enzmictec.2013.07.005</t>
  </si>
  <si>
    <t>231VQ</t>
  </si>
  <si>
    <t>WOS:000325446900006</t>
  </si>
  <si>
    <t>Glover, AG; Wiklund, H; Taboada, S; Avila, C; Cristobo, J; Smith, CR; Kemp, KM; Jamieson, AJ; Dahlgren, TG</t>
  </si>
  <si>
    <t>Glover, Adrian G.; Wiklund, Helena; Taboada, Sergio; Avila, Conxita; Cristobo, Javier; Smith, Craig R.; Kemp, Kirsty M.; Jamieson, Alan J.; Dahlgren, Thomas G.</t>
  </si>
  <si>
    <t>Bone-eating worms from the Antarctic: the contrasting fate of whale and wood remains on the Southern Ocean seafloor</t>
  </si>
  <si>
    <t>whale-fall; wood-fall; Annelida; Polychaeta; Siboglinidae; Xylophaga</t>
  </si>
  <si>
    <t>BORING BIVALVES; OSEDAX BONEWORMS; DEEP; FALLS; SIBOGLINIDAE; SEDIMENTS; ECOSYSTEM; PACIFIC</t>
  </si>
  <si>
    <t>We report the results from the first experimental study of the fate of whale and wood remains on the Antarctic seafloor. Using a baited free-vehicle lander design, we show that whale-falls in the Antarctic are heavily infested by at least two new species of bone-eating worm, Osedax antarcticus sp. nov. and Osedax deceptionensis sp. nov. In stark contrast, wood remains are remarkably well preserved with the absence of typical wood-eating fauna such as the xylophagainid bivalves. The combined whale-fall and wood-fall experiment provides support to the hypothesis that the Antarctic circumpolar current is a barrier to the larvae of deep-water species that are broadly distributed in other ocean basins. Since humans first started exploring the Antarctic, wood has been deposited on the seafloor in the form of shipwrecks and waste; our data suggest that this anthropogenic wood may be exceptionally well preserved. Alongside the new species descriptions, we conducted a comprehensive phylogenetic analyses of Osedax, suggesting the clade is most closely related to the frenulate tubeworms, not the vestimentiferans as previous reported.</t>
  </si>
  <si>
    <t>[Glover, Adrian G.; Wiklund, Helena; Kemp, Kirsty M.] Nat Hist Museum, Dept Life Sci, London SW7 5BD, England; [Taboada, Sergio; Avila, Conxita] Univ Barcelona, Fac Biol, Depto Biol Anim, E-08028 Barcelona, Spain; [Avila, Conxita] Biodivers Res Inst, Barcelona 08028, Spain; [Cristobo, Javier] Inst Espanol Oceanog, Ctr Oceanog Gijon, Gijon 33212, Spain; [Smith, Craig R.] Univ Hawaii Manoa, Dept Oceanog, Honolulu, HI 96822 USA; [Kemp, Kirsty M.] Zool Soc London, Inst Zool, London NV1 4RY, England; [Jamieson, Alan J.] Univ Aberdeen, Inst Biol &amp; Environm Sci, Oceanlab, Newburgh AB41 6AA, Aberdeen, Scotland; [Dahlgren, Thomas G.] Univ Gothenburg, Dept Biol &amp; Environm Sci, S-40530 Gothenburg, Sweden; [Dahlgren, Thomas G.] Uni Res, N-5020 Bergen, Norway</t>
  </si>
  <si>
    <t>Natural History Museum London; University of Barcelona; Spanish Institute of Oceanography; University of Hawaii System; University of Hawaii Manoa; Zoological Society of London; University of Aberdeen; University of Gothenburg</t>
  </si>
  <si>
    <t>Dahlgren, TG (corresponding author), Univ Gothenburg, Dept Biol &amp; Environm Sci, POB 463, S-40530 Gothenburg, Sweden.</t>
  </si>
  <si>
    <t>thda@mac.com</t>
  </si>
  <si>
    <t>Cristobo, Javier/M-1949-2014; Dahlgren, Thomas/X-6610-2019; Avila, Conxita/B-9466-2008; Taboada, Sergi/AAB-9390-2021</t>
  </si>
  <si>
    <t>Dahlgren, Thomas/0000-0001-6854-2031; Avila, Conxita/0000-0002-5489-8376; Taboada, Sergi/0000-0003-1669-1152; Jamieson, Alan/0000-0001-9835-2909</t>
  </si>
  <si>
    <t>Ymer 80; Swedish Research Council; Swedish Polar Research Secretariat; US NSF Office of Polar Programmes; Spanish Government [CGL2007-65453/ANT, ACTIQUIMWHALES CTM2008-03135-E/ANT]; Banco Popular</t>
  </si>
  <si>
    <t>Ymer 80; Swedish Research Council(Swedish Research Council); Swedish Polar Research Secretariat; US NSF Office of Polar Programmes; Spanish Government(Spanish Government); Banco Popular</t>
  </si>
  <si>
    <t>Ymer 80, the Swedish Research Council, the Swedish Polar Research Secretariat, US NSF Office of Polar Programmes, Spanish Government (ACTIQUIM projects CGL2007-65453/ANT and ACTIQUIMWHALES CTM2008-03135-E/ANT) and Banco Popular funded this research.</t>
  </si>
  <si>
    <t>OCT 7</t>
  </si>
  <si>
    <t>10.1098/rspb.2013.1390</t>
  </si>
  <si>
    <t>298JY</t>
  </si>
  <si>
    <t>WOS:000330321300012</t>
  </si>
  <si>
    <t>Gardner, C</t>
  </si>
  <si>
    <t>Gardner, Caleb</t>
  </si>
  <si>
    <t>Australia's dietary guidelines and the environmental impact of food from paddock to plate</t>
  </si>
  <si>
    <t>MEDICAL JOURNAL OF AUSTRALIA</t>
  </si>
  <si>
    <t>FISHERY</t>
  </si>
  <si>
    <t>Gardner, C (corresponding author), Univ Tasmania, Inst Marine &amp; Antarctic Studies, Hobart, Tas, Australia.</t>
  </si>
  <si>
    <t>caleb.gardner@utas.edu.au</t>
  </si>
  <si>
    <t>noakes, manny/H-2813-2013; Ridoutt, Bradley George/D-3329-2011; Selvey, Linda/B-8473-2017; McManus, Alexandra/D-2952-2011; Farmery, Anna/H-9696-2014; Green, Bridget S/G-3368-2014; Gardner, Caleb/I-7086-2013</t>
  </si>
  <si>
    <t>Selvey, Linda/0000-0001-8493-0974; Farmery, Anna/0000-0002-8938-0040; Gardner, Caleb/0000-0003-0324-4337</t>
  </si>
  <si>
    <t>AUSTRALASIAN MED PUBL CO LTD</t>
  </si>
  <si>
    <t>LEVEL 2, 26-32 PYRMONT BRIDGE RD, PYRMONT, NSW 2009, AUSTRALIA</t>
  </si>
  <si>
    <t>0025-729X</t>
  </si>
  <si>
    <t>1326-5377</t>
  </si>
  <si>
    <t>MED J AUSTRALIA</t>
  </si>
  <si>
    <t>Med. J. Aust.</t>
  </si>
  <si>
    <t>10.5694/mja13.10034</t>
  </si>
  <si>
    <t>240WD</t>
  </si>
  <si>
    <t>WOS:000326127500017</t>
  </si>
  <si>
    <t>Green, BS; Farmery, AK; Buxton, CD</t>
  </si>
  <si>
    <t>Green, Bridget S.; Farmery, Anna K.; Buxton, Colin D.</t>
  </si>
  <si>
    <t>[Green, Bridget S.; Farmery, Anna K.; Buxton, Colin D.] Univ Tasmania, Inst Marine &amp; Antarctic Studies, Hobart, Tas, Australia</t>
  </si>
  <si>
    <t>Green, BS (corresponding author), Univ Tasmania, Inst Marine &amp; Antarctic Studies, Hobart, Tas, Australia.</t>
  </si>
  <si>
    <t>bridget.green@utas.edu.au</t>
  </si>
  <si>
    <t>Buxton, Colin/AAV-3489-2021; Farmery, Anna/H-9696-2014</t>
  </si>
  <si>
    <t>Buxton, Colin/0000-0002-3256-5220; Farmery, Anna/0000-0002-8938-0040</t>
  </si>
  <si>
    <t>10.5694/mja12.11845</t>
  </si>
  <si>
    <t>WOS:000326127500016</t>
  </si>
  <si>
    <t>Qiao, PH; Zhang, P; Sun, XZ; Li, XC</t>
  </si>
  <si>
    <t>Qiao, Penghai; Zhang, Pin; Sun, Xizhai; Li, Xiaochen</t>
  </si>
  <si>
    <t>Echiniscus semifoveolatus (Heterotardigrada: Echiniscidae), a newly recorded species from China</t>
  </si>
  <si>
    <t>Tardigrada; Echiniscus semifoveolatus; new record; China</t>
  </si>
  <si>
    <t>YUNNAN PROVINCE; SP-NOV; TARDIGRADA; HYPSIBIIDAE</t>
  </si>
  <si>
    <t>Echiniscus semifoveolatus Ito, 1993 (Tardigrada: Echiniscidae) is reported as a new record for China, and was collected from the Mt. Jinggang, Jiangxi, and the Wuyi Mountains, south-eastern China. This is the first report of this species from outside the type locality, Mt. Fuji, central Japan. The number of dorsal spines that arise from the posterior edge of the scapular plate ranges from zero to five while the type specimen has two symmetrically arranged spines at B-d. The distance between the spines varies. These variations in both the number of spines and the distance between the spines could be considered as individual variation. We provide a detailed supplementary description for this species based on the Chinese specimens and supply a key to all known Chinese species of the genus Echiniscus.</t>
  </si>
  <si>
    <t>[Qiao, Penghai; Zhang, Pin; Sun, Xizhai; Li, Xiaochen] Shaanxi Normal Univ, Coll Life Sci, Xian 710062, Peoples R China; [Sun, Xizhai] Heze Univ, Dept Life Sci, Heze 274015, Peoples R China</t>
  </si>
  <si>
    <t>Shaanxi Normal University; Heze University</t>
  </si>
  <si>
    <t>Sun, XZ (corresponding author), Shaanxi Normal Univ, Coll Life Sci, Xian 710062, Peoples R China.</t>
  </si>
  <si>
    <t>sxzhzu@126.com</t>
  </si>
  <si>
    <t>National Natural Science Foundation of China [31071888]</t>
  </si>
  <si>
    <t>We thank the National Natural Science Foundation of China which supported our Project 31071888. We are grateful to Dr. Sandra J. McInnes, British Antarctic Survey, Cambridge, UK, for creating the identification key from original species descriptions since the original key by the authors has major flaws. We sincerely thank Dr. McInnes also for correcting and improving the grammar for us. We sincerely thank the two reviewers and the editor for their valuable comments which greatly improved the manuscript.</t>
  </si>
  <si>
    <t>OCT 3</t>
  </si>
  <si>
    <t>227QK</t>
  </si>
  <si>
    <t>WOS:000325128300006</t>
  </si>
  <si>
    <t>Calving fluxes and basal melt rates of Antarctic ice shelves</t>
  </si>
  <si>
    <t>SOUTHERN-OCEAN; MASS-BALANCE; BENEATH; GREENLAND; ICEBERGS; IRON; FLOW</t>
  </si>
  <si>
    <t>Iceberg calving has been assumed to be the dominant cause of mass loss for the Antarctic ice sheet, with previous estimates of the calving flux exceeding 2,000 gigatonnes per year(1,2). More recently, the importance of melting by the ocean has been demonstrated close to the grounding line and near the calving front(3-5). So far, however, no study has reliably quantified the calving flux and the basal mass balance (the balance between accretion and ablation at the ice-shelf base) for the whole of Antarctica. The distribution of fresh water in the Southern Ocean and its partitioning between the liquid and solid phases is therefore poorly constrained. Here we estimate the mass balance components for all ice shelves in Antarctica, using satellite measurements of calving flux and grounding-line flux, modelled ice-shelf snow accumulation rates(6) and a regional scaling that accounts for unsurveyed areas. We obtain a total calving flux of 1,321 +/- 144 gigatonnes per year and a total basal mass balance of -1,454 +/- 174 gigatonnes per year. This means that about half of the ice-sheet surface mass gain is lost through oceanic erosion before reaching the ice front, and the calving flux is about 34 per cent less than previous estimates derived from iceberg tracking(1,2,7). In addition, the fraction of mass loss due to basal processes varies from about 10 to 90 per cent between ice shelves. We find a significant positive correlation between basal mass loss and surface elevation change for ice shelves experiencing surface lowering(8) and enhanced discharge(9). We suggest that basal mass loss is a valuable metric for predicting future ice-shelf vulnerability to oceanic forcing.</t>
  </si>
  <si>
    <t>[Depoorter, M. A.; Bamber, J. L.; Griggs, J. A.] Univ Bristol, Sch Geog Sci, Bristol Glaciol Ctr, Bristol BS8 1SS, Avon, England; [Lenaerts, J. T. M.; Ligtenberg, S. R. M.; van den Broeke, M. R.] Univ Utrecht, Inst Marine &amp; Atmospher Res Utrecht, NL-3584 CC Utrecht, Netherlands; [Moholdt, G.] Univ Calif San Diego, Scripps Inst Oceanog, La Jolla, CA 92093 USA</t>
  </si>
  <si>
    <t>University of Bristol; Utrecht University; University of California System; University of California San Diego; Scripps Institution of Oceanography</t>
  </si>
  <si>
    <t>Depoorter, MA (corresponding author), Univ Bristol, Sch Geog Sci, Bristol Glaciol Ctr, Bristol BS8 1SS, Avon, England.</t>
  </si>
  <si>
    <t>mathieu.depoorter@bristol.ac.uk; j.bamber@bristol.ac.uk</t>
  </si>
  <si>
    <t>Van den Broeke, Michiel R./F-7867-2011; Ligtenberg, Stefan/AAF-8290-2020; Bamber, Jonathan/C-7608-2011; Lenaerts, Jan/D-9423-2012</t>
  </si>
  <si>
    <t>Van den Broeke, Michiel R./0000-0003-4662-7565; Bamber, Jonathan/0000-0002-2280-2819; Lenaerts, Jan/0000-0003-4309-4011</t>
  </si>
  <si>
    <t>European Union [226375]; Netherlands Polar Programme; NERC [NE/I027401/1]; Natural Environment Research Council [NE/I027401/1] Funding Source: researchfish; NERC [NE/I027401/1] Funding Source: UKRI</t>
  </si>
  <si>
    <t>European Union(European Union (EU)); Netherlands Polar Programme; NERC(UK Research &amp; Innovation (UKRI)Natural Environment Research Council (NERC)); Natural Environment Research Council(UK Research &amp; Innovation (UKRI)Natural Environment Research Council (NERC)); NERC(UK Research &amp; Innovation (UKRI)Natural Environment Research Council (NERC))</t>
  </si>
  <si>
    <t>This work was supported by funding from the ice2sea programme of the European Union Seventh Framework Programme, grant number 226375. This work is ice2sea contribution number 139. M.R.v.d.B., J.T.M.L. and S.R.M.L. acknowledge funding from the Netherlands Polar Programme. J.L.B. was supported by NERC grant NE/I027401/1.</t>
  </si>
  <si>
    <t>10.1038/nature12567</t>
  </si>
  <si>
    <t>227IM</t>
  </si>
  <si>
    <t>WOS:000325106000036</t>
  </si>
  <si>
    <t>Green, BS; Pederson, H; Gardner, C</t>
  </si>
  <si>
    <t>Green, Bridget S.; Pederson, Hugh; Gardner, Caleb</t>
  </si>
  <si>
    <t>Overlap of Home Ranges of Resident and Introduced Southern Rock Lobster after Translocation</t>
  </si>
  <si>
    <t>REVIEWS IN FISHERIES SCIENCE</t>
  </si>
  <si>
    <t>assisted migration; acoustic tracking; Jasus edwardsii; size dominance; translocation</t>
  </si>
  <si>
    <t>MARINE STOCK ENHANCEMENT; JASUS-EDWARDSII; ASSISTED COLONIZATION; COASTAL FISHERIES; COLOR VARIATION; SIZE; MANAGEMENT; SURVIVAL; CONSERVATION; CAROTENOIDS</t>
  </si>
  <si>
    <t>Translocation, sea ranching, and assisted migration are under scrutiny as methods to augment populations so that harvests can be increased or populations can better adapt to changing environmental conditions. Understanding the ecological effects of any such environmental manipulation is critical to its successful application. One potential ecological effect of any type of stock enhancement is the displacement of either resident or released groups such that finding shelter or foraging habitat is adversely affected. This study examined behavioral interactions of resident and translocated Jasus edwardsii rock lobster after an introduction of 1,961 small pale phenotypic morphs to an area populated by the resident large red phenotypic morph. This translocation was an experimental stock enhancement conducted as part of a larger study to increase the yield and value of the fishery. Most translocated individuals established a home range within a couple of days of release (generally &lt;2), and these ranges were generally less than 1.0 ha in size. Home-range kernels and foraging ranges overlapped between the two morphs, and there was no evidence of avoidance (Jacob's cohesion index 0.01, Z = 1.06, p = 0.28). This case of translocation for stock enhancement between ecotypes had no detectable adverse effect on either the resident or the translocated population, and in this species, stock enhancement could become part of an integrated conservation and harvest optimization strategy.</t>
  </si>
  <si>
    <t>[Green, Bridget S.; Pederson, Hugh; Gardner, Caleb] Univ Tasmania, Inst Marine &amp; Antarctic Studies, Hobart, Tas 7001, Australia; [Pederson, Hugh] Myriax Software PL, Hobart, Tas, Australia</t>
  </si>
  <si>
    <t>Green, BS (corresponding author), Univ Tasmania, Inst Marine &amp; Antarctic Studies, Private Bag 49, Hobart, Tas 7001, Australia.</t>
  </si>
  <si>
    <t>Pederson, Hugh/HTO-8689-2023; Green, Bridget S/G-3368-2014; Gardner, Caleb/I-7086-2013</t>
  </si>
  <si>
    <t>Pederson, Hugh/0000-0002-0899-2978; Gardner, Caleb/0000-0003-0324-4337</t>
  </si>
  <si>
    <t>1064-1262</t>
  </si>
  <si>
    <t>1547-6553</t>
  </si>
  <si>
    <t>REV FISH SCI</t>
  </si>
  <si>
    <t>Rev. Fish. Sci.</t>
  </si>
  <si>
    <t>OCT 2</t>
  </si>
  <si>
    <t>10.1080/10641262.2013.799389</t>
  </si>
  <si>
    <t>252NO</t>
  </si>
  <si>
    <t>WOS:000327013000005</t>
  </si>
  <si>
    <t>Cao, SN; Wei, XL; Zhou, QM; Wei, JC</t>
  </si>
  <si>
    <t>Cao, Shunan; Wei, Xinli; Zhou, Qiming; Wei, Jiangchun</t>
  </si>
  <si>
    <t>Phyllobaeis crustacea sp nov from China</t>
  </si>
  <si>
    <t>MYCOTAXON</t>
  </si>
  <si>
    <t>Ascomycota; Baeomycetaceae; chemistry; molecular systematics; morphology</t>
  </si>
  <si>
    <t>The lichen-forming fungus genus, Phyllobaeis, is reported for the first time from China. A new crustose species, P. crustacea, is described and illustrated.</t>
  </si>
  <si>
    <t>[Cao, Shunan; Wei, Xinli; Zhou, Qiming; Wei, Jiangchun] Chinese Acad Sci, Inst Microbiol, State Key Lab Mycol, Beijing 100101, Peoples R China; [Cao, Shunan] Univ Chinese Acad Sci, Beijing 100049, Peoples R China</t>
  </si>
  <si>
    <t>Chinese Academy of Sciences; Institute of Microbiology, CAS; Chinese Academy of Sciences; University of Chinese Academy of Sciences, CAS</t>
  </si>
  <si>
    <t>Wei, JC (corresponding author), Chinese Acad Sci, Inst Microbiol, State Key Lab Mycol, 1 Beichen West Rd, Beijing 100101, Peoples R China.</t>
  </si>
  <si>
    <t>weijc2004@126.com</t>
  </si>
  <si>
    <t>zhou, qi/JEF-7253-2023; wei, jiang/GRX-7907-2022; Zhou, Qi/JTT-3417-2023</t>
  </si>
  <si>
    <t>zhou, qi ming/0000-0002-2892-6329</t>
  </si>
  <si>
    <t>Ministry of Science and Technology of PRC [2006FY120100]; Chinese Arctic and Antarctic Administration [2011GW12016]</t>
  </si>
  <si>
    <t>Ministry of Science and Technology of PRC; Chinese Arctic and Antarctic Administration</t>
  </si>
  <si>
    <t>We are very grateful to Dr. Harrie Sipman and Dr. Robert Lucking for reviewing the manuscript. Our thanks are also given to Drs. Shaun Pennycook, Wen-Ying Zhuang, and Klaus Kalb for valuable and constructive comments on previous versions of this paper and providing an important literature, and to the curator of L who kindly sent a specimen on loan. Special thanks are due to Ms. H. Deng for giving considerable assistance during the studies in HMAS-L. This research was supported by the Ministry of Science and Technology of PRC (2006FY120100) and the Chinese Arctic and Antarctic Administration (2011GW12016).</t>
  </si>
  <si>
    <t>MYCOTAXON LTD</t>
  </si>
  <si>
    <t>ITHACA</t>
  </si>
  <si>
    <t>PO BOX 264, ITHACA, NY 14851-0264 USA</t>
  </si>
  <si>
    <t>0093-4666</t>
  </si>
  <si>
    <t>Mycotaxon</t>
  </si>
  <si>
    <t>OCT-DEC</t>
  </si>
  <si>
    <t>10.5248/126.31</t>
  </si>
  <si>
    <t>AD7DZ</t>
  </si>
  <si>
    <t>WOS:000333423400005</t>
  </si>
  <si>
    <t>Lal, RP; Ram, S</t>
  </si>
  <si>
    <t>Lal, R. P.; Ram, Suresh</t>
  </si>
  <si>
    <t>Compilation of ozonesonde observation over Schirmacher oasis east Antarctic from 1999-2007</t>
  </si>
  <si>
    <t>MAUSAM</t>
  </si>
  <si>
    <t>Antarctic ozone hole; Schirmacher oasis; Seasonal variation; Tropospheric ozone climatology; Vertical distribution Ozone; Dobson spectrophotometer; Standard instrument; Inter-comparison</t>
  </si>
  <si>
    <t>DAKSHIN-GANGOTRI; DEPLETION</t>
  </si>
  <si>
    <t>Regular ozone profile measurement over Antarctica has been made by India Meteorological Department over Indian second station Maitri (70.7 degrees S, 11.7 degrees E) with the help of Indian electro-chemical ozonesonde. Ozone density in the vertical column of the atmosphere is computed with weekly ozone soundings taken throughout the year. During the month of September- October more frequent soundings were taken to study vertical profile of atmospheric ozone and features of ozone hole. The mean monthly and yearly variation of ozone and temperature from surface to 10 hPa has been computed and analyzed from the ozonesonde ascents for the period 1999 to 2007. The study has shown profound depletion in October and lesser but substantial depletion in September, in association with the ozone hole. Depletion is most pronounced between about 250 and 20 hPa in October, with maximum local ozone losses near 70 hPa &amp; 100 hPa levels and in September at 70 hPa. Ozone correlations with temperature for several pressure levels have revealed new insights into the causes and extent of ozone change. Lowest annual mean temperature varies from -55 to -63 degrees C between 300 to 50 hPa in all the year. The temperature less than -80 degrees C in months of August &amp; September at 70 hPa &amp; 100 hPa levels and about -70 degrees C in month of October at 70 hPa &amp; 100 hPa levels can be attributed as an indicator of ozone depletion in months of October.</t>
  </si>
  <si>
    <t>[Lal, R. P.; Ram, Suresh] Indian Meteorol Dept, New Delhi 110003, India</t>
  </si>
  <si>
    <t>Ministry of Earth Sciences (MoES) - India; India Meteorological Department (IMD)</t>
  </si>
  <si>
    <t>Lal, RP (corresponding author), Indian Meteorol Dept, New Delhi 110003, India.</t>
  </si>
  <si>
    <t>lalrp@yahoo.com</t>
  </si>
  <si>
    <t>INDIA METEOROLOGICAL DEPT</t>
  </si>
  <si>
    <t>NEW DELHI</t>
  </si>
  <si>
    <t>MAUSAM BHAWAN, LODI RD, NEW DELHI, 110 003, INDIA</t>
  </si>
  <si>
    <t>0252-9416</t>
  </si>
  <si>
    <t>Mausam</t>
  </si>
  <si>
    <t>OCT</t>
  </si>
  <si>
    <t>AA2KC</t>
  </si>
  <si>
    <t>WOS:000330922500003</t>
  </si>
  <si>
    <t>Kim, H; Cai, X; Clauer, CR; Kunduri, BSR; Matzka, J; Stolle, C; Weimer, DR</t>
  </si>
  <si>
    <t>Kim, H.; Cai, X.; Clauer, C. R.; Kunduri, B. S. R.; Matzka, J.; Stolle, C.; Weimer, D. R.</t>
  </si>
  <si>
    <t>Geomagnetic response to solar wind dynamic pressure impulse events at high-latitude conjugate points</t>
  </si>
  <si>
    <t>magnetic impulse event; conjugate response; solar wind dynamic pressure impulse</t>
  </si>
  <si>
    <t>TRAVELING CONVECTION VORTICES; SUDDEN COMMENCEMENTS; MAGNETIC-FIELD; TWIN-VORTICES; BOUNDARY-LAYER; CURRENT SYSTEM; ART.; MAGNETOSPHERE; MAGNETOPAUSE; MODEL</t>
  </si>
  <si>
    <t>It is commonly assumed that geomagnetic activity is symmetrical between interhemispheric conjugate locations. However, in many cases, such an assumption proved to be wrong. Especially in high-latitude regions where the magnetosphere and the ionosphere are coupled in a more complex and dynamic fashion, asymmetrical features in geomagnetic phenomena are often observed. This paper presents investigations of geomagnetic responses to sudden change in solar wind pressure to examine interhemispheric conjugate behavior of magnetic field variations, which have rarely been made mainly due to the difficulty of facilitating conjugate-point measurements. In this study, using magnetometer data from three conjugate stations in Greenland and Antarctica, solar wind pressure impulse events (&gt;5 nPa in &lt;16 min) and their geomagnetic responses, typically seen as magnetic impulse events, have been examined. Our results suggest that asymmetry in ground response patterns between the conjugate locations often shows little correlation with interplanetary magnetic field orientation, season, and ionospheric conductivity, indicating that much more complex mechanism might be involved in creating interhemispheric conjugate behavior.</t>
  </si>
  <si>
    <t>[Kim, H.; Cai, X.; Clauer, C. R.; Kunduri, B. S. R.; Weimer, D. R.] Virginia Tech, Ctr Space Sci &amp; Engn Res, Blacksburg, VA 24060 USA; [Matzka, J.; Stolle, C.] Tech Univ Denmark, Nat Space Inst, Copenhagen, Denmark</t>
  </si>
  <si>
    <t>Virginia Polytechnic Institute &amp; State University; Technical University of Denmark</t>
  </si>
  <si>
    <t>Kim, H (corresponding author), Virginia Tech, Ctr Space Sci &amp; Engn Res, Ste 1000,1901 Innovation Dr, Blacksburg, VA 24060 USA.</t>
  </si>
  <si>
    <t>hmkim@vt.edu</t>
  </si>
  <si>
    <t>Weimer, Daniel/AAI-7577-2020; Kunduri, Bharat/T-5470-2019; Matzka, Jurgen/J-9420-2014</t>
  </si>
  <si>
    <t>Weimer, Daniel/0000-0003-1264-3612; Kunduri, Bharat/0000-0002-7406-7641; Stolle, Claudia/0000-0002-5717-1623; Matzka, Jurgen/0000-0001-9926-2796</t>
  </si>
  <si>
    <t>National Science Foundation [ANT-0636691, ANT-0839858, ATM-922979, AGS-1049403, AGS-1150789]; Div Atmospheric &amp; Geospace Sciences; Directorate For Geosciences [1243058] Funding Source: National Science Foundation; Div Atmospheric &amp; Geospace Sciences; Directorate For Geosciences [1049403, 1150789] Funding Source: National Science Foundation</t>
  </si>
  <si>
    <t>National Science Foundation(National Science Foundation (NSF)); Div Atmospheric &amp; Geospace Sciences; Directorate For Geosciences(National Science Foundation (NSF)NSF - Directorate for Geosciences (GEO)); Div Atmospheric &amp; Geospace Sciences; Directorate For Geosciences(National Science Foundation (NSF)NSF - Directorate for Geosciences (GEO))</t>
  </si>
  <si>
    <t>Support for this research has been provided by the National Science Foundation through grants ANT-0636691, ANT-0839858, ATM-922979, AGS-1049403, and AGS-1150789 to Virginia Tech. The ACE and GOES data were provided from coordinated data analysis web (CDAWeb), http://cdaweb.gsfc.nasa.gov. The authors would like to thank the following persons/institute for providing magnetometer data: Mark Engebretson and David Murr (MACCS) for the Pangnirtung (PGG) data; Jeff Love at USGS Geomagnetism Program and Lorne McKee at Natural Resources Canada for the INTERMAGNET data (IQA); British Antarctic Survey for the BAS LPM data; and PENGUIn team for the AGO P03 and South Pole data.</t>
  </si>
  <si>
    <t>10.1002/jgra.50555</t>
  </si>
  <si>
    <t>296JH</t>
  </si>
  <si>
    <t>WOS:000330180600009</t>
  </si>
  <si>
    <t>Gomes, V; Passos, MJDCR; Rocha, AJD; dos Santos, TDA; Machado, ASD; Ngan, PV</t>
  </si>
  <si>
    <t>Gomes, Vicente; Campos Rocha Passos, Maria Jose de Arruda; da Silva Rocha, Arthur Jose; Alves dos Santos, Thais da Cruz; Dias Machado, Alex Sander; Phan Van Ngan</t>
  </si>
  <si>
    <t>METABOLIC RATES OF THE ANTARCTIC AMPHIPOD Gondogeneia antarctica AT DIFFERENT TEMPERATURES AND SALINITIES</t>
  </si>
  <si>
    <t>BRAZILIAN JOURNAL OF OCEANOGRAPHY</t>
  </si>
  <si>
    <t>Antarctica; Amphipods; Metabolism; Temperature; Salinity</t>
  </si>
  <si>
    <t>CLIMATE-CHANGE; NITROGEN-EXCRETION; THERMAL TOLERANCE; FISH; ECOSYSTEMS; STRESS; GROWTH; ZOOPLANKTON; ECTOTHERMS; DIVERSITY</t>
  </si>
  <si>
    <t>Changes in environmental factors may deeply affect the energy budget of Antarctic organisms as many of them are stenothermal and/or stenohaline ectotherms. In this context, the aim of this study is to contribute to knowledge on variations in the energy demand of the Antarctic amphipod, Gondogeneia antarctica as a function of temperature and salinity. Experiments were held at the Brazilian Antarctic Station Comandante Ferraz, under controlled conditions. Animals collected at Admiralty Bay were acclimated to temperatures of 0 degrees C; 2.5 degrees C and 5 degrees C and to salinities of 35, 30 and 25. Thirty measurements were made for each of the nine combinations of the three temperatures and three salinities, totalling 270 measurements. Metabolic rates were assessed by oxygen consumption and total nitrogenous ammonia excretion, in sealed respirometers. When acclimated to salinities 30 or 35, metabolic rates at 0 degrees C and 2.5 degrees C were very similar indicating a possible mechanism of metabolic compensation for temperature. At 5.0 degrees C, however, metabolic rates were always higher. Lower salinities enhanced the effects of temperature on metabolism and ammonia excretion rates. The physiological adaptations of individuals of G. antarctica suggest adaptive mechanisms for energy saving, adjusted to an environment with stable conditions of temperature and salinity. Little is known about the joint effects of salinity and temperature and this study is an important contribution to the understanding of the mechanism of polar organisms in their adaptation to both factors.</t>
  </si>
  <si>
    <t>[Gomes, Vicente] Univ Sao Paulo, Inst Oceanog, BR-05508120 Sao Paulo, Brazil; Univ Monte Serrat UNIMONTE, BR-11015530 Santos, SP, Brazil; Fac Unidas Norte Minas FUNORTE, BR-39404006 Montes Claros, MG, Brazil</t>
  </si>
  <si>
    <t>Universidade de Sao Paulo</t>
  </si>
  <si>
    <t>Gomes, V (corresponding author), Univ Sao Paulo, Inst Oceanog, Praca Oceanog 191, BR-05508120 Sao Paulo, Brazil.</t>
  </si>
  <si>
    <t>vicgomes@usp.br</t>
  </si>
  <si>
    <t>Machado, Alex Sander Dias/GOV-5895-2022; Gomes, Vicente/C-5880-2015</t>
  </si>
  <si>
    <t>Machado, Alex Sander Dias/0000-0001-9102-2990; Gomes, Vicente/0000-0001-8201-2301</t>
  </si>
  <si>
    <t>Programa Antartico Brasileiro (CNPq-PROANTAR); Secretaria da Comissao Interministerial para os Recursos do Mar (SECIRM); Instituto Oceanografico da Universidade de Sao Paulo (IOUSP)</t>
  </si>
  <si>
    <t>We wish to thank the Programa Antartico Brasileiro (CNPq-PROANTAR) for its financial support, the Secretaria da Comissao Interministerial para os Recursos do Mar (SECIRM) and the Instituto Oceanografico da Universidade de Sao Paulo (IOUSP) for their logistic support. We are also grateful to the Brazilian Antarctic Station Comandante Ferraz for their assistance and hospitality.</t>
  </si>
  <si>
    <t>INST OCEANOGRAFICO, UNIV SAO PAULO</t>
  </si>
  <si>
    <t>SAO PAULO</t>
  </si>
  <si>
    <t>PRACA DO OCEANOGRAFICO, 191, CIDADE UNIVERSITARIA, SAO PAULO, SP 00000, BRAZIL</t>
  </si>
  <si>
    <t>1679-8759</t>
  </si>
  <si>
    <t>1982-436X</t>
  </si>
  <si>
    <t>BRAZ J OCEANOGR</t>
  </si>
  <si>
    <t>Braz. J. Oceanogr.</t>
  </si>
  <si>
    <t>10.1590/S1679-87592013000400005</t>
  </si>
  <si>
    <t>294LO</t>
  </si>
  <si>
    <t>gold, Green Submitted, Green Published</t>
  </si>
  <si>
    <t>WOS:000330047900005</t>
  </si>
  <si>
    <t>Rotstayn, LD</t>
  </si>
  <si>
    <t>Rotstayn, Leon D.</t>
  </si>
  <si>
    <t>Projected effects of declining anthropogenic aerosols on the southern annular mode</t>
  </si>
  <si>
    <t>ENVIRONMENTAL RESEARCH LETTERS</t>
  </si>
  <si>
    <t>aerosols; climate change; southern annular mode; climate projection; CMIP5</t>
  </si>
  <si>
    <t>ATMOSPHERIC CIRCULATION RESPONSE; GREENHOUSE-GAS; ANTARCTIC OSCILLATION; CLIMATE RESPONSE; TRENDS; CMIP5; SIMULATIONS; VARIABILITY; INCREASES; RAINFALL</t>
  </si>
  <si>
    <t>Declining emissions of anthropogenic aerosols have been shown to contribute to global warming in climate projections from the Coupled Model Intercomparison Project Phase 5 (CMIP5). This study considers the response of the southern annular mode (SAM) in austral summer to declining aerosols in simulations forced by Representative Concentration Pathway 4.5 (RCP4.5) using CSIRO-Mk3.6, a CMIP5-generation model. A ten-member ensemble forced by RCP4.5 for the period 2006-2100 is compared with another experiment, which is identical except that emissions of anthropogenic aerosols are held fixed at their 2005 values. With fixed aerosol emissions, the model simulates a negative (but statistically insignificant) ensemble-mean SAM trend in austral summer, suggesting that the effects of recovering stratospheric ozone slightly outweigh the effects of increasing long-lived greenhouse gases (GHGs). In contrast, the standard RCP4.5 experiment (including additional warming due to declining aerosols) simulates a positive ensemble-mean SAM trend, and the difference between the two trends is significant at 5%. The response of Southern Hemisphere zonal-mean atmospheric circulation and temperature to declining aerosols resembles the response to increasing GHGs; this suggests that the positive SAM trend due to declining aerosols may be driven by mechanisms that are similar to those that cause the positive SAM trend in response to increasing GHGs.</t>
  </si>
  <si>
    <t>CSIRO Marine &amp; Atmospher Res, Ctr Australian Weather &amp; Climate Res, Aspendale, Vic 3195, Australia</t>
  </si>
  <si>
    <t>Rotstayn, LD (corresponding author), CSIRO Marine &amp; Atmospher Res, Ctr Australian Weather &amp; Climate Res, Aspendale, Vic 3195, Australia.</t>
  </si>
  <si>
    <t>Leon.Rotstayn@csiro.au</t>
  </si>
  <si>
    <t>Rotstayn, Leon/A-1756-2012; Liu, Yangang/H-6154-2011</t>
  </si>
  <si>
    <t>Rotstayn, Leon/0000-0002-2385-4223;</t>
  </si>
  <si>
    <t>Australian Climate Change Science Program</t>
  </si>
  <si>
    <t>The author thanks Tim Cowan and two anonymous referees for their insightful comments on the letter, Alena Chrastansky and Mark Collier for help with scripting, and acknowledges partial funding support by the Australian Climate Change Science Program.</t>
  </si>
  <si>
    <t>1748-9326</t>
  </si>
  <si>
    <t>ENVIRON RES LETT</t>
  </si>
  <si>
    <t>Environ. Res. Lett.</t>
  </si>
  <si>
    <t>10.1088/1748-9326/8/4/044028</t>
  </si>
  <si>
    <t>288IJ</t>
  </si>
  <si>
    <t>WOS:000329604900035</t>
  </si>
  <si>
    <t>Boerner, M; Hoffman, JI; Amos, W; Chakarov, N; Kruger, O</t>
  </si>
  <si>
    <t>Boerner, M.; Hoffman, J. I.; Amos, W.; Chakarov, N.; Kruger, O.</t>
  </si>
  <si>
    <t>No correlation between multi-locus heterozygosity and fitness in the common buzzard despite heterozygote advantage for plumage colour</t>
  </si>
  <si>
    <t>JOURNAL OF EVOLUTIONARY BIOLOGY</t>
  </si>
  <si>
    <t>Buteo buteo; heterozygote advantage; HFC; microsatellites; population structure</t>
  </si>
  <si>
    <t>MALE REPRODUCTIVE SUCCESS; ANTARCTIC FUR SEALS; BODY CONDITION; INBREEDING DEPRESSION; PARENTAL RELATEDNESS; BUTEO-BUTEO; LINKAGE DISEQUILIBRIUM; MICROSATELLITE MARKERS; INDIVIDUAL FITNESS; SEXUAL SELECTION</t>
  </si>
  <si>
    <t>Correlations between heterozygosity and fitness are frequently found but rarely well understood. Fitness can be affected by single loci of large effect which correlate with neutral markers via linkage disequilibrium, or as a result of variation in genome-wide heterozygosity following inbreeding. We explored these alternatives in the common buzzard, a raptor species in which three colour morphs differ in their lifetime reproductive success. Using 18 polymorphic microsatellite loci, we evaluated potential genetic differences among the morphs which may lead to subpopulation structuring and tested for correlations between three fitness-related traits and heterozygosity, both genome wide and at each locus separately. Despite their assortative mating pattern, the buzzard morphs were found to be genetically undifferentiated. Multilocus heterozygosity was only found to be correlated with a single fitness-related trait, infection with the blood parasite, Leucocytozoon buteonis, and this was via interactions with vole abundance and age. One locus also showed a significant relationship with blood parasite infection and ectoparasite infestation. The vicinity of this locus contains two genes, one of which is potentially implicated in the immune system of birds. We conclude that genome-wide heterozygosity is unlikely to be a major determinant of parasite burden and body condition in the polymorphic common buzzard.</t>
  </si>
  <si>
    <t>[Boerner, M.; Hoffman, J. I.; Chakarov, N.; Kruger, O.] Univ Bielefeld, Dept Anim Behav, D-33615 Bielefeld, Germany; [Amos, W.] Univ Cambridge, Dept Zool, Cambridge, England</t>
  </si>
  <si>
    <t>University of Bielefeld; University of Cambridge</t>
  </si>
  <si>
    <t>Boerner, M (corresponding author), Univ Bielefeld, Dept Anim Behav, Morgenbreede 45, D-33615 Bielefeld, Germany.</t>
  </si>
  <si>
    <t>martina.boerner@uni-bielefeld.de</t>
  </si>
  <si>
    <t>Hoffman, Joseph/K-7725-2012</t>
  </si>
  <si>
    <t>Hoffman, Joseph/0000-0001-5895-8949</t>
  </si>
  <si>
    <t>Marie-Curie Fellowship [27 5049]; Volkswagen Foundation [I/84 196]</t>
  </si>
  <si>
    <t>Marie-Curie Fellowship(European Union (EU)); Volkswagen Foundation(Volkswagen)</t>
  </si>
  <si>
    <t>We thank Thomas Grunkorn for his continued, invaluable help with data collection, Cor Dijkstra for the molecular sexing of chicks and two anonymous reviewers for their helpful comments. M.B. was supported by a Marie-Curie Fellowship (grant no. 27 5049) and N.C. by the Volkswagen Foundation (grant no. I/84 196). The authors declare no conflict of interest.</t>
  </si>
  <si>
    <t>1010-061X</t>
  </si>
  <si>
    <t>1420-9101</t>
  </si>
  <si>
    <t>J EVOLUTION BIOL</t>
  </si>
  <si>
    <t>J. Evol. Biol.</t>
  </si>
  <si>
    <t>10.1111/jeb.12221</t>
  </si>
  <si>
    <t>286MJ</t>
  </si>
  <si>
    <t>WOS:000329473100015</t>
  </si>
  <si>
    <t>García-Godos, I; Van Waerebeek, K; Alfaro-Shigueto, J; Mangel, JC</t>
  </si>
  <si>
    <t>Garcia-Godos, Ignacio; Van Waerebeek, Koen; Alfaro-Shigueto, Joanna; Mangel, Jeffrey C.</t>
  </si>
  <si>
    <t>Entanglements of Large Cetaceans in Peru: Few Records but High Risk</t>
  </si>
  <si>
    <t>PACIFIC SCIENCE</t>
  </si>
  <si>
    <t>POPULATIONS; FISHERIES; ECUADOR; WHALES</t>
  </si>
  <si>
    <t>Entanglements of large cetaceans with fishing gears were only recorded four times in Peru before 1995, despite the intensive use of gill nets and longlines. This work compiles recent events of large cetacean entanglement in Peru, from direct observations, local news, and online graphical evidence. A total of 15 confirmed entanglements was recorded between 1995 and 2012, involving humpback whales, Megaptera novaeangliae (n = 10); sperm whales, Physeter macrocephalus (n = 3); an Antarctic minke whale, Balaenoptera bonaerensis; and an unidentified balaenopterid. Gill nets were involved in 80% of the entanglements, followed by longlines. Prevalence of humpback whale entanglements may be associated with the neritic location of the majority of gill net fishing sets, interfering with the whale's migratory routes and reproductive habitat in northern Peru. Intensive use of gill nets and increasing use of longlines in artisanal fisheries represent serious threats to conservation of large cetaceans in Peru and the Southeast Pacific and need to be addressed by national and regional conservation authorities.</t>
  </si>
  <si>
    <t>[Garcia-Godos, Ignacio; Van Waerebeek, Koen] Ctr Peruano Estudios Cetol CEPEC, Lima, Peru; [Alfaro-Shigueto, Joanna; Mangel, Jeffrey C.] Univ Exeter, Penryn TR10 9EZ, Cornwall, England; [Alfaro-Shigueto, Joanna; Mangel, Jeffrey C.] Pro Delphinus, Lima 18, Peru</t>
  </si>
  <si>
    <t>University of Exeter; Delphi</t>
  </si>
  <si>
    <t>García-Godos, I (corresponding author), Ctr Peruano Estudios Cetol CEPEC, Lima, Peru.</t>
  </si>
  <si>
    <t>ag_godos@yahoo.com</t>
  </si>
  <si>
    <t>Mangel, Jeffrey/0000-0002-9371-8606; Alfaro Shigueto, Joanna/0000-0002-5148-7686</t>
  </si>
  <si>
    <t>Darwin Sustainable Artisanal Fisheries Initiative in Peru and Whitley Fund for Nature</t>
  </si>
  <si>
    <t>J.C.M. and J.A.S. are supported by the Darwin Sustainable Artisanal Fisheries Initiative in Peru and Whitley Fund for Nature. University of Exeter, Cornwall Campus, Penryn, Cornwall, TR10 9EZ, United Kingdom, and Pro Delphinus, Enrique Palacios 630-204, Lima 18, Peru.</t>
  </si>
  <si>
    <t>UNIV HAWAII PRESS</t>
  </si>
  <si>
    <t>HONOLULU</t>
  </si>
  <si>
    <t>2840 KOLOWALU ST, HONOLULU, HI 96822 USA</t>
  </si>
  <si>
    <t>0030-8870</t>
  </si>
  <si>
    <t>1534-6188</t>
  </si>
  <si>
    <t>PAC SCI</t>
  </si>
  <si>
    <t>Pac. Sci.</t>
  </si>
  <si>
    <t>10.2984/67.4.3</t>
  </si>
  <si>
    <t>Marine &amp; Freshwater Biology; Zoology</t>
  </si>
  <si>
    <t>283PU</t>
  </si>
  <si>
    <t>WOS:000329260300003</t>
  </si>
  <si>
    <t>di Pasquo, M; Martin, JE</t>
  </si>
  <si>
    <t>di Pasquo, Mercedes; Martin, James E.</t>
  </si>
  <si>
    <t>Palynoassemblages associated with a theropod dinosaur from the Snow Hill Island Formation (lower Maastrichtian) at the Naze, James Ross Island, Antarctica</t>
  </si>
  <si>
    <t>CRETACEOUS RESEARCH</t>
  </si>
  <si>
    <t>Palynostratigraphy; Paleoenvironment; Snow Hill Island Formation; Early Maastrichtian; James Ross Island; Antarctica</t>
  </si>
  <si>
    <t>LATE CRETACEOUS STRATIGRAPHY; DINOFLAGELLATE CYST; SEYMOUR-ISLAND; MARAMBIO GROUP; SEDIMENTARY CYCLES; CAPE LAMB; BASIN; PALYNOLOGY; BIOSTRATIGRAPHY; AREA</t>
  </si>
  <si>
    <t>The Cape Lamb Member of the Snow Hill Island Formation at The Naze on the northern margin of James Ross Island, east of the Antarctic Peninsula, yielded a theropod dinosaur recovered near the middle of a 90 m thick section that begins at sea level, ends below a basalt sill, and is composed of interbedded green-gray massive and laminated fine-grained sandstones and mudstones. Sixteen palynoassemblages were recovered from this section, which yielded moderately diverse assemblages with a total of 100 relatively well-preserved species. The principal terrestrial groups (32%) are represented by lycophytes (8 species), pteridophytes (15 species), gymnosperms (13 species), angiosperms (21 species) and freshwater chlorococcaleans (3 species). Marine palynomorphs (68%) belong to dinoflagellates (61 species), chlorococcaleans (6 species), and one acritarch. The vertical distribution of selected species allows the distinction of two informal assemblages, the lower Odontochitina ponfera assemblage from the base to its disappearance in the lower part of the section, and the remaining section characterized by the Batiacasphaera grandis assemblage. The global stratigraphic ranges of selected palynomorphs suggest an early Maastrichtian age for this section and the entombed dinosaur that is also supported by the presence of the ammonoid Kitchinites darwinii. These assemblages share many species with latest Campanian-early Maastrichtian palynofloras from Vega and Humps Islands, New Zealand, and elsewhere in the Southern Ocean, establishing a good correlation among them. The dominance or frequent presence of dinoflagellates throughout the section supports the general interpretation of a shelf marine depocenter. The consistent presence of terrestrial palynomorphs suggests contributions from littoral/inland environments. (C) 2013 Elsevier Ltd. All rights reserved.</t>
  </si>
  <si>
    <t>[di Pasquo, Mercedes] CICyTTP CONICET, Lab Palinoestratig &amp; Paleobot, Consejo Invest Cient &amp; Tecnol CONICET, Entre Rios, Argentina; [Martin, James E.] JE Martin Geosci Consultat, Sturgis, SD 57785 USA; [Martin, James E.] Univ SW Louisiana, Sch Geosci, Lafayette, LA 70504 USA</t>
  </si>
  <si>
    <t>Consejo Nacional de Investigaciones Cientificas y Tecnicas (CONICET); University of Louisiana Lafayette</t>
  </si>
  <si>
    <t>di Pasquo, M (corresponding author), CICyTTP CONICET, Lab Palinoestratig &amp; Paleobot, Consejo Invest Cient &amp; Tecnol CONICET, Dr Matteri &amp; Espana S-N,Diamante CP E3105BWA, Entre Rios, Argentina.</t>
  </si>
  <si>
    <t>medipa@cicyttp.org.ar; JEMartinGeoscientific@gmail.com</t>
  </si>
  <si>
    <t>di Pasquo, Mercedes/0000-0003-3068-0089</t>
  </si>
  <si>
    <t>NSF [0087972, 0003844]; ANPCyT [Pict 07-36166]; Directorate For Geosciences; Office of Polar Programs (OPP) [0087972] Funding Source: National Science Foundation; Directorate For Geosciences; Office of Polar Programs (OPP) [0003844] Funding Source: National Science Foundation</t>
  </si>
  <si>
    <t>NSF(National Science Foundation (NSF)); ANPCyT(ANPCyT); Directorate For Geosciences; Office of Polar Programs (OPP)(National Science Foundation (NSF)NSF - Directorate for Geosciences (GEO)); Directorate For Geosciences; Office of Polar Programs (OPP)(National Science Foundation (NSF)NSF - Directorate for Geosciences (GEO))</t>
  </si>
  <si>
    <t>The authors would like to sincerely thank the Instituto Antarctico Argentino and the National Science Foundation, Office of Polar Programs, who were responsible for the support of the expeditions (NSF grants awarded to J.E. Martin (OPP#0087972) and J.A. Case (OPP#0003844)). This research would not have been possible without the collaboration from Dr. Judd A. Case, Eastern Washington University. Dr. J. Foster Sawyer (SD School of Mines and Technology), collaborated in measuring and sampling the section in Antarctica. M. Di Pasquo acknowledges the Fulbright Scholarship Program and CONICET of Argentina for providing her the opportunity for cooperation with colleagues from USA and for continuing collaboration. Support from home institutions is greatly appreciated (e.g. ANPCyT Pict 07-36166). Captain Mike Terminal and crew of the Lawrence M. Gould research vessel are thanked for their congeniality and for transportation to James Ross Island. Mr. John Evans and his staff in Raytheon Polar made every effort to make our sojourn possible, safe, and comfortable. We thank all our field companions, Dr. Marcelo Reguero, Dr. J. Foster Sawyer, Dr. Allen J. Kihm, Dr. Jennifer Hargrave, Dr. Robert Meredith, Ms. Amanda Person, Dr. Wayne Thompson, Ms. Melissa Rider, Dr. Kristin van Konynenburg, Mr. Joe Pettit, Mr. Dan Martin, and Ms. Lucy Bledsoe, whose dedication to science and congeniality during extremely difficult field conditions are the cornerstone of this research. Dr. Wayne Thompson aided further in the sketch of the outcrop for which we are thankful. The authors thank to the anonimous reviewers and the Editor E.A.M. Koutsoukos for their suggestions that allowed us to improve our manuscript.</t>
  </si>
  <si>
    <t>0195-6671</t>
  </si>
  <si>
    <t>1095-998X</t>
  </si>
  <si>
    <t>CRETACEOUS RES</t>
  </si>
  <si>
    <t>Cretac. Res.</t>
  </si>
  <si>
    <t>10.1016/j.cretres.2013.07.008</t>
  </si>
  <si>
    <t>273GO</t>
  </si>
  <si>
    <t>WOS:000328523500012</t>
  </si>
  <si>
    <t>Laich, F; Vaca, I; Chávez, R</t>
  </si>
  <si>
    <t>Laich, Federico; Vaca, Inmaculada; Chavez, Renato</t>
  </si>
  <si>
    <t>Rhodotorula portillonensis sp nov., a basidiomycetous yeast isolated from Antarctic shallow-water marine sediment</t>
  </si>
  <si>
    <t>PSYCHROPHILIC YEASTS; DIVERSITY; IDENTIFICATION; RDNA; ENVIRONMENTS; PATAGONIA; BIODIVERSITY; SYSTEMATICS; D1/D2</t>
  </si>
  <si>
    <t>During the characterization of the mycobiota associated with shallow-water marine environments from Antarctic sea, a novel pink yeast species was isolated. Sequence analysis of the D1/D2 domain of the LSU rDNA gene and 5.8S-ITS regions revealed that the isolated yeast was closely related to Rhodotorula pallida CBS 320(T) and Rhodotorula benthica CBS 9124(T). On the basis of morphological, biochemical and physiological characterization and phylogenetic analyses, a novel basidiomycetous yeast species, Rhodotorula portillonensis sp. nov., is proposed. The type strain is Pi2(T) (=CBS 12733(T) =CECT 13081(T)) which was isolated from shallow-water marine sediment in Fildes Bay, King George Island, Antarctica.</t>
  </si>
  <si>
    <t>[Laich, Federico] Inst Canario Invest Agr, Santa Cruz De Tenerife, Spain; [Vaca, Inmaculada] Univ Chile, Fac Ciencias, Dept Quim, Santiago, Chile; [Chavez, Renato] Univ Santiago Chile USACH, Dept Biol, Fac Quim &amp; Biol, Santiago 9170022, Chile</t>
  </si>
  <si>
    <t>Universidad de Chile; Universidad de Santiago de Chile</t>
  </si>
  <si>
    <t>Chávez, R (corresponding author), Univ Santiago Chile USACH, Dept Biol, Fac Quim &amp; Biol, Alameda 3363,Estn Cent, Santiago 9170022, Chile.</t>
  </si>
  <si>
    <t>renato.chavez@usach.cl</t>
  </si>
  <si>
    <t>Vaca, Inmaculada/I-2758-2013</t>
  </si>
  <si>
    <t>Vaca, Inmaculada/0000-0002-8952-9036; Chavez, Renato/0000-0003-1754-3610; Laich, Federico Salvador/0000-0002-4530-7474</t>
  </si>
  <si>
    <t>Recursos y Tecnologias Agrarias; Comunidades Autonomas del Plan Nacional de Investigacion Cientifica, Desarrollo e Innovacion Tecnologica program; European Social Fund; DICYT-USACH; [Fondecyt 11090192]; [PBCT PDA 13]; [INACH G_06-10]</t>
  </si>
  <si>
    <t>Recursos y Tecnologias Agrarias; Comunidades Autonomas del Plan Nacional de Investigacion Cientifica, Desarrollo e Innovacion Tecnologica program; European Social Fund(European Social Fund (ESF)); DICYT-USACH; ; ;</t>
  </si>
  <si>
    <t>F. L. is supported by the 'Recursos y Tecnologias Agrarias in coordination with the Comunidades Autonomas del Plan Nacional de Investigacion Cientifica, Desarrollo e Innovacion Tecnologica 2004-2007' program, financed with the involvement of the European Social Fund. I. V. was supported by grant Fondecyt 11090192 and PBCT PDA 13. R. C. was supported by grant INACH G_06-10 and DICYT-USACH. The technical assistance of Carolina Faundez (Universidad de Santiago de Chile) and Felipe Maza (Universidad de Chile) is gratefully acknowledged.</t>
  </si>
  <si>
    <t>10.1099/ijs.0.052753-0</t>
  </si>
  <si>
    <t>264VX</t>
  </si>
  <si>
    <t>WOS:000327910200056</t>
  </si>
  <si>
    <t>Jiang, HC; Guo, GX; Cai, XM; Xu, HY; Ma, XL; Zhong, N; Li, YH</t>
  </si>
  <si>
    <t>Jiang, Hanchao; Guo, Gaoxuan; Cai, Xiangmin; Xu, Hongyan; Ma, Xiaolin; Zhong, Ning; Li, Yanhao</t>
  </si>
  <si>
    <t>A pollen record of the Mid-Pleistocene Transition from Beijing, North China</t>
  </si>
  <si>
    <t>JOURNAL OF QUATERNARY SCIENCE</t>
  </si>
  <si>
    <t>Beijing; Early Pleistocene; fluviolacustrine sediments; Mid-Pleistocene Transition; pollen</t>
  </si>
  <si>
    <t>LOESS-PALEOSOL SEQUENCES; CLIMATE TRANSITION; ICE VOLUME; EVOLUTION; ONSET; MA; SEDIMENTS; DEPOSITS; NINGXIA; PACIFIC</t>
  </si>
  <si>
    <t>To reconstruct the history of climate and environment in East Asia during the Early Pleistocene, a palynofloral investigation was conducted on fluviolacustrine sediments in Beijing, North China. The results indicate that herb and shrub taxa were dominant in most of the samples, reflecting an open forest grassland covering the Beijing region during much of the Early Pleistocene. This vegetation generally declined during 1.68-1.25 Ma and recovered in part during 1.25-0.96 Ma. From 0.96 Ma, conifers gradually replaced broad-leaved trees, shrubs and herbs. After 0.65 Ma, the pollen abundance of conifers, shrubs and herbs all increased significantly. These vegetation changes took place in the context of long-term global cooling during the Late Cenozoic. A significant increase in Antarctic ice volume at 1.25-1.20 Ma and the resultant increased meridional temperature gradient in the Southern Ocean led to prominent anomalous warming in the tropics and increased heat/moisture flow across the Equator, probably resulting in vegetation recovery in the study area to some extent during 1.25-0.96 Ma. From 0.96 Ma, the stepwise decline of vegetation cover in the study area, especially after 0.65 Ma, was driven by further development of global cooling and increase in polar ice volume.</t>
  </si>
  <si>
    <t>[Jiang, Hanchao; Xu, Hongyan; Ma, Xiaolin; Zhong, Ning; Li, Yanhao] China Earthquake Adm, Inst Geol, State Key Lab Earthquake Dynam, Beijing 100029, Peoples R China; [Guo, Gaoxuan] Hydrogeol &amp; Engn Geol Team Beijing, Beijing, Peoples R China; [Cai, Xiangmin] Geol Survey Inst Beijing, Beijing, Peoples R China; [Cai, Xiangmin] Bur Geol Mineral Resources Explorat, Beijing, Peoples R China; [Zhong, Ning; Li, Yanhao] Univ Chinese Acad Sci, Beijing, Peoples R China</t>
  </si>
  <si>
    <t>China Earthquake Administration; Chinese Academy of Sciences; University of Chinese Academy of Sciences, CAS</t>
  </si>
  <si>
    <t>Jiang, HC (corresponding author), China Earthquake Adm, Inst Geol, State Key Lab Earthquake Dynam, Beijing 100029, Peoples R China.</t>
  </si>
  <si>
    <t>hcjiang@ies.ac.cn</t>
  </si>
  <si>
    <t>Lin, Fan/JZT-1441-2024; Jiang, Hanchao/ABG-2653-2020; Xu, Hongyan/I-4518-2017</t>
  </si>
  <si>
    <t>Lin, Fan/0000-0002-7330-3833; Jiang, Hanchao/0000-0003-3391-4477; Ma, Xiaolin/0000-0002-5073-418X</t>
  </si>
  <si>
    <t>special projects of the fundamental scientific research of the Institute of Geology, China Earthquake Administration [IGCEA1118]; National Natural Science Foundation of China [40972117]; State Key Laboratory of Earthquake Dynamics [LED2013A03]</t>
  </si>
  <si>
    <t>special projects of the fundamental scientific research of the Institute of Geology, China Earthquake Administration; National Natural Science Foundation of China(National Natural Science Foundation of China (NSFC)); State Key Laboratory of Earthquake Dynamics</t>
  </si>
  <si>
    <t>We thank Professors Rewi Newnham (editor), Jean-Pierre Suc and one anonymous reviewer for valuable suggestions. This work was financially supported by the special projects of the fundamental scientific research of the Institute of Geology, China Earthquake Administration (IGCEA1118) and the National Natural Science Foundation of China (Grant 40972117), and the State Key Laboratory of Earthquake Dynamics (LED2013A03). H.C.J. gratefully thanks Dr Huiping Zhang for providing a satellite image.</t>
  </si>
  <si>
    <t>0267-8179</t>
  </si>
  <si>
    <t>1099-1417</t>
  </si>
  <si>
    <t>J QUATERNARY SCI</t>
  </si>
  <si>
    <t>J. Quat. Sci.</t>
  </si>
  <si>
    <t>10.1002/jqs.2661</t>
  </si>
  <si>
    <t>272UJ</t>
  </si>
  <si>
    <t>WOS:000328486500005</t>
  </si>
  <si>
    <t>García-Muñoz, C; López-Urrutia, A; Lubián, LM; García, CM; Hernández-León, S</t>
  </si>
  <si>
    <t>Garcia-Munoz, Cristina; Lopez-Urrutia, Angel; Lubian, Luis M.; Garcia, Carlos M.; Hernandez-Leon, Santiago</t>
  </si>
  <si>
    <t>A comparison of primary production models in an area of high mesoscale variability (South Shetland Islands, Antarctica)</t>
  </si>
  <si>
    <t>JOURNAL OF SEA RESEARCH</t>
  </si>
  <si>
    <t>Primary production; Models; Mesoscale; Chlorophyll; Carbon; Nutrients</t>
  </si>
  <si>
    <t>MIXED-LAYER DEPTH; PHYTOPLANKTON BIOMASS; BRANSFIELD STRAITS; METABOLIC THEORY; AUSTRAL SUMMER; SIZE-STRUCTURE; DRAKE PASSAGE; OCEAN-COLOR; ROSS SEA; CHLOROPHYLL</t>
  </si>
  <si>
    <t>Three types of primary productivity (PP) models were evaluated in a mesoscale area around the South Shetland Islands (Antarctica). Input variables were: phytoplankton carbon biomass, Chlorophyll a, sea water temperature, daily irradiance, among others, collected in situ during an oceanographic cruise (COUPLING, January 2010). Models of the first type were based on Chl a measurements: the widely used model VGPM (Behrenfeld and Falkowski, 1997) and a derived version developed for the Western Antarctic Peninsula (Dierssen et al., 2000). The second type included two models based on phytoplankton carbon biomass: one developed for the whole Southern Ocean (Arrigo et al., 2008) and one based on the Metabolic Theory of Ecology developed by Lopez-Urrutia et al. (2006), being the first time that a model with these features is used for Antarctic waters. The third type was an updated version of the carbon-based model CbPM (first described by Behrenfeld et al. (2005)) based on the Chl a/carbon biomass ratio modulation. The degree of agreement among the results between the different types of models turned out to be low (&gt;30% of difference), but high within models of the same type (&lt;10% of difference). Biomass-based model predictions differed the most from those estimated by the other two types. The differences in PP estimates were primarily attributed to the different ways these models treat the phytoplankton assemblage, along with the difference in input variables. Among the five models evaluated, the output from the modified version of the CbPM showed the lowest bias (0.55) being the most realistic. It made a special attempt to detect the factors controlling phytoplankton physiological state, showing a nutrient limitation towards the Drake area similar to the one observed for the in situ PP values. (C) 2013 Elsevier B.V. All rights reserved.</t>
  </si>
  <si>
    <t>[Garcia-Munoz, Cristina; Lubian, Luis M.] Inst Ciencias Marinas Andalucia ICMAN CSIC, Dept Ecol &amp; Gest Costera, Cadiz 11510, Spain; [Lopez-Urrutia, Angel] Inst Espanol Oceanog, Ctr Oceanog Gijon, Gijon 33212, Asturias, Spain; [Garcia, Carlos M.] Univ Cadiz, Dept Biol, Fac Ciencias Mar &amp; Ambientales, Cadiz 11510, Spain; [Hernandez-Leon, Santiago] Univ Las Palmas Gran Canaria, Inst Oceanog &amp; Global Change, Las Palmas Gran Canaria 35017, Islas Canaries, Spain</t>
  </si>
  <si>
    <t>Consejo Superior de Investigaciones Cientificas (CSIC); CSIC - Instituto de Ciencias Marinas de Andalucia (ICMAN); Spanish Institute of Oceanography; Universidad de Cadiz; Universidad de Las Palmas de Gran Canaria</t>
  </si>
  <si>
    <t>García-Muñoz, C (corresponding author), Inst Ciencias Marinas Andalucia ICMAN CSIC, Av Republ Saharauii S-N, Cadiz 11510, Spain.</t>
  </si>
  <si>
    <t>cristina.garcia@icman.csic.es</t>
  </si>
  <si>
    <t>LUBIAN, LUIS M/L-7241-2014; Lopez-Urrutia, Angel/R-9475-2019; Lopez-Urrutia, Angel/L-2636-2014; Hernández-León, Santiago/M-2563-2014; Garcia, Carlos M/M-2025-2018</t>
  </si>
  <si>
    <t>Lopez-Urrutia, Angel/0000-0002-6135-2937; Garcia, Carlos M/0000-0002-8920-9024; Hernandez-Leon, Santiago/0000-0002-3085-4969</t>
  </si>
  <si>
    <t>Spanish Ministry of Science and Education [CTM2008-06343-C02-02/ANT]; Spanish Council for Research (CSIC) [CTM2009-13882/MAR]</t>
  </si>
  <si>
    <t>Spanish Ministry of Science and Education(Spanish Government); Spanish Council for Research (CSIC)</t>
  </si>
  <si>
    <t>We are grateful to the captain, crew, and scientists on board the R.V. Hesperides for their co-operation and logistic support during the cruise. Thanks are also given to Beatriz Mourino and Maria Perez for providing Chlorophyll a data, to Maria Lidia Nieves for providing primary production data, and to Eduardo Ramirez for his assistance in analyzing plankton samples. We also thank two anonymous reviewers for their valuable comments on a previous version of this manuscript. This work was supported by the CTM2008-06343-C02-02/ANT project from the Spanish Ministry of Science and Education. C.G-M.'s work was supported by a predoctoral fellowship from the Spanish Council for Research (CSIC), JAE-Predoc 2009. The work of AL-U was supported by the CTM2009-13882/MAR project from the Spanish Ministry of Science and Education.</t>
  </si>
  <si>
    <t>1385-1101</t>
  </si>
  <si>
    <t>1873-1414</t>
  </si>
  <si>
    <t>J SEA RES</t>
  </si>
  <si>
    <t>J. Sea Res.</t>
  </si>
  <si>
    <t>10.1016/j.seares.2013.03.015</t>
  </si>
  <si>
    <t>264YM</t>
  </si>
  <si>
    <t>WOS:000327916900003</t>
  </si>
  <si>
    <t>Jacquet, E; Paulhiac-Pison, M; Alard, O; Kearsley, AT; Gounelle, M</t>
  </si>
  <si>
    <t>Jacquet, Emmanuel; Paulhiac-Pison, Marine; Alard, Olivier; Kearsley, Anton T.; Gounelle, Matthieu</t>
  </si>
  <si>
    <t>Trace element geochemistry of CR chondrite metal</t>
  </si>
  <si>
    <t>FE-NI METAL; HIGHLY SIDEROPHILE ELEMENTS; CHEMICAL FRACTIONATIONS; CARBONACEOUS CHONDRITES; PRIMITIVE CHONDRITES; MAGNESIAN CHONDRULES; THERMAL HISTORIES; HIGH-TEMPERATURE; ORIGIN; IRON</t>
  </si>
  <si>
    <t>We report trace element analyses by laser ablation inductively coupled plasma mass spectrometry (LA-ICP-MS) of metal grains from nine different CR chondrites, distinguishing grains from chondrule interior (interior grains), chondrule surficial shells (margin grains), and the matrix (isolated grains). Save for a few anomalous grains, Ni-normalized trace element patterns are similar for all three petrographic settings, with largely unfractionated refractory siderophile elements and depleted volatile Au, Cu, Ag, S. All three types of grains are interpreted to derive from a common precursor approximated by the least-melted, fine-grained objects in CR chondrites. This also excludes recondensation of metal vapor as the origin of the bulk of margin grains. The metal precursors were presumably formed by incomplete condensation, with evidence for high-temperature isolation of refractory platinum-group-element (PGE)-rich condensates before mixing with lower temperature PGE-depleted condensates. The rounded shape of the Ni-rich, interior grains shows that they were molten and that they equilibrated with silicates upon slow cooling (1-100Kh(-1)), largely by oxidation/evaporation of Fe, hence their high Pd content, for example. We propose that Ni-poorer, amoeboid margin grains, often included in the pyroxene-rich periphery common to type I chondrules, result from less intense processing of a rim accreted onto the chondrule subsequent to the melting event recorded by the interior grains. This means either that there were two separate heating events, which formed olivine/interior grains and pyroxene/margin grains, respectively, between which dust was accreted around the chondrule, or that there was a single high-temperature event, of which the chondrule margin records a late quenching phase, in which case dust accreted onto chondrules while they were molten. In the latter case, high dust concentrations in the chondrule-forming region (at least three orders of magnitude above minimum mass solar nebula models) are indicated.</t>
  </si>
  <si>
    <t>[Jacquet, Emmanuel; Paulhiac-Pison, Marine; Gounelle, Matthieu] CNRS, Lab Mineral &amp; Cosmochim Museum, F-75005 Paris, France; [Jacquet, Emmanuel; Paulhiac-Pison, Marine; Gounelle, Matthieu] Museum Natl Hist Nat, UMR 7202, F-75005 Paris, France; [Jacquet, Emmanuel] Univ Toronto, Canadian Inst Theoret Astrophys, Toronto, ON M5S 3H8, Canada; [Paulhiac-Pison, Marine] Ecole Normale Super, F-75005 Paris, France; [Alard, Olivier] Univ Montpellier 2, Geosci Montpellier, UMR 5243, F-34095 Montpellier 5, France; [Kearsley, Anton T.] Nat Hist Museum, Impacts &amp; Astromat Res Ctr, Dept Mineral, London SW7 5BD, England; [Gounelle, Matthieu] Maison Univ, Inst Univ France, F-75005 Paris, France</t>
  </si>
  <si>
    <t>Centre National de la Recherche Scientifique (CNRS); Museum National d'Histoire Naturelle (MNHN); University of Toronto; Universite PSL; Ecole Normale Superieure (ENS); Centre National de la Recherche Scientifique (CNRS); CNRS - National Institute for Earth Sciences &amp; Astronomy (INSU); Universite de Montpellier; Imperial College London; Natural History Museum London; Universite de Bourgogne; Institut Universitaire de France</t>
  </si>
  <si>
    <t>Jacquet, E (corresponding author), CNRS, Lab Mineral &amp; Cosmochim Museum, 57 Rue Cuvier, F-75005 Paris, France.</t>
  </si>
  <si>
    <t>ejacquet@cita.utoronto.ca</t>
  </si>
  <si>
    <t>ALARD, Olivier/R-7755-2016; ALARD, Olivier/A-7128-2008</t>
  </si>
  <si>
    <t>ALARD, Olivier/0000-0002-0832-6625; ALARD, Olivier/0000-0002-0832-6625</t>
  </si>
  <si>
    <t>Programme National de Planetologie; Institut Universitaire de France; NASA; Cecilia Satterwhite</t>
  </si>
  <si>
    <t>Programme National de Planetologie; Institut Universitaire de France; NASA(National Aeronautics &amp; Space Administration (NASA)); Cecilia Satterwhite</t>
  </si>
  <si>
    <t>We are grateful to the Programme National de Planetologie and the Institut Universitaire de France for their financial support, NASA and Cecilia Satterwhite for the loan of the Antarctic meteorite sections, and the Museum National d'Histoire Naturelle for that of the non-Antarctic samples. We thank Gretchen Benedix and Herbert Palme for their reviews, which significantly improved the assessment and discussion of the data.</t>
  </si>
  <si>
    <t>10.1111/maps.12212</t>
  </si>
  <si>
    <t>268DY</t>
  </si>
  <si>
    <t>WOS:000328150100012</t>
  </si>
  <si>
    <t>Burke, M</t>
  </si>
  <si>
    <t>Burke, Maria</t>
  </si>
  <si>
    <t>Antarctic life</t>
  </si>
  <si>
    <t>CHEMISTRY &amp; INDUSTRY</t>
  </si>
  <si>
    <t>WILEY PERIODICALS, INC</t>
  </si>
  <si>
    <t>ONE MONTGOMERY ST, SUITE 1200, SAN FRANCISCO, CA 94104 USA</t>
  </si>
  <si>
    <t>0009-3068</t>
  </si>
  <si>
    <t>2047-6329</t>
  </si>
  <si>
    <t>CHEM IND-LONDON</t>
  </si>
  <si>
    <t>Chem. Ind.</t>
  </si>
  <si>
    <t>Chemistry, Applied</t>
  </si>
  <si>
    <t>267XQ</t>
  </si>
  <si>
    <t>WOS:000328132100008</t>
  </si>
  <si>
    <t>Lisker, F; Läufer, AL</t>
  </si>
  <si>
    <t>Lisker, Frank; Laeufer, Andreas L.</t>
  </si>
  <si>
    <t>The Mesozoic Victoria Basin: Vanished link between Antarctica and Australia</t>
  </si>
  <si>
    <t>FISSION-TRACK; TRANSANTARCTIC MOUNTAINS; BEACON SUPERGROUP; RIFT SYSTEM; LAND; EVOLUTION; INSIGHTS; HISTORY; MARGIN; UPLIFT</t>
  </si>
  <si>
    <t>The Transantarctic Mountains (TAM) are the largest non-compressional mountain belt in the world. Their origin is traditionally related to crustal thickening during the Jurassic Ferrar magmatic event that was followed by episodic uplift in the Early and Late Cretaceous and since the Paleocene. This concept of a long-lived morphological high constitutes a base of virtually all Gondwana reconstructions and global climate models. Here we demonstrate that crossover age relationships between thermochronological (apatite fission track) data and stratigraphic information contradict this established interpretation. Instead these data, together with a wealth of independent thermal indicators and geological evidence require the existence of a vast intra-Gondwana basin between at least Late Triassic and Late Cretaceous times, including during the Ferrar magmatic event. Referred to here as the Mesozoic Victoria Basin (MVB), this basin formed during crustal extension across the paleo-Pacific margin of Antarctica and Australia. Uplift of the TAM with associated basin inversion commenced only with the development of the West Antarctic Rift System in Paleogene times. The recognition of the long-lived MVB has primary consequences for the general understanding of the landscape of Gondwana and the breakup between Antarctica and Australia, West Antarctic rifting and uplift of the TAM, and global long-term climate evolution and faunal radiation.</t>
  </si>
  <si>
    <t>[Lisker, Frank] Univ Bremen, Dept Geosci, D-28334 Bremen, Germany; [Laeufer, Andreas L.] Fed Inst Geosci &amp; Nat Resources BGR, D-30655 Hannover, Germany</t>
  </si>
  <si>
    <t>University of Bremen</t>
  </si>
  <si>
    <t>Lisker, F (corresponding author), Univ Bremen, Dept Geosci, PF 330 440, D-28334 Bremen, Germany.</t>
  </si>
  <si>
    <t>Läufer, Andreas/ABC-1465-2020</t>
  </si>
  <si>
    <t>Läufer, Andreas/0000-0003-2219-0450; Lisker, Frank/0000-0002-1615-7315</t>
  </si>
  <si>
    <t>German Research Foundation (DFG) [LI 745/8, LI 745/12, LA 1080/7]</t>
  </si>
  <si>
    <t>This study benefited from financial funding by the German Research Foundation (DFG grants LI 745/8, LI 745/12, and LA 1080/7). Lisker is indebted to the Federal Institute for Geosciences and Natural Resources (BGR) for the invitation to participate in the Antarctic GANOVEX expeditions, and both authors wish to thank the Ferrar Task Force and the whole expedition team for cooperative field work and stimulating discussions. We are grateful to P. Barrett, F. Rossetti, and F. Tessensohn for valuable comments, and we acknowledge T. John, G. Phillips, and B. Ventura for helpful suggestions. This paper was improved by the constructive reviews of M. L. Balestrieri, S. Boger, and two anonymous reviewers.</t>
  </si>
  <si>
    <t>10.1130/G33409.1</t>
  </si>
  <si>
    <t>257NJ</t>
  </si>
  <si>
    <t>WOS:000327391200001</t>
  </si>
  <si>
    <t>Prebble, JG; Crouch, EM; Carter, L; Cortese, G; Nodder, SD</t>
  </si>
  <si>
    <t>Prebble, J. G.; Crouch, E. M.; Carter, L.; Cortese, G.; Nodder, S. D.</t>
  </si>
  <si>
    <t>Dinoflagellate cysts from two sediment traps east of New Zealand</t>
  </si>
  <si>
    <t>MARINE MICROPALEONTOLOGY</t>
  </si>
  <si>
    <t>Dinoflagellate; Cyst; Modern; Sediment trap; Flux; Palaeoceanographic proxies</t>
  </si>
  <si>
    <t>SUBTROPICAL CONVERGENCE REGION; SEA-SURFACE CONDITIONS; SUB-ANTARCTIC WATERS; PACIFIC-OCEAN; SOUTHLAND CURRENT; AUSTRAL WINTER; FRONT REGION; CHATHAM RISE; PHYTOPLANKTON; VARIABILITY</t>
  </si>
  <si>
    <t>Two discontinuous sediment trap records of organic-walled dinoflagellate cyst ( dinocyst) flux, each sampling &gt; 300 days within the years 2005-2009, were derived from two time-incremental traps deployed at 1500 m water depth east of New Zealand. The traps sampled flux from beneath two distinct surface water masses on either side of the Subtropical Front: (i) warm, seasonally macronutrient-depleted Subtropical and (ii) cold, micronutrient-limited Subantarctic waters. Nineteen dinocyst taxa or taxonomic groups were identified from the trap samples. Trap assemblages at both sites were dominated by cysts of Protoperidiniaceae, notably Brigantedinium spp., which comprised almost similar to 98% of the dinocyst flux. The seasonality of the dinocyst flux differed between the traps, with a pronounced spring flux in the Subtropical trap, while seasonal variation in the Subantarctic trap was relatively muted. In Subtropical waters, moderate correlation was observed between Protoperidiniaceae cyst flux and chlorophyll a concentrations in surface waters in the 3-4 weeks prior to sampling. In Subantarctic waters, there was a weak correlation between Protoperidiniaceae cyst flux and reduced intensity of storm-induced turbulence during the preceding 2-3 weeks. There was a large discrepancy between dinocyst assemblages in the traps and those observed in nearby sea-floor sediments. Protoperidiniaceae dinocysts, particularly Echinidinium and Brigantedinium, were highly under-represented in the sea-floor assemblages. These forms are more susceptible to degradation in oxygenated sediments than other dinocysts, but inter-annual variability in cyst flux, or short-term variation not covered by sampling discontinuities in the current study could also have contributed to this discrepancy. The major differences in the seasonality of dinocyst fluxes between the two water masses examined in this initial study, suggest that mean-annual rather than seasonal climatologies are more appropriate for dinocyst-based quantitative palaeoenvironmental reconstructions in the New Zealand region. (C) 2013 Elsevier B.V. All rights reserved.</t>
  </si>
  <si>
    <t>[Prebble, J. G.; Carter, L.] Victoria Univ Wellington, Antarctic Res Ctr, Wellington, New Zealand; [Prebble, J. G.; Crouch, E. M.; Cortese, G.] GNS Sci, Lower Hutt 5040, New Zealand; [Nodder, S. D.] Natl Inst Water &amp; Atmospher Res NIWA, Wellington, New Zealand</t>
  </si>
  <si>
    <t>Victoria University Wellington; GNS Science - New Zealand; National Institute of Water &amp; Atmospheric Research (NIWA) - New Zealand</t>
  </si>
  <si>
    <t>Prebble, JG (corresponding author), GNS Sci, POB 30368, Lower Hutt 5040, New Zealand.</t>
  </si>
  <si>
    <t>j.prebble@gns.cri.nz</t>
  </si>
  <si>
    <t>Crouch, Erica M/C-2820-2013</t>
  </si>
  <si>
    <t>Cortese, Giuseppe/0000-0003-1780-3371; Prebble, Joseph/0000-0002-7268-4187</t>
  </si>
  <si>
    <t>TEC Bright Futures Scholarship by the New Zealand Government; GNS Science through its Global Change through Time (GCT) Programme; FRST; Ministry of Business, Innovation and Employment, NIWA's CAPEX [CO1X0702, CO1X0501]</t>
  </si>
  <si>
    <t>TEC Bright Futures Scholarship by the New Zealand Government; GNS Science through its Global Change through Time (GCT) Programme; FRST(New Zealand Foundation for Research, Science and Technology); Ministry of Business, Innovation and Employment, NIWA's CAPEX</t>
  </si>
  <si>
    <t>We thank the officers and crew of the RV Tangaroa for more than twenty 3- to 6-monthly deployment voyages over the last decade of this trap experiment, including the current mooring team (Malcolm Greig, Bill Main, Peter Gerring, Craig Stewart, Brett Grant, Fiona Elliot). Lisa Northcote at NIWA and Sonja Fry at GNS Science split and processed the trap and sediment samples, respectively. Paulo Calil, NIWA, provided modelled wind data, Lisa Northcote shared unpublished data on foraminifera flux. We also acknowledge the MODIS mission scientists and associated NASA and NOAA personnel for production of the satellite environmental data used in this study. JP was supported by a TEC Bright Futures Scholarship provided by the New Zealand Government. EC and GC acknowledge support from GNS Science through its Global Change through Time (GCT) Programme, LC was supported by the FRST funded Antarctica New Zealand Interglacial Climate Extremes (ANZICE) programme, and SN acknowledges funding support from the New Zealand Foundation of Science, Research &amp; Technology (now Ministry of Business, Innovation and Employment) in the programmes CO1X0702 and CO1X0501, NIWA's CAPEX fund. This paper has been significantly improved by insightful comments from the journal editor and two anonymous reviewers.</t>
  </si>
  <si>
    <t>0377-8398</t>
  </si>
  <si>
    <t>1872-6186</t>
  </si>
  <si>
    <t>MAR MICROPALEONTOL</t>
  </si>
  <si>
    <t>Mar. Micropaleontol.</t>
  </si>
  <si>
    <t>10.1016/j.marmicro.2013.08.003</t>
  </si>
  <si>
    <t>260DY</t>
  </si>
  <si>
    <t>WOS:000327576400003</t>
  </si>
  <si>
    <t>De Boer, AM; Graham, RM; Thomas, MD; Kohfeld, KE</t>
  </si>
  <si>
    <t>De Boer, Agatha M.; Graham, Robert M.; Thomas, Matthew D.; Kohfeld, Karen E.</t>
  </si>
  <si>
    <t>The control of the Southern Hemisphere Westerlies on the position of the Subtropical Front</t>
  </si>
  <si>
    <t>Subtropical Front; wind stress curl; Southern Ocean; satellite data; fronts; Dynamical Subtropical Front</t>
  </si>
  <si>
    <t>ATLANTIC OVERTURNING CIRCULATION; OCEAN CIRCULATION; AGULHAS LEAKAGE; WIND CHANGES; RESOLUTION; EXCHANGE; MODEL</t>
  </si>
  <si>
    <t>In recent years the latitudinal position of the Subtropical Front (STF) has emerged as a key parameter in the global climate. A poleward positioned front is thought to allow a greater salt flux from the Indian to the Atlantic Ocean and so drive a stronger Atlantic Meridional Overturning Circulation. Here the common view that the STF aligns with the zero wind stress curl (WSC) is challenged. Based on the STF climatologies of Orsi et al. (1995), Belkin and Gordon (1996), Graham and De Boer (2013), and on satellite scatterometry winds, we find that the zero WSC contour lies on average approximate to 10 degrees, approximate to 8 degrees, and approximate to 5 degrees poleward of the front for the three climatologies, respectively. The circulation in the region between the Subtropical Gyres and the zero WSC contour is not forced by the WSC but rather by the strong bottom pressure torque that is a result of the interaction of the Antarctic Circumpolar Current with the ocean floor topography. The actual control of the position of the STF is crucially dependent on whether the front is regarded as simply a surface water mass boundary or a dynamical front. For the Agulhas Leakage problem, the southern boundary of the so-called Super Gyre may be the most relevant property but this cannot easily be identified in observations.</t>
  </si>
  <si>
    <t>[De Boer, Agatha M.; Graham, Robert M.] Stockholm Univ, Dept Geol Sci, SE-10691 Stockholm, Sweden; [De Boer, Agatha M.; Graham, Robert M.] Stockholm Univ, Bolin Ctr Climate Res, SE-10691 Stockholm, Sweden; [Thomas, Matthew D.] IFREMER, Lab Phys Oceans, Plouzane, France; [Kohfeld, Karen E.] Simon Frasier Univ, Sch Resource &amp; Environm Management, Burnaby, BC, Canada</t>
  </si>
  <si>
    <t>Stockholm University; Stockholm University; Universite de Bretagne Occidentale; Centre National de la Recherche Scientifique (CNRS); Ifremer; Institut de Recherche pour le Developpement (IRD)</t>
  </si>
  <si>
    <t>De Boer, AM (corresponding author), Stockholm Univ, Dept Geol Sci, SE-10691 Stockholm, Sweden.</t>
  </si>
  <si>
    <t>agatha.deboer@geo.su.se</t>
  </si>
  <si>
    <t>De Boer, Agatha M/H-4202-2012</t>
  </si>
  <si>
    <t>Kohfeld, Karen/0000-0001-7241-1624; Graham, Robert M./0000-0003-0008-1886; Thomas, Matthew/0000-0002-4383-7893</t>
  </si>
  <si>
    <t>NERC High Resolution Climate Modelling Grant [R8/H12/123]; Foreign and Commonwealth Office Global Opportunities Fund; NERC [GA01101]; DECC/Defra Met Office Hadley Centre Climate Programme [GA01101]</t>
  </si>
  <si>
    <t>NERC High Resolution Climate Modelling Grant; Foreign and Commonwealth Office Global Opportunities Fund; NERC(UK Research &amp; Innovation (UKRI)Natural Environment Research Council (NERC)); DECC/Defra Met Office Hadley Centre Climate Programme</t>
  </si>
  <si>
    <t>The model output was kindly provided by David Stevens. The model was developed from the Met Office Hadley Centre Model by the UK High-Resolution Modelling (HiGEM) Project and the UK Japan Climate Collaboration (UJCC). HiGEM is supported by a NERC High Resolution Climate Modelling Grant (R8/H12/123). UJCC was supported by the Foreign and Commonwealth Office Global Opportunities Fund, and jointly funded by NERC and the DECC/Defra Met Office Hadley Centre Climate Programme (GA01101). The work of Professor Pier Luigi Vidale and Dr. Malcolm Roberts in leading the effort in Japan is particularly valued.</t>
  </si>
  <si>
    <t>10.1002/jgrc.20407</t>
  </si>
  <si>
    <t>257JQ</t>
  </si>
  <si>
    <t>WOS:000327380100057</t>
  </si>
  <si>
    <t>Zhang, X; Zhou, CX; E, DC; An, JC</t>
  </si>
  <si>
    <t>Zhang Xin; Zhou Chun-Xia; E Dong-Chen; An Jia-Chun</t>
  </si>
  <si>
    <t>Monitoring the change of Antarctic ice shelves and coastline based on multiple-source remote sensing data</t>
  </si>
  <si>
    <t>CHINESE JOURNAL OF GEOPHYSICS-CHINESE EDITION</t>
  </si>
  <si>
    <t>Chinese</t>
  </si>
  <si>
    <t>Antarctic ice shelves; Antarctic coastline; Multiple-source Remote Sensing data; Image matching; Image segmentation</t>
  </si>
  <si>
    <t>In this paper, a systematic method for monitoring the change of Antarctic ice shelves is proposed, utilizing the optical and microwave remote sensing data. This systematic method includes three steps, creating the basic images of Antarctic ice shelves by the MOA, matching images by the similarity measure technique,. and the image segmentation based on the threshold and Watershed Transform. The data of changes of the 18 major shelves in Antarctica from 2002 to early 2011 is obtained by the new method, and three kinds of Antarctic ice shelves are sorted by the variation character. Further, it concludes that the recent collapsed ice shelves are all in the west Antarctica, and mainly concentrated in the Antarctic Peninsula; expansion mainly concentrated in the east Antarctica; the three largest ice shelves extend obviously, and the Amery iceshelf will collapse in coming years. In addition, this is the first study to obtain the dynamic Antarctic coastline data from 2002 to the early 2011, and the calculated extension amount of Antarctic coastline is 5878 km(2).</t>
  </si>
  <si>
    <t>[Zhang Xin] Changjiang Inst Survey Planning Design &amp; Res, Wuhan 430010, Peoples R China; [Zhang Xin; Zhou Chun-Xia; E Dong-Chen; An Jia-Chun] Wuhan Univ, Chinese Antarctic Ctr Surveying &amp; Mapping, Wuhan 430079, Peoples R China</t>
  </si>
  <si>
    <t>Wuhan University</t>
  </si>
  <si>
    <t>Zhang, X (corresponding author), Changjiang Inst Survey Planning Design &amp; Res, Wuhan 430010, Peoples R China.</t>
  </si>
  <si>
    <t>zsimba@163.com; zhoucx@whu.edu.cn</t>
  </si>
  <si>
    <t>An, Jiachun/ABG-4275-2020</t>
  </si>
  <si>
    <t>0001-5733</t>
  </si>
  <si>
    <t>CHINESE J GEOPHYS-CH</t>
  </si>
  <si>
    <t>Chinese J. Geophys.-Chinese Ed.</t>
  </si>
  <si>
    <t>10.6038/cjg20131007</t>
  </si>
  <si>
    <t>250JF</t>
  </si>
  <si>
    <t>WOS:000326848400007</t>
  </si>
  <si>
    <t>Hughes, PD; Gibbard, PL; Ehlers, J</t>
  </si>
  <si>
    <t>Hughes, Philip D.; Gibbard, Philip L.; Ehlers, Juergen</t>
  </si>
  <si>
    <t>Timing of glaciation during the last glacial cycle: evaluating the concept of a global 'Last Glacial Maximum' (LGM)</t>
  </si>
  <si>
    <t>Glaciation; Glaciers; Quaternary; Pleistocene; Geochronology</t>
  </si>
  <si>
    <t>LATE QUATERNARY GLACIATIONS; LATE PLEISTOCENE GLACIATIONS; ANTARCTIC ICE-SHEET; COSMOGENIC NUCLIDE CHRONOLOGY; PINE ISLAND BAY; MILLENNIAL-SCALE VARIABILITY; NORTH-ATLANTIC REGION; BE-10 EXPOSURE AGES; LAGO BUENOS-AIRES; PORT ELIZA CAVE</t>
  </si>
  <si>
    <t>It has long been known that mountain glaciers and continental ice sheets around the globe reached their respective maximum extent at different times during the last glacial cycle, often well before the global Last Glacial Maximum (LGM; c. 23-19 ka), which is formally defined by peaks in global sea-level and marine oxygen isotope records. However, there is increasing evidence from around the world that it was not only mountain glaciers which were asynchronous with the global LGM but also some regions of the large continental glaciers. The Barents-Kara Ice Sheet in northern Eurasia together with a majority of ice masses throughout Asia and Australasia reached their maximum early in the last glacial cycle, a few thousand years before the global LGM period. The East Antarctic Ice Sheet also reached its maximum extent several millennia before the global LGM. In numerous mountainous regions at high-, mid- and low-latitudes across the world, glaciers reached their maximum extent before Marine Isotope Stage (MIS) 2, in MIS 5,4 and 3. This is in contrast to most sectors of the Laurentide Ice Sheet, the Cordilleran Ice Sheet, the SE sector of the Fennoscandinavian Ice Sheet and the Alpine Ice Sheet in central Europe, which appear to have reached their maximum close to the global LGM in MIS 2. The diachronous maximum extents of both mountain glaciers and continental ice sheets during the last glacial cycle, means that the term and acronym Last Glacial Maximum (LGM) has limited chronostratigraphical meaning when correlating glacial deposits and landforms. (C) 2013 Elsevier B.V. All rights reserved.</t>
  </si>
  <si>
    <t>[Hughes, Philip D.] Univ Manchester, Sch Environm &amp; Dev, Manchester M13 9PL, Lancs, England; [Gibbard, Philip L.] Univ Cambridge, Dept Geog, Cambridge CB2 3EN, England; [Ehlers, Juergen] Geol Landesamt, D-20539 Hamburg, Germany</t>
  </si>
  <si>
    <t>University of Manchester; University of Cambridge</t>
  </si>
  <si>
    <t>Hughes, PD (corresponding author), Univ Manchester, Sch Environm &amp; Dev, Oxford Rd, Manchester M13 9PL, Lancs, England.</t>
  </si>
  <si>
    <t>philip.hughes@manchester.ac.uk</t>
  </si>
  <si>
    <t>Gibbard, Phil/AAU-8014-2021</t>
  </si>
  <si>
    <t>Hughes, Philip/0000-0002-8284-0219</t>
  </si>
  <si>
    <t>10.1016/j.earscirev.2013.07.003</t>
  </si>
  <si>
    <t>247YV</t>
  </si>
  <si>
    <t>WOS:000326661800009</t>
  </si>
  <si>
    <t>Kuncheva, M; Panchev, I; Pavlova, K; Russinova-Videva, S; Georgieva, K; Dimitrova, S</t>
  </si>
  <si>
    <t>Kuncheva, Margarita; Panchev, Ivan; Pavlova, Kostantsa; Russinova-Videva, Snezhana; Georgieva, Katerina; Dimitrova, Stela</t>
  </si>
  <si>
    <t>FUNCTIONAL CHARACTERISTICS OF AN EXOPOLYSACCHARIDE FROM ANTARCTIC YEAST STRAIN CRYPTOCOCCUS LAURENTII AL62</t>
  </si>
  <si>
    <t>BIOTECHNOLOGY &amp; BIOTECHNOLOGICAL EQUIPMENT</t>
  </si>
  <si>
    <t>Cryptococcus laurentii AL(62); exopolysaccharide; emulsifying properties; synergistic effect</t>
  </si>
  <si>
    <t>EXTRACELLULAR PRODUCT; CANDIDA-UTILIS; GLUCOMANNAN; POLYSACCHARIDES</t>
  </si>
  <si>
    <t>A heterogeneous exopolysaccharide (EPS) containing having xylose, mannose, and glucose as monosaccharide components was produced by the Antarctic yeast strain Cryptococcus laurentii AL(62) with the use of sucrose as a good and reliable carbon source. The water solubility and the surface activity of the biopolymer were studied. The emulsifying and stabilising capacity of oil/water emulsions was evaluated at different concentrations of EPS independently or in combination with plant and microbial polysaccharides (guar gum, cellulose gum, xanthan gum, and Na-alginate). A synergistic effect was shown in relation to the emulsifying and stabilising properties.</t>
  </si>
  <si>
    <t>[Kuncheva, Margarita; Panchev, Ivan] Univ Food Technol, Fac Technol, Plovdiv, Bulgaria; [Pavlova, Kostantsa; Russinova-Videva, Snezhana; Georgieva, Katerina] Bulgarian Acad Sci, Inst Microbiol, Plovdiv, Bulgaria; [Dimitrova, Stela] Med Univ Plovdiv, Dept Chem &amp; Biochem, Plovdiv, Bulgaria</t>
  </si>
  <si>
    <t>University of Food Technology - Bulgaria; Bulgarian Academy of Sciences; Medical University Plovdiv; Medical University Plovdiv</t>
  </si>
  <si>
    <t>Dimitrova, S (corresponding author), Med Univ Plovdiv, Dept Chem &amp; Biochem, Plovdiv, Bulgaria.</t>
  </si>
  <si>
    <t>szd@abv.bg</t>
  </si>
  <si>
    <t>Dimitrova, Stela/0000-0001-5831-2574</t>
  </si>
  <si>
    <t>Ministry of Education [DTK 02/46]</t>
  </si>
  <si>
    <t>Ministry of Education</t>
  </si>
  <si>
    <t>The authors wish to thank the National Science Fund of the Ministry of Education for the funds provided for research project DTK 02/46 Biosynthesis of exopolysaccharides from extremophilic microorganisms, under which this work was carried out.</t>
  </si>
  <si>
    <t>DIAGNOSIS PRESS LTD</t>
  </si>
  <si>
    <t>67 DONDUKOV BLVD, 1504 SOFIA, BULGARIA</t>
  </si>
  <si>
    <t>1310-2818</t>
  </si>
  <si>
    <t>1314-3530</t>
  </si>
  <si>
    <t>BIOTECHNOL BIOTEC EQ</t>
  </si>
  <si>
    <t>Biotechnol. Biotechnol. Equip.</t>
  </si>
  <si>
    <t>10.5504/BBEQ.2013.0009</t>
  </si>
  <si>
    <t>240XZ</t>
  </si>
  <si>
    <t>WOS:000326132300010</t>
  </si>
  <si>
    <t>Bates, AE; Bird, TJ; Robert, K; Onthank, KL; Quinn, GP; Juniper, SK; Lee, RW</t>
  </si>
  <si>
    <t>Bates, Amanda E.; Bird, Tomas J.; Robert, Katleen; Onthank, Kirt L.; Quinn, Gerry P.; Juniper, S. Kim; Lee, Raymond W.</t>
  </si>
  <si>
    <t>Activity and positioning of eurythermal hydrothermal vent sulphide worms in a variable thermal environment</t>
  </si>
  <si>
    <t>Behavior; Eurythermal; Hydrothermal vent; Paralvinella; Sulphide worm; Thermal variability</t>
  </si>
  <si>
    <t>TIME-SERIES; TEMPERATURE; POLYCHAETE; BEHAVIOR; PACIFIC</t>
  </si>
  <si>
    <t>Here we investigate behavioral responses to fine-scale spatial and temporal temperature gradients in a heat tolerant hydrothermal vent worm (Paralvinella sulfincola). While this species has been a model organism for understanding physiological adaptations to extreme environments, lacking are corroborative in situ experiments and characterization of temperature-related behaviors representing the lower thermal tolerance range of this species. To address this knowledge gap, we first quantified the upper thermal limit for this species using a rapid heating protocol executed remotely on the seafloor. Second, we used a combination of in situ observations and shipboard experiments to test for temperature-dependent patterns in activity and behavior. We confirm that P. sulfincola is remarkably eurythermal and demonstrates a thermal niche breadth exceeding 45 degrees C. We further show that the activity and positioning of worms relate to temperatures within its lower preferred range (i.e., between 4 and 20 degrees C). Worms tended to remain closer to their tube openings and held their branchial crown in a consistent location when fluids were relatively warm. By contrast, when fluids were cooler, both the distance worms were observed from their tubes and positioning of their branchial crown were more variable. A Bayesian hidden Markov model classified each worm at each time interval as being in a high or low activity state according to the magnitude of change in their orientation and how far they moved between successive time lapse images. We found that the transition between active and inactive states at any time period is related to fluid temperature. Our observations indicate that the behavior of the worms is temperature-dependent, which may in turn reflect temperature-related variables such as the delivery of food particles, dissolved oxygen concentration, or relative environmental variability. Our findings demonstrate that this species can respond behaviorally to very fine-scale environmental variability in a manner not simply predicted by models of increasing activity with temperature. (C) 2013 Elsevier B.V. All rights reserved.</t>
  </si>
  <si>
    <t>[Bates, Amanda E.; Quinn, Gerry P.] Deakin Univ, Sch Life &amp; Environm Sci, Warrnambool 3280, Australia; [Bates, Amanda E.; Bird, Tomas J.; Juniper, S. Kim] Univ Tasmania, Inst Marine &amp; Antarctic Studies, Taroona 7053, Australia; [Robert, Katleen; Juniper, S. Kim] Univ Victoria, Dept Biol, Victoria, BC V8W 3N5, Canada; [Onthank, Kirt L.; Lee, Raymond W.] Washington State Univ, Sch Biol Sci, Pullman, WA 99164 USA; [Juniper, S. Kim] Univ Victoria, Sch Earth &amp; Ocean Sci, Victoria, BC V8W 3N5, Canada</t>
  </si>
  <si>
    <t>Deakin University; University of Tasmania; University of Victoria; Washington State University; University of Victoria</t>
  </si>
  <si>
    <t>Bates, AE (corresponding author), Univ Tasmania, Inst Marine &amp; Antarctic Studies, POB 49, Taroona 7053, Australia.</t>
  </si>
  <si>
    <t>Amanda.Bates@utas.edu.au</t>
  </si>
  <si>
    <t>Bates, Amanda E./ABD-6874-2021; Juniper, Kim/N-6769-2015</t>
  </si>
  <si>
    <t>Bates, Amanda E./0000-0002-0198-4537; Onthank, Kirt/0000-0001-7739-0148; Juniper, Kim/0000-0002-7608-260X</t>
  </si>
  <si>
    <t>NSF [OCE-0623554]</t>
  </si>
  <si>
    <t>NSF(National Science Foundation (NSF))</t>
  </si>
  <si>
    <t>Funding was provided by NSF OCE-0623554. We are grateful to J. Rutherford and WSU Tech Services who made the pressure chambers and housings for the loggers and camera. Collections and the in situ experiment were possible due to the expertise of the Alvin Group and support from the Captain and crew of the R/V Atlantis. [ST]</t>
  </si>
  <si>
    <t>10.1016/j.jembe.2013.06.015</t>
  </si>
  <si>
    <t>245AE</t>
  </si>
  <si>
    <t>WOS:000326430500019</t>
  </si>
  <si>
    <t>Hanson, K; Robson, C</t>
  </si>
  <si>
    <t>Hanson, Kael; Robson, Clyde</t>
  </si>
  <si>
    <t>Extending the IceCube DAQ System by Integration of the Generic High-Speed Sorter Module TESS</t>
  </si>
  <si>
    <t>IEEE TRANSACTIONS ON NUCLEAR SCIENCE</t>
  </si>
  <si>
    <t>18th IEEE-NPSS Real Time Conference (RT) on Computing Applications in Nuclear and Plasma Sciences</t>
  </si>
  <si>
    <t>JUN 11-15, 2012</t>
  </si>
  <si>
    <t>Berkeley, CA</t>
  </si>
  <si>
    <t>DAQ; data acquisition; distributed systems; high performance computing; high speed processing; icecube; parallel architectures; sorting; TESS; track engine; trigger</t>
  </si>
  <si>
    <t>In the extreme environment of Antarctica at the South Pole, the IceCube experiment, the world's first kilometer-scale neutrino telescope, collects cosmic ray events. IceCube consists of over 5000 digital optical sensor modules (DOMs) deployed on 86 instrumentation lines each extending 2.5 km deep in the antarctic ice. The array of optical modules monitors the Cherenkov light emitted by passing radiation, which, when digitized and timestamped to nanosecond precision, is used as input to sophisticated reconstruction algorithms that determine the direction, energy, and type of the incident cosmic ray event. In order to achieve this goal, the IceCube data acquisition system merges the digital data streams from each photodetector into a single time-ordered list which is presented to online triggers that determine, in realtime, whether or not a given pattern of hits is noise or signal. At the present time, the data provided to the triggers is limited by the performance of sorting and merging algorithms: the 500 Hz raw data rate from each sensor (2.5 MHz array aggregate rate) is beyond the capability of the central sort and merge. The current solution adopted by the IceCube detector is to impose a hardware-based pretrigger coincidence on hits emanating from the DOMs which reduces the rate by a factor of 20. While this pretrigger coincidence has negligible impact on the detector sensitivity for the principal goal of high-energy neutrinos from galactic or extragalactic sources, other low-energy physics searches are affected. This presentation details work done to develop and implement a system, TESS, which is capable of merging the full raw data stream being produced by the IceCube DOMs. TESS is designed as a pipelined architecture with three major modules: server, selector and the client glued together by circular buffers. The three modules runs in only three threads and since the architecture is self synchronizing and uses no data copying maximum performance can be achieved for global sorting of payloads. The TESS sorting architecture was originally designed to provide a globally sorted data stream for triggers targeting low-energy events from annihilation of hypothesized dark-matter particles, however its utility is generalizable to any IceCube trigger which requires inspection of the full data stream. The IceCube online supernova detection system is a notable example. Moreover, the algorithm is generic to any system involving multiple, independently sorted data streams which must be merged into a single sorted data stream.</t>
  </si>
  <si>
    <t>[Hanson, Kael] Univ Libre Bruxelles, Serv Phys Particules Elementaires, B-1050 Brussels, Belgium; [Robson, Clyde] Stockholm Univ, Dept Phys, AlbaNova Univ Ctr, S-10691 Stockholm, Sweden</t>
  </si>
  <si>
    <t>Universite Libre de Bruxelles; Stockholm University</t>
  </si>
  <si>
    <t>Hanson, K (corresponding author), Univ Libre Bruxelles, Serv Phys Particules Elementaires, B-1050 Brussels, Belgium.</t>
  </si>
  <si>
    <t>khanson@ulb.ac.be; clyde@physto.se</t>
  </si>
  <si>
    <t>IEEE-INST ELECTRICAL ELECTRONICS ENGINEERS INC</t>
  </si>
  <si>
    <t>PISCATAWAY</t>
  </si>
  <si>
    <t>445 HOES LANE, PISCATAWAY, NJ 08855-4141 USA</t>
  </si>
  <si>
    <t>0018-9499</t>
  </si>
  <si>
    <t>1558-1578</t>
  </si>
  <si>
    <t>IEEE T NUCL SCI</t>
  </si>
  <si>
    <t>IEEE Trans. Nucl. Sci.</t>
  </si>
  <si>
    <t>10.1109/TNS.2013.2281263</t>
  </si>
  <si>
    <t>Engineering, Electrical &amp; Electronic; Nuclear Science &amp; Technology</t>
  </si>
  <si>
    <t>Engineering; Nuclear Science &amp; Technology</t>
  </si>
  <si>
    <t>236VO</t>
  </si>
  <si>
    <t>WOS:000325827700050</t>
  </si>
  <si>
    <t>Sprenger, M; Martius, O; Arnold, J</t>
  </si>
  <si>
    <t>Sprenger, Michael; Martius, Olivia; Arnold, Julian</t>
  </si>
  <si>
    <t>Cold surge episodes over southeastern Brazil - a potential vorticity perspective</t>
  </si>
  <si>
    <t>INTERNATIONAL JOURNAL OF CLIMATOLOGY</t>
  </si>
  <si>
    <t>cold surge; potential vorticity; Rossby wave breaking</t>
  </si>
  <si>
    <t>SUBTROPICAL SOUTH-AMERICA; HEAVY PRECIPITATION; GENERALIZED FROSTS; AIR INCURSIONS; CLIMATOLOGY; DYNAMICS; WINTER; AMPLIFICATION; CYCLOGENESIS; MECHANISMS</t>
  </si>
  <si>
    <t>Most intense cold surges and associated frost events in southern and southeastern Brazil are characterized by a large amplitude trough over South America extending toward tropical latitudes and a ridge to the west of it over the Pacific Ocean. In this study, potential vorticity (PV) streamers serve to examine the flow condition leading to cold surges. Case studies suggest that several PV anomalies are related to cold surge episodes: (1) the potential vorticity unit (2-PVU) isoline upstream of South America becomes progressively more distorted prior and during the cold surge episode, indicating a flow situation which is conducive for Rossby wave breaking and hence a flow which strongly deviates from zonality; (2) the initial stage of a cold surge episode is characterized by a northward bulging of high-PV air to the east of the Andes, resulting in a PV streamer whose northern end reaches Uruguay and southeastern Brazil; the strong PV gradient on its western flank constitutes a flow configuration that induces and maintains the transport of sub-Antarctic air toward the subtropics; (3) a distinct negative PV anomaly, a blocking, originates over the eastern South Pacific, upstream of the South America sector. A composite analysis of 27 cold surges is performed for stratospheric PV streamer frequency on several isentropic surfaces. It reveals that equatorward wave breaking over South America and the western South Atlantic represents an important potential component of the dynamics of intense cold surges. The indications are most pronounced around the isentropic levels of 320K and immediately before the day with largest temperature drops over subtropical Brazil.</t>
  </si>
  <si>
    <t>[Sprenger, Michael; Martius, Olivia; Arnold, Julian] ETH, Inst Climate &amp; Atmospher Sci, CH-8092 Zurich, Switzerland; [Martius, Olivia] Univ Bern, Oeschger Ctr Climate Change Res, Bern, Switzerland; [Martius, Olivia] Univ Bern, Inst Geog, Bern, Switzerland</t>
  </si>
  <si>
    <t>Swiss Federal Institutes of Technology Domain; ETH Zurich; University of Bern; University of Bern</t>
  </si>
  <si>
    <t>Sprenger, M (corresponding author), ETH, Inst Climate &amp; Atmospher Sci, CH-8092 Zurich, Switzerland.</t>
  </si>
  <si>
    <t>michael.sprenger@env.ethz.ch</t>
  </si>
  <si>
    <t>Sprenger, Michael/0000-0002-9317-8822; Martius, Olivia/0000-0002-8645-4702</t>
  </si>
  <si>
    <t>0899-8418</t>
  </si>
  <si>
    <t>1097-0088</t>
  </si>
  <si>
    <t>INT J CLIMATOL</t>
  </si>
  <si>
    <t>Int. J. Climatol.</t>
  </si>
  <si>
    <t>10.1002/joc.3618</t>
  </si>
  <si>
    <t>232MG</t>
  </si>
  <si>
    <t>WOS:000325497400012</t>
  </si>
  <si>
    <t>Dowdeswell, JA; Ottesen, D</t>
  </si>
  <si>
    <t>Dowdeswell, J. A.; Ottesen, D.</t>
  </si>
  <si>
    <t>Buried iceberg ploughmarks in the early Quaternary sediments of the central North Sea: A two-million year record of glacial influence from 3D seismic data</t>
  </si>
  <si>
    <t>MARINE GEOLOGY</t>
  </si>
  <si>
    <t>icebergs; iceberg ploughmarks; 3D seismics; central North Sea; Scandinavian ice sheet; early Quaternary</t>
  </si>
  <si>
    <t>NORWEGIAN CONTINENTAL-SHELF; DEEP-KEELED ICEBERGS; CALVING ICE FRONTS; EAST GREENLAND; YERMAK PLATEAU; TUNNEL-VALLEYS; CAINOZOIC STRATIGRAPHY; ANTARCTIC ICEBERGS; LATE PLEISTOCENE; HIGH-RESOLUTION</t>
  </si>
  <si>
    <t>Buried linear to curvilinear depressions, interpreted as iceberg ploughmarks, were identified through most of the 2 Ma-long and about 700 m thick early Quaternary sedimentary record in two 3D seismic cubes from the central North Sea Basin (56-58 degrees N, 2-3 degrees E). The mean width of 402 features measured at 6 time slices in cube C08 was between 49 and 63 m and mean length was 2.5 to 3.7 km. Mapping the &lt;2.75 Ma old base-Quaternary horizon enabled the approximate shape of the central North Sea Basin to be estimated. The basin provided accommodation space for sediments, delivered in part by glacial processes from Scandinavia and northern Britain and from European rivers during the Quaternary. Images of seismic time slices of the chaotic and irregular features found in these sediments are similar to multibeam swath-bathymetric images of iceberg ploughmarks from modern polar shelves. The buried features indicate drifting icebergs in the central North Sea Basin through most of the early Quaternary. Lack of iceberg ploughmarks in the last few hundred thousand years of the North Sea Basin record suggests that by the Middle/Late Quaternary the basin was largely sediment filled. The iceberg source was probably an early Quaternary Scandinavian ice sheet extending intermittently onto the westward prograding shelf of western Norway. N-S orientated ploughmarks indicate iceberg drift from the north and a W-E component suggests iceberg circulation within the basin. By analogy with maximum thickness of modern icebergs, water depths were &lt;600 m at most when ploughing took place. (C) 2013 The Authors. Published by Elsevier B.V. All rights reserved.</t>
  </si>
  <si>
    <t>[Dowdeswell, J. A.] Univ Cambridge, Scott Polar Res Inst, Cambridge CB2 1ER, England; [Ottesen, D.] Exploro AS, N-7041 Trondheim, Norway</t>
  </si>
  <si>
    <t>University of Cambridge</t>
  </si>
  <si>
    <t>Dowdeswell, JA (corresponding author), Univ Cambridge, Scott Polar Res Inst, Cambridge CB2 1ER, England.</t>
  </si>
  <si>
    <t>Dowdeswell, Julian/0000-0003-1369-9482</t>
  </si>
  <si>
    <t>Exploro AS</t>
  </si>
  <si>
    <t>We thank Det norske Oljeselskap ASA and PGS for permission to publish our work on the seismic data and Exploro AS for financial support to DO. Tor Eidvin, Alistair Graham and Chris Woodworth-Lynas provided useful comments on the manuscript.</t>
  </si>
  <si>
    <t>0025-3227</t>
  </si>
  <si>
    <t>1872-6151</t>
  </si>
  <si>
    <t>MAR GEOL</t>
  </si>
  <si>
    <t>Mar. Geol.</t>
  </si>
  <si>
    <t>OCT 1</t>
  </si>
  <si>
    <t>10.1016/j.margeo.2013.06.019</t>
  </si>
  <si>
    <t>Geosciences, Multidisciplinary; Oceanography</t>
  </si>
  <si>
    <t>Geology; Oceanography</t>
  </si>
  <si>
    <t>233WP</t>
  </si>
  <si>
    <t>WOS:000325600500001</t>
  </si>
  <si>
    <t>Marino, IAM; Benazzo, A; Agostini, C; Mezzavilla, M; Hoban, SM; Patarnello, T; Zane, L; Bertorelle, G</t>
  </si>
  <si>
    <t>Marino, I. A. M.; Benazzo, A.; Agostini, C.; Mezzavilla, M.; Hoban, S. M.; Patarnello, T.; Zane, L.; Bertorelle, G.</t>
  </si>
  <si>
    <t>Evidence for past and present hybridization in three Antarctic icefish species provides new perspectives on an evolutionary radiation</t>
  </si>
  <si>
    <t>MOLECULAR ECOLOGY</t>
  </si>
  <si>
    <t>Approximate Bayesian Computation; Chionodraco; hybridization; interglacials; microsatellites; structure</t>
  </si>
  <si>
    <t>APPROXIMATE BAYESIAN COMPUTATION; MULTILOCUS GENOTYPE DATA; POPULATION-STRUCTURE; NOTOTHENIOID FISHES; GENE FLOW; MICROSATELLITE LOCI; CHIONODRACO-RASTROSPINOSUS; ADAPTIVE RADIATION; RESEQUENCING DATA; DNA-SEQUENCE</t>
  </si>
  <si>
    <t>Determining the timing, extent and underlying causes of interspecific gene exchange during or following speciation is central to understanding species' evolution. Antarctic notothenioid fish, thanks to the acquisition of antifreeze glycoproteins during Oligocene transition to polar conditions, experienced a spectacular radiation to &gt;100 species during Late Miocene cooling events. The impact of recent glacial cycles on this group is poorly known, but alternating warming and cooling periods may have affected species' distributions, promoted ecological divergence into recurrently opening niches and/or possibly brought allopatric species into contact. Using microsatellite markers and statistical methods including Approximate Bayesian Computation, we investigated genetic differentiation, hybridization and the possible influence of the last glaciation/deglaciation events in three icefish species of the genus Chionodraco. Our results provide strong evidence of contemporary and past introgression by showing that: (i) a substantial fraction of contemporary individuals in each species has mixed ancestry, (ii) evolutionary scenarios excluding hybridization or including it only in ancient times have small or zero posterior probabilities, (iii) the data support a scenario of interspecific gene flow associated with the two most recent interglacial periods. Glacial cycles might therefore have had a profound impact on the genetic composition of Antarctic fauna, as newly available shelf areas during the warmer intervals might have favoured secondary contacts and hybridization between diversified groups. If our findings are confirmed in other notothenioids, they offer new perspectives for understanding evolutionary dynamics of Antarctic fish and suggest a need for new predictions on the effects of global warming in this group.</t>
  </si>
  <si>
    <t>[Marino, I. A. M.; Agostini, C.; Zane, L.] Univ Padua, Dept Biol, I-35121 Padua, Italy; [Benazzo, A.; Hoban, S. M.; Bertorelle, G.] Univ Ferrara, Dept Life Sci &amp; Biotechnol, I-44100 Ferrara, Italy; [Mezzavilla, M.] IRCCS Burlo Garofolo, Inst Maternal &amp; Child Hlth, I-34137 Trieste, Italy; [Mezzavilla, M.] Univ Trieste, I-34137 Trieste, Italy; [Patarnello, T.] Univ Padua, Dept Comparat Biomed &amp; Food Sci, I-35020 Padua, Italy</t>
  </si>
  <si>
    <t>University of Padua; University of Ferrara; IRCCS Burlo Garofolo; University of Trieste; University of Padua</t>
  </si>
  <si>
    <t>Zane, L (corresponding author), Univ Padua, Dept Biol, Via U Bassi 58-B, I-35121 Padua, Italy.</t>
  </si>
  <si>
    <t>lorenzo.zane@unipd.it</t>
  </si>
  <si>
    <t>Marino, Ilaria/JFK-4053-2023; Mezzavilla, Massimo/J-2948-2018; Mezzavilla, Massimo/AAL-8225-2020; Zane, Lorenzo/G-6249-2010; Bertorelle, Giorgio/JBR-9056-2023; Bertorelle, Giorgio/AAE-9078-2022; Hoban, Sean M/E-1530-2011</t>
  </si>
  <si>
    <t>Mezzavilla, Massimo/0000-0002-9000-4595; Mezzavilla, Massimo/0000-0002-9000-4595; Zane, Lorenzo/0000-0002-6963-2132; Bertorelle, Giorgio/0000-0002-2498-2702; Hoban, Sean/0000-0002-0348-8449; PATARNELLO, Tomaso/0000-0003-1794-5791</t>
  </si>
  <si>
    <t>Italian National Program for Antarctic Research (PNRA); University of Padova [CPDR084151/08]; NSF [0741348]; University of Ferrara; EU; Office of Polar Programs (OPP); Directorate For Geosciences [0741348] Funding Source: National Science Foundation</t>
  </si>
  <si>
    <t>Italian National Program for Antarctic Research (PNRA); University of Padova; NSF(National Science Foundation (NSF)); University of Ferrara; EU(European Union (EU)); Office of Polar Programs (OPP); Directorate For Geosciences(National Science Foundation (NSF)NSF - Directorate for Geosciences (GEO))</t>
  </si>
  <si>
    <t>This work was supported by the Italian National Program for Antarctic Research (PNRA). We are grateful to Vittorio Varotto, Erica Bortolotto, Felix C. Mark (Integrative Ecophysiology, Alfred Wegener Institute for Polar and Marine Research, Bremerhaven, Germany) and AWI for collecting samples during Antarctic expeditions. IAMM has been funded by a University of Padova post doc Grant (CPDR084151/08). CA was partially supported by the NSF Grant 0741348. SMH was supported by the University of Ferrara and the EU project 'ConGRESS'.</t>
  </si>
  <si>
    <t>0962-1083</t>
  </si>
  <si>
    <t>1365-294X</t>
  </si>
  <si>
    <t>MOL ECOL</t>
  </si>
  <si>
    <t>Mol. Ecol.</t>
  </si>
  <si>
    <t>10.1111/mec.12458</t>
  </si>
  <si>
    <t>233EW</t>
  </si>
  <si>
    <t>WOS:000325550000008</t>
  </si>
  <si>
    <t>Bassis, JN; Jacobs, S</t>
  </si>
  <si>
    <t>Bassis, J. N.; Jacobs, S.</t>
  </si>
  <si>
    <t>Diverse calving patterns linked to glacier geometry</t>
  </si>
  <si>
    <t>AMERY ICE SHELF; ANTARCTIC PENINSULA; EAST ANTARCTICA; GREENLAND; LARSEN; ACCELERATION; DISCHARGE; DYNAMICS; COLLAPSE; MODEL</t>
  </si>
  <si>
    <t>Iceberg calving has been implicated in the retreat and acceleration of glaciers and ice shelves along the margins of the Greenland and Antarctic ice sheets(1-4). Accurate projections of sea-level rise therefore require an understanding of how and why calving occurs. Unfortunately, calving is a complex process and previous models of the phenomenon have not reproduced the diverse patterns of iceberg calving observed in nature(5,6). Here we present a numerical model that simulates the disparate calving regimes observed, including the detachment of large tabular bergs from floating ice tongues, the disintegration of ice shelves and the capsizing of smaller bergs from grounded glaciers that terminate in deep water. Our model treats glacier ice as a granular material made of interacting boulders of ice that are bonded together. Simulations suggest that different calving regimes are controlled by glacier geometry, which controls the stress state within the glacier. We also find that calving is a twostage process that requires both ice fracture and transport of detached icebergs away from the calving front. We suggest that, as a result, rapid iceberg discharge is possible in regions where highly crevassed glaciers are grounded deep beneath sea level, indicating portions of Greenland and Antarctica that may be vulnerable to rapid ice loss through catastrophic disintegration.</t>
  </si>
  <si>
    <t>[Bassis, J. N.; Jacobs, S.] Univ Michigan, Dept Atmospher Ocean &amp; Space Sci, Ann Arbor, MI 48102 USA</t>
  </si>
  <si>
    <t>University of Michigan System; University of Michigan</t>
  </si>
  <si>
    <t>Bassis, JN (corresponding author), Univ Michigan, Dept Atmospher Ocean &amp; Space Sci, Ann Arbor, MI 48102 USA.</t>
  </si>
  <si>
    <t>jbassis@umich.edu</t>
  </si>
  <si>
    <t>Bassis, Jeremy/ABB-8628-2021</t>
  </si>
  <si>
    <t>Bassis, Jeremy/0000-0003-2946-7176</t>
  </si>
  <si>
    <t>NSF [NSF-ANT 114085, NSF-ARC 1064535]; NASA [NNX10AB216G]; Directorate For Geosciences; Office of Polar Programs (OPP) [0739769, 1064535] Funding Source: National Science Foundation</t>
  </si>
  <si>
    <t>NSF(National Science Foundation (NSF)); NASA(National Aeronautics &amp; Space Administration (NASA)); Directorate For Geosciences; Office of Polar Programs (OPP)(National Science Foundation (NSF)NSF - Directorate for Geosciences (GEO))</t>
  </si>
  <si>
    <t>The authors were generously supported by NSF grants NSF-ANT 114085 and NSF-ARC 1064535 and NASA grant NNX10AB216G.</t>
  </si>
  <si>
    <t>10.1038/NGEO1887</t>
  </si>
  <si>
    <t>225ZL</t>
  </si>
  <si>
    <t>WOS:000325003700013</t>
  </si>
  <si>
    <t>McClung, WS; Eriksson, KA; Terry, DO; Cuffey, CA</t>
  </si>
  <si>
    <t>McClung, Wilson S.; Eriksson, Kenneth A.; Terry, Dennis O., Jr.; Cuffey, Clifford A.</t>
  </si>
  <si>
    <t>Sequence stratigraphic hierarchy of the Upper Devonian Foreknobs Formation, central Appalachian Basin, USA: Evidence for transitional greenhouse to icehouse conditions</t>
  </si>
  <si>
    <t>Late Devonian; Catskill; Foreknobs Formation; Sequence stratigraphy; Paleosol; Incised-valley fill; Icehouse</t>
  </si>
  <si>
    <t>SEA-LEVEL FLUCTUATIONS; INCISED VALLEY FILL; FORELAND BASIN; SEDIMENTARY STRUCTURES; CATSKILL DELTA; SONYEA GROUP; FACIES; RECOGNITION; DEPOSITION; MIDDLE</t>
  </si>
  <si>
    <t>The Foreknobs Formation (Upper Devonian; Upper Frasnian to basal Famennian) comprises the uppermost marine strata of the progradational Catskill clastic wedge of the south-central Appalachian Mountains (Virginia-West Virginia; USA). The Foreknobs Formation consists of 14 lithofacies arranged in four fades associations which record the following depositional settings: 1) storm-dominated distal to proximal offshore to shoreface (facies association A); 2) sharp-based conglomeratic shoreface (facies association B); 3) fluvial redbed (fades association C); and 4) incised-valley fill (IVF; facies association D). Vertical juxtaposition and stacking patterns of lithofacies and facies associations permit recognition of a hierarchy of three scales of cyclicity. Up to 70 short-term 5th-order cycles, each averaging similar to 65 kyr, consist of coarsening-upward parasequences of storm-dominated offshore marine facies in the distal setting which correspond to high frequency (unconformity bound) sequences (HFS) of fluvial redbed strata overlain by offshore marine strata in the proximal setting. These facies relationships are a consequence of 10-15 m of sea-level fluctuations. Up to 12 intermediate-term 4th-order cycles, each averaging similar to 375 kyr, consist of stacked 5th-order cycles. The 4th-order cycles are bounded by regressive surfaces of marine erosion (RSME) at the base of sharp-based conglomeratic shoreface sandstones in the distal setting that correspond with paleosols in the proximal setting. In some cases, the 5th-order cycles within each 4th-order cycle exhibit stacking patterns indicative of increasing or decreasing accommodation space. These facies relationships are a consequence of 25-35 m of sea-level fluctuations. Three complete and portions of two additional 3rd-order cycles, each averaging similar to 1.12 Myr, consist of stacked 4th-order cycles. The 3rd-order sea-level trends reflected in the Foreknobs Formation are nearly identical to published eustatic sea-level curves. Incised-valley fills are present at one of the 3rd-order cycle boundaries and are a consequence of a 35-45 m sea-level fluctuation. The amplitudes of the inferred sea-level fluctuations are comparable to the expansion and contraction of ice volumes within the current Greenland and Antarctic ice sheets which suggests glacioeustasy was the primary control on sea-level fluctuations and cyclicity within the Foreknobs Formation. Such an interpretation is consistent with knowledge of Devonian climate, transitioning from Middle Devonian greenhouse to Late Devonian icehouse, as indicated by evidence of glaciation during parts of the Late Devonian in South America and the Appalachians. (C) 2013 Authors. Published by Elsevier B.V. All rights reserved.</t>
  </si>
  <si>
    <t>[McClung, Wilson S.; Cuffey, Clifford A.] Chevron USA Inc, Midland, TX 79705 USA; [Eriksson, Kenneth A.] Virginia Tech, Dept Geosci, Blacksburg, VA 24061 USA; [Terry, Dennis O., Jr.] Temple Univ, Dept Earth &amp; Environm Sci, Philadelphia, PA 19122 USA</t>
  </si>
  <si>
    <t>Chevron; Virginia Polytechnic Institute &amp; State University; Pennsylvania Commonwealth System of Higher Education (PCSHE); Temple University</t>
  </si>
  <si>
    <t>McClung, WS (corresponding author), Chevron USA Inc, 15 Smith Rd, Midland, TX 79705 USA.</t>
  </si>
  <si>
    <t>wildarmc@att.net</t>
  </si>
  <si>
    <t>10.1016/j.palaeo.2013.07.020</t>
  </si>
  <si>
    <t>233WA</t>
  </si>
  <si>
    <t>WOS:000325599000010</t>
  </si>
  <si>
    <t>Hanchet, SM; Stewart, AL; Mcmillan, PJ; Clark, MR; O'Driscoll, RL; Stevenson, ML</t>
  </si>
  <si>
    <t>Hanchet, Stuart M.; Stewart, Andrew L.; Mcmillan, Peter J.; Clark, Malcolm R.; O'Driscoll, Richard L.; Stevenson, Michael L.</t>
  </si>
  <si>
    <t>Diversity, relative abundance, new locality records, and updated fish fauna of the Ross Sea region</t>
  </si>
  <si>
    <t>Antarctica; demersal fish; mesopelagic fish; species-richness</t>
  </si>
  <si>
    <t>ANTARCTICA; GENUS; NOTOTHENIOIDEI; TELEOSTEI; PISCES; ARTEDIDRACONIDAE; GRENADIER; ZOARCIDAE; SHELF</t>
  </si>
  <si>
    <t>Two surveys were carried out in the Ross Sea region during February and March 2004 and 2008 from the New Zealand RV Tangaroa. Fishes were sampled on the continental shelf and slope of the Ross Sea, and on adjacent seamounts to the north, mainly using a large demersal fish trawl and a large mesopelagic fish trawl. Parts of the shelf and slope were stratified by depth and at least three random demersal trawls were completed in each stratum, enabling biomass estimates of demersal fish to be calculated. Fish distribution data from these two surveys were supplemented by collections made by observers from the toothfish fishery. A diverse collection of over 2500 fish specimens was obtained from the two surveys representing 110 species in 21 families. When combined with previous documented material this gave a total species list of 175, of which 135 were from the Ross Sea shelf and slope (to the 2000m isobath). Demersal species-richness, diversity and evenness indices all decreased going from the shelf to the slope and the seamounts. In contrast, indices for pelagic species were similar for the slope and seamounts/ abyss but were much lower for the shelf.</t>
  </si>
  <si>
    <t>[Hanchet, Stuart M.; Stevenson, Michael L.] NIWA, Nelson, New Zealand; [Stewart, Andrew L.] Museum New Zealand Te Papa Tongarewa, Wellington 6011, New Zealand; [Mcmillan, Peter J.; Clark, Malcolm R.; O'Driscoll, Richard L.] Natl Inst Water &amp; Atmospher Res, Wellington 6021, New Zealand</t>
  </si>
  <si>
    <t>National Institute of Water &amp; Atmospheric Research (NIWA) - New Zealand; National Institute of Water &amp; Atmospheric Research (NIWA) - New Zealand</t>
  </si>
  <si>
    <t>Hanchet, SM (corresponding author), NIWA, POB 893, Nelson, New Zealand.</t>
  </si>
  <si>
    <t>s.hanchet@niwa.co.nz</t>
  </si>
  <si>
    <t>Stewart, Andrew/HGC-0709-2022</t>
  </si>
  <si>
    <t>Stewart, Andrew/0000-0001-8354-3032</t>
  </si>
  <si>
    <t>New Zealand Government [So001IPY, IPY2007-01]</t>
  </si>
  <si>
    <t>New Zealand Government</t>
  </si>
  <si>
    <t>A large number of people were involved in the planning, preparation, mobilization, and conduct of the two surveys considered here. They are too numerous to name, but in particular the officers and crew of RV Tangaroa, and the scientific staff during the surveys, are acknowledged. We also thank the scientific observers and fishing companies for returning specimens from the toothfish fishery. We are grateful to Joe Eastman, Tom Near, David Stein, and Peter Moller for verifying at-sea fish identifications and also to Peter Smith for crosschecking identifications using DNA barcoding. This research was funded by the New Zealand Government under the New Zealand International Polar Year-Census of Antarctic Marine Life Project (Phase 1: So001IPY, Phase 2: IPY2007-01). We gratefully acknowledge project governance by the Ministry of Fisheries Science Team and the Ocean Survey 20/20 CAML Advisory Group (Land Information New Zealand, Ministry of Fisheries, Antarctica New Zealand, Ministry of Foreign Affairs and Trade, and National Institute of Water and Atmospheric Research Ltd). We are also grateful to the reviewers for their constructive comments.</t>
  </si>
  <si>
    <t>10.1017/S0954102012001265</t>
  </si>
  <si>
    <t>231GQ</t>
  </si>
  <si>
    <t>WOS:000325404500003</t>
  </si>
  <si>
    <t>Priscu, JC; Achberger, AM; Cahoon, JE; Christner, BC; Edwards, RL; Jones, WL; Michaud, AB; Siegfried, MR; Skidmore, ML; Spigel, RH; Switzer, GW; Tulaczyk, S; Vick-Majors, TJ</t>
  </si>
  <si>
    <t>Priscu, John C.; Achberger, Amanda M.; Cahoon, Joel E.; Christner, Brent C.; Edwards, Robert L.; Jones, Warren L.; Michaud, Alexander B.; Siegfried, Matthew R.; Skidmore, Mark L.; Spigel, Robert H.; Switzer, Gregg W.; Tulaczyk, Slawek; Vick-Majors, Trista J.</t>
  </si>
  <si>
    <t>A microbiologically clean strategy for access to the Whillans Ice Stream subglacial environment</t>
  </si>
  <si>
    <t>clean access; environmental stewardship; hot water drilling; subglacial aquatic environments</t>
  </si>
  <si>
    <t>ACTIVE RESERVOIR BENEATH; WEST ANTARCTICA; LAKE VOSTOK; SHEET; BACTERIA; MORPHOLOGY; INVENTORY; RADAR</t>
  </si>
  <si>
    <t>The Whillans Ice Stream Subglacial Access Research Drilling (WISSARD) project will test the overarching hypothesis that an active hydrological system exists beneath a West Antarctic ice stream that exerts a major control on ice dynamics, and the metabolic and phylogenetic diversity of the microbial community in subglacial water and sediment. WISSARD will explore Subglacial Lake Whillans (SLW, unofficial name) and its outflow toward the grounding line where it is thought to enter the Ross Ice Shelf seawater cavity. Introducing microbial contamination to the subglacial environment during drilling operations could compromise environmental stewardship and the science objectives of the project, consequently we developed a set of tools and procedures to directly address these issues. WISSARD hot water drilling efforts will include a custom water treatment system designed to remove micron and sub-micron sized particles (biotic and abiotic), irradiate the drilling water with germicidal ultraviolet (UV) radiation, and pasteurize the water to reduce the viability of persisting microbial contamination. Our clean access protocols also include methods to reduce microbial contamination on the surfaces of cables/ hoses and down-borehole equipment using germicidal UV exposure and chemical disinfection. This paper presents experimental data showing that our protocols will meet expectations established by international agreement between participating Antarctic nations.</t>
  </si>
  <si>
    <t>[Priscu, John C.; Edwards, Robert L.; Michaud, Alexander B.; Switzer, Gregg W.; Vick-Majors, Trista J.] Montana State Univ, Dept Land Resources &amp; Environm Sci, Bozeman, MT 59717 USA; [Achberger, Amanda M.; Christner, Brent C.] Louisiana State Univ, Dept Biol Sci, Baton Rouge, LA 70803 USA; [Cahoon, Joel E.; Jones, Warren L.] Montana State Univ, Dept Biol Sci, Bozeman, MT 59717 USA; [Siegfried, Matthew R.] Univ Calif San Diego, Scripps Inst Oceanog, La Jolla, CA 92093 USA; [Skidmore, Mark L.] Montana State Univ, Dept Earth Sci, Bozeman, MT 59717 USA; [Spigel, Robert H.] Natl Inst Water &amp; Atmospher Res Ltd, Christchurch, New Zealand; [Tulaczyk, Slawek] Univ Calif Santa Cruz, Dept Earth &amp; Planetary Sci, Santa Cruz, CA 95064 USA</t>
  </si>
  <si>
    <t>Montana State University System; Montana State University Bozeman; Louisiana State University System; Louisiana State University; Montana State University System; Montana State University Bozeman; University of California System; University of California San Diego; Scripps Institution of Oceanography; Montana State University System; Montana State University Bozeman; National Institute of Water &amp; Atmospheric Research (NIWA) - New Zealand; University of California System; University of California Santa Cruz</t>
  </si>
  <si>
    <t>Priscu, JC (corresponding author), Montana State Univ, Dept Land Resources &amp; Environm Sci, Bozeman, MT 59717 USA.</t>
  </si>
  <si>
    <t>jpriscu@montana.edu</t>
  </si>
  <si>
    <t>Michaud, Alex/AAC-4890-2020; Skidmore, Mark L/I-4317-2018; Vick-Majors, Trista/AAQ-6258-2020; Tulaczyk, Slawek/O-7375-2018</t>
  </si>
  <si>
    <t>Michaud, Alex/0000-0001-5714-8741; Vick-Majors, Trista/0000-0002-6868-4010; Achberger, Amanda/0000-0001-5738-2255; Tulaczyk, Slawek/0000-0002-9711-4332</t>
  </si>
  <si>
    <t>NSF-OPP [0838933, 0838941, 0839142]; Whillans Ice Stream Subglacial Access Drilling (WISSARD) Project; Directorate For Geosciences [0839142] Funding Source: National Science Foundation; Directorate For Geosciences; Division Of Polar Programs [0838933] Funding Source: National Science Foundation; Division Of Polar Programs; Directorate For Geosciences [0838941] Funding Source: National Science Foundation; Office of Polar Programs (OPP) [0839142] Funding Source: National Science Foundation</t>
  </si>
  <si>
    <t>NSF-OPP(National Science Foundation (NSF)); Whillans Ice Stream Subglacial Access Drilling (WISSARD) Project; Directorate For Geosciences(National Science Foundation (NSF)NSF - Directorate for Geosciences (GEO)); Directorate For Geosciences; Division Of Polar Programs(National Science Foundation (NSF)NSF - Directorate for Geosciences (GEO)); Division Of Polar Programs; Directorate For Geosciences(National Science Foundation (NSF)NSF - Directorate for Geosciences (GEO)); Office of Polar Programs (OPP)(National Science Foundation (NSF)NSF - Directorate for Geosciences (GEO))</t>
  </si>
  <si>
    <t>We are grateful to the Department of Civil Engineering for allowing us use of the Hydraulics Laboratory at MSU. P. W. Adkins assisted with the experiments and laboratory work and R. Powell commented on the manuscript. This work was supported by NSF-OPP grants 0838933 to JCP, 0838941 to BC and 0839142 to ST as part of the Whillans Ice Stream Subglacial Access Drilling (WISSARD) Project. We appreciate the support and contributions of the WISSARD science team, and drilling and operational support contractors in accomplishing our goals. We gratefully acknowledge the constructive comments of the reviewers.</t>
  </si>
  <si>
    <t>10.1017/S0954102013000035</t>
  </si>
  <si>
    <t>WOS:000325404500004</t>
  </si>
  <si>
    <t>Farrow, R; Greenslade, P</t>
  </si>
  <si>
    <t>Farrow, Roger; Greenslade, Penelope</t>
  </si>
  <si>
    <t>Description of a robust interception trap for collecting airborne arthropods in climatically challenging regions</t>
  </si>
  <si>
    <t>brass gauze; immigrants; invertebrates; Macquarie Island; stainless steel; wind</t>
  </si>
  <si>
    <t>MIGRATION; INSECTS; ISLAND</t>
  </si>
  <si>
    <t>An interception trap to collect airborne arthropods under extreme weather conditions is described. The trap, constructed from durable materials, is operated by wind pressure. It consists of a funnel of fine brass gauze mounted inside a cylinder of stainless steel that rotates into the wind on a mast at 1.5m from the ground. The gauze funnel terminates in a removable, propanol-filled, collecting bottle into which airborne material accumulates. The counterbalanced cylinder rotates around a central shaft on roller bearings and faces into the wind. Two traps were successfully operated continuously for four and five years, respectively, on sub-Antarctic Macquarie Island and have collected large numbers of airborne arthropods and other biological material over this period.</t>
  </si>
  <si>
    <t>[Farrow, Roger] Tilembaya, Urila, NSW 2620, Australia; [Greenslade, Penelope] Univ Ballarat, Ballarat, Vic 3350, Australia; [Greenslade, Penelope] Australian Natl Univ, Dept Biol, Gpo, ACT 0200, Australia</t>
  </si>
  <si>
    <t>Federation University Australia; Australian National University</t>
  </si>
  <si>
    <t>Greenslade, P (corresponding author), Univ Ballarat, Ballarat, Vic 3350, Australia.</t>
  </si>
  <si>
    <t>Pgreenslade@staff.ballarat.edu.au</t>
  </si>
  <si>
    <t>Antarctic Scientific Advisory Committee and Antarctic Division</t>
  </si>
  <si>
    <t>We thank staff of the Division of Entomology Workshop for constructing the traps and for helpful advice on design, Emma Nestor for preparation of Figs 2-4, and the Antarctic Scientific Advisory Committee and Antarctic Division for financial support to carry out this project. The constructive comments of the reviewers are also gratefully acknowledged.</t>
  </si>
  <si>
    <t>10.1017/S0954102013000084</t>
  </si>
  <si>
    <t>WOS:000325404500006</t>
  </si>
  <si>
    <t>Dieser, M; Foreman, CM; Jaros, C; Lisle, JT; Greenwood, M; Laybourn-Parry, J; Miller, PL; Chin, YP; McKnight, DM</t>
  </si>
  <si>
    <t>Dieser, Markus; Foreman, Christine M.; Jaros, Christopher; Lisle, John T.; Greenwood, Mark; Laybourn-Parry, Johanna; Miller, Penney L.; Chin, Yu-Ping; McKnight, Diane M.</t>
  </si>
  <si>
    <t>Physicochemical and biological dynamics in a coastal Antarctic lake as it transitions from frozen to open water</t>
  </si>
  <si>
    <t>Antarctica; microbes; seasonal transition</t>
  </si>
  <si>
    <t>PLANKTONIC MICROBIAL COMMUNITY; MCMURDO DRY VALLEYS; INLAND WATERS; SALINE LAKES; WINTER; PONDS; BACTERIOPLANKTON; TRANSFORMATIONS; CHEMISTRY; BACTERIA</t>
  </si>
  <si>
    <t>Pony Lake, at Cape Royds, Antarctica, is a shallow, eutrophic, coastal lake that freezes solid in the winter. Changes in Pony Lake's physicochemical parameters and microbial community were studied during the transition from ice to open water. Due to rising water temperatures, the progressive melt of the ice column and the gradual mixing of basal brines into the remaining water column, Pony Lake evolved physically and chemically over the course of the summer, thereby affecting the microbial community composition. Temperature, pH, conductivity, nutrients and major ion concentrations reached their maximum in January. Pony Lake was colonized by bacteria, viruses, phytoflagellates, ciliates, and a small number of rotifers. Primary and bacterial production were highest in mid-December (2.66 mg C l(-1) d(-1) and 30.5 mu g C l(-1) d(-1), respectively). A 16S rRNA gene analysis of the bacterioplankton revealed 34 unique sequences dominated by members of the beta-and gamma-proteobacteria lineages. Cluster analyses on denaturing gradient gel electrophoresis (DGGE) banding patterns and community structure indicated a shift in the dominant members of the microbial community during the transition from winter ice, to early, and late summer lakewater. Our data demonstrate that temporal changes in physicochemical parameters during the summer months determine community dynamics and mediate changes in microbial species composition.</t>
  </si>
  <si>
    <t>[Dieser, Markus; Foreman, Christine M.] Montana State Univ, Ctr Biofilm Engn, Bozeman, MT 59717 USA; [Dieser, Markus; Foreman, Christine M.] Montana State Univ, Dept Land Resources &amp; Environm Sci, Bozeman, MT 59717 USA; [Jaros, Christopher; McKnight, Diane M.] Univ Colorado, INSTAAR, Boulder, CO 80309 USA; [Lisle, John T.] Ctr Coastal &amp; Watershed Studies, USGS, St Petersburg, FL 33701 USA; [Greenwood, Mark] Montana State Univ, Dept Math Sci, Bozeman, MT 59717 USA; [Laybourn-Parry, Johanna] Univ Bristol, Sch Geog Sci, Bristol Glaciol Ctr, Bristol BS8 1SS, Avon, England; [Miller, Penney L.] Rose Hulman Inst Technol, Dept Chem, Terre Haute, IN 47803 USA; [Chin, Yu-Ping] Ohio State Univ, Sch Earth Sci, Mendenhall Lab 285, Columbus, OH 43210 USA; [Dieser, Markus] Louisiana State Univ, Dept Biol Sci, Baton Rouge, LA 70803 USA</t>
  </si>
  <si>
    <t>Montana State University System; Montana State University Bozeman; Montana State University System; Montana State University Bozeman; University of Colorado System; University of Colorado Boulder; United States Department of the Interior; United States Geological Survey; Montana State University System; Montana State University Bozeman; University of Bristol; Rose Hulman Institute Technology; University System of Ohio; Ohio State University; Louisiana State University System; Louisiana State University</t>
  </si>
  <si>
    <t>Foreman, CM (corresponding author), Montana State Univ, Ctr Biofilm Engn, 366 EPS Bldg, Bozeman, MT 59717 USA.</t>
  </si>
  <si>
    <t>Dieser, Markus/0000-0001-8539-6646; MCKNIGHT, DIANE/0000-0002-4171-1533; Foreman, Christine/0000-0003-0230-4692</t>
  </si>
  <si>
    <t>NSF [OPP-0338260, OPP-0338299, OPP-0338121, OPP-0338342]; Directorate For Geosciences; Office of Polar Programs (OPP) [0838970] Funding Source: National Science Foundation</t>
  </si>
  <si>
    <t>NSF(National Science Foundation (NSF)); Directorate For Geosciences; Office of Polar Programs (OPP)(National Science Foundation (NSF)NSF - Directorate for Geosciences (GEO))</t>
  </si>
  <si>
    <t>Logistical support for this project was provided by Raytheon Polar Services, including several volunteer field assistants that greatly enabled our field efforts. Skilled helicopter transport came from the pilots of Petroleum Helicopters Inc and Helicopters New Zealand. K. Welch, A. Chiuchiolo, C. Gardner and R. van Treese of the McMurdo Dry Valleys LTER program provided analytical support. Daniel Horn, a summer intern with the American Indian Research Opportunities Program at MSU, aided in image analysis. We sincerely appreciate the valuable comments and suggestions from the reviewers, especially those of Dr Ian Hawes. Funding for this project came from NSF OPP-0338260 to YPC, OPP-0338299 to DMM, OPP-0338121 to PM, and OPP-0338342 to CMF. Any opinions, findings, or conclusions expressed in this material are those of the authors and do not necessarily reflect the views of the National Science Foundation.</t>
  </si>
  <si>
    <t>10.1017/S0954102013000102</t>
  </si>
  <si>
    <t>WOS:000325404500007</t>
  </si>
  <si>
    <t>Buckley, BA</t>
  </si>
  <si>
    <t>Buckley, Bradley A.</t>
  </si>
  <si>
    <t>Rapid change in shallow water fish species composition in an historically stable Antarctic environment</t>
  </si>
  <si>
    <t>Antarctic fishes; condition index; distribution; McMurdo Sound</t>
  </si>
  <si>
    <t>NOTOTHENIOID FISHES; MCMURDO SOUND; ROSS SEA; TREMATOMUS-BERNACCHII; WEDDELL SEALS; CONTINENTAL-SHELF; EXPRESSION; TOOTHFISH; ICE; TEMPERATURES</t>
  </si>
  <si>
    <t>McMurdo Sound, Antarctica, is home to a unique marine biota with an ecology that has evolved in this frigid environment over millions of years. The region is one of the least disturbed, and possibly the last pristine, marine ecosystem on Earth. Here, the results of three seasons of fishing in the shallow nearshore waters of McMurdo Sound are reported. A shift in the composition of small fish species at one site, Inaccessible Island, has been observed in just five years. The shift in shallow water species composition occurred during a period that followed the maturation of a commercial fishery for the Antarctic toothfish, Dissostichus mawsoni Norman, a predator of smaller fish, and the presence of a large iceberg, termed B-15, at the mouth of McMurdo Sound during the early 2000s that trapped the annual sea ice in the area leading to the unusual accrual of multi-year sea ice. The data presented here provide a current record of species composition and physiological condition of small, shallow water fishes at three sites in McMurdo Sound, providing a current baseline for the assessment of future changes wrought by environmental changes and unprecedented fishery pressures in the Ross Sea.</t>
  </si>
  <si>
    <t>Portland State Univ, Dept Biol, Ctr Life Extreme Environm, Portland, OR 97201 USA</t>
  </si>
  <si>
    <t>Portland State University</t>
  </si>
  <si>
    <t>Buckley, BA (corresponding author), Portland State Univ, Dept Biol, Ctr Life Extreme Environm, Portland, OR 97201 USA.</t>
  </si>
  <si>
    <t>bbuckley@pdx.edu</t>
  </si>
  <si>
    <t>NSF [ANT-0944743, ANT-0443754, ANT-0440799]</t>
  </si>
  <si>
    <t>The 2010 and 2011 collections were supported by NSF grant ANT-0944743 to BAB. The author thanks I.M. Sleadd, A.L. Kelley, D.O. Hassumani, A.J. Barden and M. Lee for field assistance during these seasons. The author would also like to gratefully acknowledge Dr G.E. Hofmann and the members of B-134-M (J.M. Dutton, E.A. Hoagland, C.J. Osovitz and M.L. Zippay) for their excellent assistance in the field collections of the 2005 season, which were supported under NSF Postdoctoral Award ANT-0443754 to BAB and NSF grant ANT-0440799 to GEH. The author would like to thank two reviewers for their helpful comments on the manuscript.</t>
  </si>
  <si>
    <t>10.1017/S0954102013000114</t>
  </si>
  <si>
    <t>WOS:000325404500008</t>
  </si>
  <si>
    <t>Talarico, FM; Pace, D; Levy, RH</t>
  </si>
  <si>
    <t>Talarico, F. M.; Pace, D.; Levy, R. H.</t>
  </si>
  <si>
    <t>Provenance of basement erratics in Quaternary coastal moraines, southern McMurdo Sound, and implications for the source of Eocene sedimentary rocks</t>
  </si>
  <si>
    <t>Antarctica; Cenozoic; glacial erratic; petrographic analyses; Transantarctic Mountains</t>
  </si>
  <si>
    <t>VICTORIA-LAND; GLACIER AREA; ROSS OROGEN; DEFORMATION; EMBAYMENT; EAST</t>
  </si>
  <si>
    <t>This paper summarizes fieldwork conducted in 2007 and presents results of petrographical analyses of basement rocks that occur along with fossil-rich Eocene sedimentary erratics in moraines along the north-east flank of Mount Discovery in southern McMurdo Sound. The Eocene rocks are significant as they provide a rare glimpse into greenhouse environments at high southern latitudes. Basement erratics recovered from the moraines are petrographically similar to metamorphic and igneous rocks exposed in the Transantarctic Mountains at locations between the Carlyon and Skelton glaciers and/or within the drainage catchments of Mulock and Skelton glaciers. These new clast provenance data imply that the Eocene sedimentary erratics are most likely derived from outcrops that are currently located beneath the Ross Ice Shelf south and/or immediately east of Minna Bluff. The suite of basement and sedimentary erratics were transported to their present location by ice that flowed north-eastwards from the Skelton-Mulock region and was pushed westwards into southern McMurdo Sound by grounded ice flowing north from West Antarctica. Results from this study support prior reconstructions of ice flow during peak glacial intervals during the Miocene-Pleistocene including the Last Glacial Maximum.</t>
  </si>
  <si>
    <t>[Talarico, F. M.; Pace, D.] Univ Siena, Dipartimento Sci Fis Terra &amp; Ambiente, I-53100 Siena, Italy; [Levy, R. H.] GNS Sci, Lower Hutt, New Zealand</t>
  </si>
  <si>
    <t>University of Siena; GNS Science - New Zealand</t>
  </si>
  <si>
    <t>Talarico, FM (corresponding author), Univ Siena, Dipartimento Sci Fis Terra &amp; Ambiente, Via Laterina 8, I-53100 Siena, Italy.</t>
  </si>
  <si>
    <t>talarico@unisi.it</t>
  </si>
  <si>
    <t>Levy, Richard H/E-2477-2011; talarico, franco/G-9472-2012</t>
  </si>
  <si>
    <t>talarico, franco/0000-0002-7254-4301; Levy, Richard/0000-0002-8783-0167</t>
  </si>
  <si>
    <t>Italian Programma Nazionale di Ricerche in Antartide and PRIN</t>
  </si>
  <si>
    <t>We would like to acknowledge M. Flowerdew, T. Paulsen and S. Rocchi for their helpful comments and suggestions. The ANDRILL Science Management Office at the University of Nebraska-Lincoln provided operational support during fieldwork. This research was carried out with the financial support of the Italian Programma Nazionale di Ricerche in Antartide and PRIN2008.</t>
  </si>
  <si>
    <t>10.1017/S0954102013000072</t>
  </si>
  <si>
    <t>WOS:000325404500009</t>
  </si>
  <si>
    <t>Busetto, M; Lanconelli, C; Mazzola, M; Lupi, A; Petkov, B; Vitale, V; Tomasi, C; Grigioni, P; Pellegrini, A</t>
  </si>
  <si>
    <t>Busetto, Maurizio; Lanconelli, Christian; Mazzola, Mauro; Lupi, Angelo; Petkov, Boyan; Vitale, Vito; Tomasi, Claudio; Grigioni, Paolo; Pellegrini, Andrea</t>
  </si>
  <si>
    <t>Parameterization of clear sky effective emissivity under surface-based temperature inversion at Dome C and South Pole, Antarctica</t>
  </si>
  <si>
    <t>BSRN; downwelling longwave irradiance; high Antarctic Plateau; radio sounding</t>
  </si>
  <si>
    <t>RADIATION</t>
  </si>
  <si>
    <t>For most parts of the year the Antarctic Plateau has a surface temperature inversion with strength c. 20 K. Under such conditions the warmer air at the top of the inversion layer contributes more to the clear sky atmospheric longwave radiation at surface level than does the colder air near the ground. Hence, it is more appropriate to relate longwave irradiance (LWI) to the top of the inversion layer temperature (T-m) than to the ground level temperature (T-g). Analysis of radio soundings carried out at Dome C and South Pole during 2006-08 shows that the temperature at 400m above the surface (T-400) is a good proxy for Tm and is linearly related to T-g with correlation coefficients greater than 0.8. During summer, radiosonde measurements show almost isothermal conditions, hence T-400 still remains a good proxy for the lower troposphere maximum temperature. A methodology is presented to parameterize the clear sky effective emissivity in terms of the troposphere maximum temperature, using ground temperature measurements. The predicted LWI values for both sites are comparable with those obtained using radiative transfer models, while for Dome C the bias of 0.8Wm(-2) and the root mean square (RMS) of 6.2Wm(-2) are lower than those calculated with previously published parametric equations.</t>
  </si>
  <si>
    <t>[Busetto, Maurizio; Lanconelli, Christian; Mazzola, Mauro; Lupi, Angelo; Petkov, Boyan; Vitale, Vito; Tomasi, Claudio] CNR, Inst Atmospher Sci &amp; Climate, I-40129 Bologna, Italy; [Petkov, Boyan] Abdus Salaam Int Ctr Theoret Phys, I-34014 Trieste, Italy; [Grigioni, Paolo; Pellegrini, Andrea] Italian Natl Agcy New Technol Energy &amp; Sustainabl, I-00123 Rome, Italy</t>
  </si>
  <si>
    <t>Consiglio Nazionale delle Ricerche (CNR); Istituto di Scienze dell'Atmosfera e del Clima (ISAC-CNR); Abdus Salam International Centre for Theoretical Physics (ICTP); Italian National Agency New Technical Energy &amp; Sustainable Economics Development</t>
  </si>
  <si>
    <t>Busetto, M (corresponding author), CNR, Inst Atmospher Sci &amp; Climate, Via Gobetti 101, I-40129 Bologna, Italy.</t>
  </si>
  <si>
    <t>m.busetto@isac.cnr.it</t>
  </si>
  <si>
    <t>busetto, maurizio/Q-4118-2018; vitale, vito/AAW-8441-2021; Grigioni, paolo/AAH-5193-2020; Lanconelli, Christian/Q-5848-2018; Mazzola, Mauro/K-9376-2016; Pellegrini, Andrea/O-3094-2015</t>
  </si>
  <si>
    <t>Lanconelli, Christian/0000-0002-9545-1255; Mazzola, Mauro/0000-0002-8394-2292; Pellegrini, Andrea/0000-0001-5577-7472; Petkov, Boyan/0000-0002-8328-340X; vitale, vito/0000-0003-0978-8976; busetto, maurizio/0000-0003-1115-6564; lupi, angelo/0000-0002-5009-9876</t>
  </si>
  <si>
    <t>Programma Nazionale di Ricerche in Antartide (PNRA) [2004/2.04]; RMO-Osservatorio Climatologico'' of the Programma Nazionale di Ricerche in Antartide (PNRA)</t>
  </si>
  <si>
    <t>Programma Nazionale di Ricerche in Antartide (PNRA); RMO-Osservatorio Climatologico'' of the Programma Nazionale di Ricerche in Antartide (PNRA)</t>
  </si>
  <si>
    <t>This research was supported by the Programma Nazionale di Ricerche in Antartide (PNRA) and developed as a Subproject 2004/2.04 Implementation of the BSRN station at Dome Concordia''. Meteorological and radiosonde data used in this study were obtained from the RMO-Osservatorio Climatologico'' of the Programma Nazionale di Ricerche in Antartide (PNRA) (http://www.climantartide.it, accessed March 2010). The constructive comments of the reviewers are gratefully acknowledged.</t>
  </si>
  <si>
    <t>10.1017/S0954102013000096</t>
  </si>
  <si>
    <t>WOS:000325404500010</t>
  </si>
  <si>
    <t>Järvinen, O; Leppäranta, M; Vehviläinen, J</t>
  </si>
  <si>
    <t>Jarvinen, Onni; Lepparanta, Matti; Vehvilainen, Juho</t>
  </si>
  <si>
    <t>One-year records from automatic snow stations in western Dronning Maud Land, Antarctica</t>
  </si>
  <si>
    <t>heat budget; mass balance; power spectra; snow accumulation; snow physics; thermal conductivity</t>
  </si>
  <si>
    <t>SURFACE-ENERGY BALANCE; MASS-BALANCE; EAST ANTARCTICA; WEATHER STATIONS; SPATIAL VARIABILITY; PHYSICAL-PROPERTIES; FOURIER-TRANSFORM; FIRN CORES; ICE CORES; ACCUMULATION</t>
  </si>
  <si>
    <t>Two automatic snow stations were deployed for one year (from December 2009-January 2011) in western Dronning Maud Land. The purposes of the experiment were: 1) to build a working snow station to measure the snow surface layer temperature, and 2) to use the data for snow heat and mass balance investigations. The data collection was successful and lasted about 400 days (9 December 2009-21 January 2011). The annual net snow accumulation at snow station 2 (continental ice sheet) was 86 cm (345mm water equivalent) and at snow station 1 (ice shelf) more than 150 cm. The power spectra revealed daily cycle, synoptic scale variability, and variability in a low-frequency band of 60-120 days at a depth of 54 cm. The snow-air heat flux was estimated from the data, resulting in negative values (from snow to air) during autumn and winter and positive values (from air to snow) in spring and summer. The physical characterization of snow stratigraphy was done during installation and retrieval of the snow stations, including density, hardness (hand test), stratigraphy, and grain size and shape.</t>
  </si>
  <si>
    <t>[Jarvinen, Onni; Lepparanta, Matti; Vehvilainen, Juho] Univ Helsinki, Dept Phys, FI-00014 Helsinki, Finland</t>
  </si>
  <si>
    <t>Järvinen, O (corresponding author), Univ Helsinki, Dept Phys, POB 48,Erik Palmenin Aukio 1, FI-00014 Helsinki, Finland.</t>
  </si>
  <si>
    <t>onni.jarvinen@helsinki.fi</t>
  </si>
  <si>
    <t>Lepparanta, Matti/M-7507-2017</t>
  </si>
  <si>
    <t>Lepparanta, Matti/0000-0002-4754-5564</t>
  </si>
  <si>
    <t>Academy of Finland [127691]; Academy of Finland (AKA) [127691] Funding Source: Academy of Finland (AKA)</t>
  </si>
  <si>
    <t>Academy of Finland(Research Council of Finland); Academy of Finland (AKA)(Research Council of Finland)</t>
  </si>
  <si>
    <t>This work was funded by the Academy of Finland (Project #127691 'Evolution of snow cover and dynamics of atmospheric deposits in the snow in the Antarctica'). We want to thank all fellow expedition members for good company and assistance during FINNARP 2009 and 2010 expeditions. Special thanks go to the expedition leaders, Petri Heinonen (FINNARP 2009) and Mika Kalakoski (FINNARP 2010). We thank Paul Smeets from the Institute for Marine and Atmospheric Research, Utrecht (IMAU) for providing the AWS 5 data. Olli-Pekka Mattila is thanked for providing the map of the study area. The constructive comments of the reviewers are gratefully acknowledged.</t>
  </si>
  <si>
    <t>10.1017/S0954102013000187</t>
  </si>
  <si>
    <t>WOS:000325404500011</t>
  </si>
  <si>
    <t>Deepika, B; Avinash, K; Jayappa, KS</t>
  </si>
  <si>
    <t>Deepika, B.; Avinash, Kumar; Jayappa, K. S.</t>
  </si>
  <si>
    <t>Integration of hydrological factors and demarcation of groundwater prospect zones: insights from remote sensing and GIS techniques</t>
  </si>
  <si>
    <t>ENVIRONMENTAL EARTH SCIENCES</t>
  </si>
  <si>
    <t>Groundwater prospects; Morphometric analyses; Hydrologic parameters; Thematic maps; Chi-square test; Remote sensing and GIS</t>
  </si>
  <si>
    <t>GEOGRAPHICAL INFORMATION-SYSTEM; POTENTIAL ZONES; MORPHOMETRIC-ANALYSIS; RIVER-BASIN; IRS-1C DATA; PRIORITIZATION; RECHARGE; TERRAIN; INDIA; COAST</t>
  </si>
  <si>
    <t>The study demonstrates the potential of geographical information system and statistical-based approaches to identify the hydrological processes and demarcate the groundwater prospect zones of the Gangolli basin, Karnataka State, India. The basin is situated in humid tropical climate and influenced by three major rivers viz. Kollur (6th order stream), Chakra (6th order stream) and Haladi (7th order stream) which cover an area of 1,512 km(2) and cumulative length of 84 km. Various thematic maps-drainage, geomorphology, geology, slope, soil, lineament and lineament density-were prepared using Survey of India topographic maps, Indian remote sensing (IRS-P6) images and other published maps. Hydrogeomorphologic characteristics were correlated with different morphometric parameters to identify the hydrological processes and demarcate the groundwater potential zones of the basin. All the hydrological units and morphometric parameters were assigned suitable weightages according to their relative importance to groundwater potentiality to identify the most deficit/surplus zones of groundwater. Based on hydrological characteristics, integrated thematic maps reveal that 14 % (217 km(2)) of basin area falls under very good, 32 % (486 km(2)) under good, 23 % (353 km(2)) under moderate, and 30 % (443 km(2)) under poor zones for groundwater potential. From the sub-basin-wise prioritisation, it has been inferred that SB-III scored highest groundwater potential, followed by SB-X. Result of morphometric analyses with the hydrologic parameters indicates that 99 % area of SB-III and SB-X are under very good to moderate groundwater potential zone. This study clearly demonstrates that hydrological parameters in relation with morphometric analyses are useful to demarcate the prospect zones of groundwater.</t>
  </si>
  <si>
    <t>[Deepika, B.; Jayappa, K. S.] Mangalore Univ, Dept Marine Geol, Mangalagangothri 574199, Karnataka, India; [Avinash, Kumar] Natl Ctr Antarctic &amp; Ocean Res, EEZ Grp, Vasco Da Gama 403804, Goa, India</t>
  </si>
  <si>
    <t>Mangalore University; Ministry of Earth Sciences (MoES) - India; National Centre for Polar and Ocean Research (NCPOR)</t>
  </si>
  <si>
    <t>Jayappa, KS (corresponding author), Mangalore Univ, Dept Marine Geol, Mangalagangothri 574199, Karnataka, India.</t>
  </si>
  <si>
    <t>deepika_sd10@rediffmail.com; avinash@ncaor.org; ksjayappa@yahoo.com</t>
  </si>
  <si>
    <t>Avinash, Kumar/0000-0002-6511-8435; Jayappa, K. S./0000-0001-7930-0265</t>
  </si>
  <si>
    <t>Ministry of Earth Sciences, New Delhi, India</t>
  </si>
  <si>
    <t>The authors (DB &amp; KSJ) thank the Ministry of Earth Sciences, New Delhi, India, for financial assistance through MMDP research project. We also thank Prof. Ismail, B. for his help in statistical analysis. The second author (AK) thanks Director, National Centre for Antarctic and Ocean Research (NCAOR), and Dr. John Kurian for their continuous support and encouragement. Authors also acknowledge anonymous reviewers and Editor-in-Chief of the Journal, for their insightful comments and suggestions on the previous draft, which improved the quality of the paper.</t>
  </si>
  <si>
    <t>1866-6280</t>
  </si>
  <si>
    <t>1866-6299</t>
  </si>
  <si>
    <t>ENVIRON EARTH SCI</t>
  </si>
  <si>
    <t>Environ. Earth Sci.</t>
  </si>
  <si>
    <t>10.1007/s12665-013-2218-1</t>
  </si>
  <si>
    <t>Environmental Sciences; Geosciences, Multidisciplinary; Water Resources</t>
  </si>
  <si>
    <t>Environmental Sciences &amp; Ecology; Geology; Water Resources</t>
  </si>
  <si>
    <t>216AJ</t>
  </si>
  <si>
    <t>WOS:000324252900027</t>
  </si>
  <si>
    <t>Lim, EP; Hendon, HH; Rashid, H</t>
  </si>
  <si>
    <t>Lim, Eun-Pa; Hendon, Harry H.; Rashid, Harun</t>
  </si>
  <si>
    <t>Seasonal Predictability of the Southern Annular Mode due to Its Association with ENSO</t>
  </si>
  <si>
    <t>Annular mode; Antarctic Oscillation; ENSO; Seasonal forecasting; Interannual variability</t>
  </si>
  <si>
    <t>HEMISPHERE STORM TRACKS; SEA-SURFACE TEMPERATURE; ATMOSPHERIC GENERAL-CIRCULATION; ZONAL FLOW INTERACTIONS; EL-NINO VARIATIONS; INTERANNUAL VARIABILITY; AUSTRALIAN RAINFALL; CLIMATE VARIABILITY; INDIAN-OCEAN; MEAN FLOW</t>
  </si>
  <si>
    <t>Predictability of the southern annular mode (SAM) for lead times beyond 1-2 weeks has traditionally been considered to be low because the SAM is regarded as an internal mode of variability with a typical decorrelation time of about 10 days. However, the association of the SAM with El Nino-Southern Oscillation (ENSO) suggests the potential for making seasonal predictions of the SAM. In this study the authors explore seasonal predictability and the predictive skill of SAM using observations and retrospective forecasts (hindcasts) from the Australian Bureau of Meteorology dynamical seasonal forecast system [the Predictive Ocean and Atmosphere Model for Australia, version 2 (POAMA2)].Based on the observed seasonal relationships of the SAM with tropical sea surface temperatures, two distinctive periods of high seasonal predictability are suggested: austral late autumn to winter and late spring to early summer. Predictability of the SAM in the austral cold seasons stems from the association of the SAM with warm-pool (or Modoki/central Pacific) ENSO, whereas predictability in the austral warm seasons stems from the association of the SAM with cold-tongue (or eastern Pacific) ENSO.Using seasonal hindcasts for 1980-2010 from POAMA2, it is shown that the observed relationship between SAM and ENSO is faithfully depicted and SST variations associated with ENSO are skillfully predicted. Consequently, POAMA2 can skillfully predict the phase and amplitude of seasonal anomalies of the SAM in early summer and early winter for at least one season in advance. Zero-lead monthly forecasts of the SAM are furthermore shown to be highly skillful in almost all months, which is ascribed to predictability stemming from observed atmospheric initial conditions.</t>
  </si>
  <si>
    <t>[Lim, Eun-Pa; Hendon, Harry H.] Bur Meteorol, CAWCR, Melbourne, Vic 3001, Australia; [Rashid, Harun] Commonwealth Sci &amp; Ind Res Org Marine &amp; Atmospher, Ctr Australian Weather &amp; Climate Res, Aspendale, Vic, Australia</t>
  </si>
  <si>
    <t>Bureau of Meteorology - Australia; Commonwealth Scientific &amp; Industrial Research Organisation (CSIRO)</t>
  </si>
  <si>
    <t>Lim, EP (corresponding author), Bur Meteorol, CAWCR, GPO Box 1289K, Melbourne, Vic 3001, Australia.</t>
  </si>
  <si>
    <t>e.lim@bom.gov.au</t>
  </si>
  <si>
    <t>Rashid, Harun A/D-9027-2012</t>
  </si>
  <si>
    <t>Rashid, Harun A/0000-0003-1896-2446; Hendon, Harry H./0000-0002-4378-2263; Lim, Eun-Pa/0000-0001-8273-5358</t>
  </si>
  <si>
    <t>South Eastern Australian Climate Initiative (SEACI); Victorian Climate Initiative (VicCI); Managing Climate Variability Program (MCV)</t>
  </si>
  <si>
    <t>The authors thank Professors D. Karoly and I. Simmonds (University ofMelbourne) and Dr. K. Ashok (Indian Institute of Tropical Meteorology) for their constructive reviews. We gratefully acknowledge comments by Drs. P. Hope and M. Wheeler in CAWCR on an earlier version of the manuscript. This research was supported by the South Eastern Australian Climate Initiative (SEACI; www.seaci.org), the Victorian Climate Initiative (VicCI), and the Managing Climate Variability Program (MCV; http:// www.managingclimate. gov.au/).</t>
  </si>
  <si>
    <t>10.1175/JCLI-D-13-00006.1</t>
  </si>
  <si>
    <t>229MM</t>
  </si>
  <si>
    <t>WOS:000325269800018</t>
  </si>
  <si>
    <t>Tsukernik, M; Lynch, AH</t>
  </si>
  <si>
    <t>Tsukernik, Maria; Lynch, Amanda H.</t>
  </si>
  <si>
    <t>Atmospheric Meridional Moisture Flux over the Southern Ocean: A Story of the Amundsen Sea</t>
  </si>
  <si>
    <t>Antarctic Oscillation; ENSO; Synoptic-scale processes; Mesoscale processes; Moisture; moisture budget; Trends</t>
  </si>
  <si>
    <t>SURFACE MASS-BALANCE; ANTARCTIC PRECIPITATION; ANNULAR MODE; ICE; VARIABILITY; SNOWFALL; ENERGY; ACCUMULATION; 20TH-CENTURY; TRANSPORTS</t>
  </si>
  <si>
    <t>The Antarctic ice sheet constitutes the largest reservoir of freshwater on earth, representing tens of meters of sea level rise if it were to melt completely. However, because of the remote location of the continent and the concomitant sparse data coverage, much remains unknown regarding the climate variability in Antarctica and the surrounding Southern Ocean. This study uses the high-resolution ECMWF Interim Re-Analysis (ERA-Interim) data during 1979-2010 to calculate the meridional moisture transport associated with the mean circulation, planetary waves, and synoptic-scale systems. The resulting moisture flux, which is dominated by the synoptic scales, is largely consistent with results from theoretical assumptions and previous studies. Here, high interannual and regional variability in the total meridional moisture flux is found, with no significant trend over the last 30 years. Further, the variability of the meridional moisture flux cannot be explained by the southern annular mode or El Nino-Southern Oscillation, even in the Pacific sector. In addition, the Amundsen Sea sector experiences the highest variability in meridional moisture transport and reveals a statistically significant decrease in the moisture flux at synoptic scales along the coastal zone. These results suggest that the Amundsen Sea provides a window on the complex nature of atmospheric moisture transport in the high southern latitudes.</t>
  </si>
  <si>
    <t>[Tsukernik, Maria; Lynch, Amanda H.] Brown Univ, Environm Change Initiat, Providence, RI 02906 USA; [Lynch, Amanda H.] Brown Univ, Dept Geol Sci, Providence, RI 02906 USA</t>
  </si>
  <si>
    <t>Brown University; Brown University</t>
  </si>
  <si>
    <t>Tsukernik, M (corresponding author), Brown Univ, Environm Change Initiat, Box 1951,167 Thayer St, Providence, RI 02906 USA.</t>
  </si>
  <si>
    <t>maria_tsukernik@brown.edu</t>
  </si>
  <si>
    <t>Lynch, Amanda/B-4278-2011</t>
  </si>
  <si>
    <t>Lynch, Amanda/0000-0003-2990-1016</t>
  </si>
  <si>
    <t>Brown University</t>
  </si>
  <si>
    <t>The authors thank the anonymous reviewers, who provided valuable feedback that helped improve the manuscript. We thank Brown University for providing funding for this work.</t>
  </si>
  <si>
    <t>10.1175/JCLI-D-12-00381.1</t>
  </si>
  <si>
    <t>WOS:000325269800019</t>
  </si>
  <si>
    <t>Holt, T; Glasser, N; Quincey, D</t>
  </si>
  <si>
    <t>Holt, Tom; Glasser, Neil; Quincey, Duncan</t>
  </si>
  <si>
    <t>The structural glaciology of southwest Antarctic Peninsula Ice Shelves (ca. 2010)</t>
  </si>
  <si>
    <t>JOURNAL OF MAPS</t>
  </si>
  <si>
    <t>Antarctic Peninsula; Ice Shelves; structural glaciology; George VI; Bach; Stange</t>
  </si>
  <si>
    <t>FLOW STRIPES; STREAM-B; ACCELERATION; COLLAPSE; FOLDS</t>
  </si>
  <si>
    <t>The Antarctic Peninsula has recently seen a rapid breakup of its peripheral ice shelves, attributed to atmospheric and oceanic warming in the region. Previous work has illustrated that the final breakup mechanisms are often controlled by the structural glaciology of the ice shelf, and thus understanding the structure of the remaining stable' ice shelves is of fundamental importance to assess their future response to continued environmental changes. The accompanying map presents the structural glaciology of Bach, George VI and Stange Ice Shelves in the southwest Antarctic Peninsula, from ca. 2010, with a description of each feature presented here.</t>
  </si>
  <si>
    <t>[Holt, Tom; Glasser, Neil] Aberystwyth Univ, Aberystwyth, Dyfed, Wales; [Quincey, Duncan] Univ Leeds, Sch Geog, Leeds LS2 9JT, W Yorkshire, England</t>
  </si>
  <si>
    <t>Aberystwyth University; University of Leeds</t>
  </si>
  <si>
    <t>Holt, T (corresponding author), Aberystwyth Univ, Aberystwyth, Dyfed, Wales.</t>
  </si>
  <si>
    <t>toh08@aber.ac.uk</t>
  </si>
  <si>
    <t>Quincey, Duncan/0000-0002-7602-7926; Glasser, Neil/0000-0002-8245-2670; Holt, Tom/0000-0001-8361-0688</t>
  </si>
  <si>
    <t>1744-5647</t>
  </si>
  <si>
    <t>J MAPS</t>
  </si>
  <si>
    <t>J. Maps</t>
  </si>
  <si>
    <t>10.1080/17445647.2013.822836</t>
  </si>
  <si>
    <t>Geography; Geography, Physical</t>
  </si>
  <si>
    <t>Geography; Physical Geography</t>
  </si>
  <si>
    <t>227DY</t>
  </si>
  <si>
    <t>WOS:000325090600007</t>
  </si>
  <si>
    <t>Wåhlin, AK; Kalén, O; Arneborg, L; Björk, G; Carvajal, GK; Ha, HK; Kim, TW; Lee, SH; Lee, JH; Stranne, C</t>
  </si>
  <si>
    <t>Wahlin, A. K.; Kalen, O.; Arneborg, L.; Bjoerk, G.; Carvajal, G. K.; Ha, H. K.; Kim, T. W.; Lee, S. H.; Lee, J. H.; Stranne, C.</t>
  </si>
  <si>
    <t>Variability of Warm Deep Water Inflow in a Submarine Trough on the Amundsen Sea Shelf</t>
  </si>
  <si>
    <t>Southern Ocean; Ekman pumping; transport; Seasonal variability</t>
  </si>
  <si>
    <t>PENINSULA CONTINENTAL-SHELF; PINE ISLAND GLACIER; ANTARCTIC ICE-SHEET; WEST ANTARCTICA; CIRCULATION; EXCHANGE; SYSTEM; OCEAN; MODEL</t>
  </si>
  <si>
    <t>The ice shelves in the Amundsen Sea are thinning rapidly, and the main reason for their decline appears to be warm ocean currents circulating below the ice shelves and melting these from below. Ocean currents transport warm dense water onto the shelf, channeled by bathymetric troughs leading to the deep inner basins. A hydrographic mooring equipped with an upward-looking ADCP has been placed in one of these troughs on the central Amundsen shelf. The two years (2010/11) of mooring data are here used to characterize the inflow of warm deep water to the deep shelf basins. During both years, the warm layer thickness and temperature peaked in austral fall. The along-trough velocity is dominated by strong fluctuations that do not vary in the vertical. These fluctuations are correlated with the local wind, with eastward wind over the shelf and shelf break giving flow toward the ice shelves. In addition, there is a persistent flow of dense lower Circumpolar Deep Water (CDW) toward the ice shelves in the bottom layer. This bottom-intensified flow appears to be driven by buoyancy forces rather than the shelfbreak wind. The years of 2010 and 2011 were characterized by a comparatively stationary Amundsen Sea low, and hence there were no strong eastward winds during winter that could drive an upwelling of warm water along the shelf break. Regardless of this, there was a persistent flow of lower CDW in the bottom layer during the two years. The average heat transport toward the ice shelves in the trough was estimated from the mooring data to be 0.95 TW.</t>
  </si>
  <si>
    <t>[Wahlin, A. K.; Kalen, O.; Arneborg, L.; Bjoerk, G.] Univ Gothenburg, Dept Earth Sci, S-40530 Gothenburg, Sweden; [Carvajal, G. K.] Chalmers, S-41296 Gothenburg, Sweden; [Ha, H. K.; Kim, T. W.; Lee, S. H.] Korea Polar Res Inst, Div Polar Climate Res, Inchon, South Korea; [Lee, J. H.] Korea Inst Ocean Sci &amp; Technol, Ocean Circulat &amp; Climate Res Div, Ansan, South Korea; [Stranne, C.] Univ Gothenburg, Dept Earth Sci, Gothenburg, Sweden</t>
  </si>
  <si>
    <t>University of Gothenburg; Chalmers University of Technology; Korea Institute of Ocean Science &amp; Technology (KIOST); Korea Polar Research Institute (KOPRI); Korea Institute of Ocean Science &amp; Technology (KIOST); University of Gothenburg</t>
  </si>
  <si>
    <t>Wåhlin, AK (corresponding author), Univ Gothenburg, Dept Earth Sci, Box 460, S-40530 Gothenburg, Sweden.</t>
  </si>
  <si>
    <t>awahlin@gu.se</t>
  </si>
  <si>
    <t>Blomgren, Gisela Carvajal/ABA-3835-2020; Kim, Tae-Wan/JGM-9981-2023; Wåhlin, Anna/U-3790-2017; stranne, christian/L-4382-2013</t>
  </si>
  <si>
    <t>Kim, Tae-Wan/0000-0001-5257-7256; Wåhlin, Anna/0000-0003-1799-6476; Kalen, Ola/0000-0002-0542-7738; Arneborg, Lars/0000-0003-0248-8110; stranne, christian/0000-0003-1004-5213</t>
  </si>
  <si>
    <t>K&amp;A Wallenberg Foundation [KAW2007.0107]; Swedish Research Council [2011-5263]; KOPRI [PP12010, PP13020]; SRC [2010-19172-73868-33, 824-2008-6439, 621-2008-2689]</t>
  </si>
  <si>
    <t>K&amp;A Wallenberg Foundation(Knut &amp; Alice Wallenberg Foundation); Swedish Research Council(Swedish Research Council); KOPRI(Korea Polar Research Institute of Marine Research Placement (KOPRI)); SRC</t>
  </si>
  <si>
    <t>Oden Southern Ocean 2009/10 and 2010/11 cruises were supported by the National Science Foundation, Swedish Polar Research Secretariat, and the Swedish Research Council (SRC). Support for mooring construction was Grant KAW2007.0107 from the K&amp;A Wallenberg Foundation and the Swedish Research Council (through Grant 2011-5263). Araon cruises (ANA01C and ANA02C) were supported by KOPRI Grants PP12010 and PP13020. AKW, LA, and GB were supported by SRC through Grants 2010-19172-73868-33, 824-2008-6439, and 621-2008-2689. We are indebted to Martin Jakobsson, Chrissie Wiederwohl, and Alex Orsi for making mooring deployment possible in 2010. T. J. Choi kindly provided the wind data collected in Lindsey Island. We are also grateful to the Captains, crews, and technical personnel on board IB Oden and IB Araon for expert skill and enthusiasm.</t>
  </si>
  <si>
    <t>10.1175/JPO-D-12-0157.1</t>
  </si>
  <si>
    <t>232ZT</t>
  </si>
  <si>
    <t>WOS:000325534400002</t>
  </si>
  <si>
    <t>Durgadoo, JV; Loveday, BR; Reason, CJC; Penven, P; Biastoch, A</t>
  </si>
  <si>
    <t>Durgadoo, Jonathan V.; Loveday, Benjamin R.; Reason, Chris J. C.; Penven, Pierrick; Biastoch, Arne</t>
  </si>
  <si>
    <t>Agulhas Leakage Predominantly Responds to the Southern Hemisphere Westerlies</t>
  </si>
  <si>
    <t>Boundary currents; Meridional overturning circulation; Wind stress; Mesoscale models; Numerical analysis; modeling</t>
  </si>
  <si>
    <t>LAST GLACIAL MAXIMUM; ANTARCTIC CIRCUMPOLAR CURRENT; OCEAN CIRCULATION; ATLANTIC; CLIMATE; VARIABILITY; MODEL; EXCHANGE; WINDS; THERMOCLINE</t>
  </si>
  <si>
    <t>The Agulhas Current plays a crucial role in the thermohaline circulation through its leakage into the South Atlantic Ocean. Under both past and present climates, the trade winds and westerlies could have the ability to modulate the amount of Indian-Atlantic inflow. Compelling arguments have been put forward suggesting that trade winds alone have little impact on the magnitude of Agulhas leakage. Here, employing three ocean models for robust analysisa global coarse-resolution, a regional eddy-permitting, and a nested high-resolution eddy-resolving configurationand systematically altering the position and intensity of the westerly wind belt in a series of sensitivity experiments, it is shown that the westerlies, in particular their intensity, control the leakage. Leakage responds proportionally to the intensity of westerlies up to a certain point. Beyond this, through the adjustment of the large-scale circulation, energetic interactions occur between the Agulhas Return Current and the Antarctic Circumpolar Current that result in a state where leakage no longer increases. This adjustment takes place within one or two decades. Contrary to previous assertions, these results further show that an equatorward (poleward) shift in westerlies increases (decreases) leakage. This occurs because of the redistribution of momentum input by the winds. It is concluded that the reported present-day leakage increase could therefore reflect an unadjusted oceanic response mainly to the strengthening westerlies over the last few decades.</t>
  </si>
  <si>
    <t>[Durgadoo, Jonathan V.; Biastoch, Arne] GEOMAR Helmholtz Ctr Ocean Res Kiel, D-24105 Kiel, Germany; [Loveday, Benjamin R.; Reason, Chris J. C.] Univ Cape Town, Dept Oceanog, ZA-7925 Cape Town, South Africa; [Penven, Pierrick] UBO, IRD, IFREMER, LMI ICEMASA,LPO,UMR 6523,CNRS, Brest, France</t>
  </si>
  <si>
    <t>Helmholtz Association; GEOMAR Helmholtz Center for Ocean Research Kiel; University of Cape Town; Universite de Bretagne Occidentale; Centre National de la Recherche Scientifique (CNRS); CNRS - National Institute for Earth Sciences &amp; Astronomy (INSU); Ifremer; Institut de Recherche pour le Developpement (IRD)</t>
  </si>
  <si>
    <t>Durgadoo, JV (corresponding author), GEOMAR Helmholtz Ctr Ocean Res Kiel, Dusternbrooker Weg 20, D-24105 Kiel, Germany.</t>
  </si>
  <si>
    <t>jdurgadoo@gmail.com</t>
  </si>
  <si>
    <t>Biastoch, Arne/B-5219-2014; Penven, Pierrick/A-6665-2008</t>
  </si>
  <si>
    <t>Biastoch, Arne/0000-0003-3946-4390; Penven, Pierrick/0000-0001-6456-3142; Durgadoo, Jonathan/0000-0001-6297-5178</t>
  </si>
  <si>
    <t>European Community [238512]</t>
  </si>
  <si>
    <t>European Community</t>
  </si>
  <si>
    <t>This work received funding from the European Community's Seventh Framework Programme FP7/2007-2013-Marie-Curie ITN, under Grant Agreement 238512, GATEWAYS project. Model experiments were performed at the high performance computing centers in Stuttgart (HLRS) and in Cape Town (CHPC) as well as at the Christian-Albrechts-Universitat zu Kiel (NESH). The Ariane-v2.2.6 Lagrangian package was used for Agulhas leakage calculation (http://www.univ-brest.fr/lpo/ariane/). Altimetry data for model validation were downloaded (http://aviso.oceanobs.com).</t>
  </si>
  <si>
    <t>10.1175/JPO-D-13-047.1</t>
  </si>
  <si>
    <t>WOS:000325534400005</t>
  </si>
  <si>
    <t>Elvevold, S; Engvik, AK</t>
  </si>
  <si>
    <t>Elvevold, Synnove; Engvik, Ane K.</t>
  </si>
  <si>
    <t>Pan-African decompressional P-T path recorded by granulites from central Dronning Maud Land, Antarctica</t>
  </si>
  <si>
    <t>MINERALOGY AND PETROLOGY</t>
  </si>
  <si>
    <t>GRENVILLE-AGE METAMORPHISM; PARTIAL MELTING EQUILIBRIA; HIGH-GRADE GNEISSES; EAST ANTARCTICA; HU SVERDRUPFJELLA; KYANITE ECLOGITES; PHASE-RELATIONS; EVOLUTION; BELT; GJELSVIKFJELLA</t>
  </si>
  <si>
    <t>A high-grade metamorphic complex is exposed in Filchnerfjella (6-8A degrees E), central Dronning Maud Land. The metamorphic evolution of the complex has been recovered through a study of textural relationships, conventional geothermobarometry and pseudosection modelling. Relicts of an early, high-P assemblage are preserved within low-strain mafic pods. Subsequent granulite facies metamorphism resulted in formation of orthopyroxene in rocks of mafic, intermediate to felsic compositions, whereas spinel + quartz were part of the peak assemblage in pelitic gneisses. Peak conditions were attained at temperatures between 850-885 A degrees C and 0.55-0.70 GPa. Reaction textures, including the replacement of amphibole and garnet by symplectites of orthopyroxene + plagioclase and partial replacement of garnet + sillimanite + spinel bearing assemblages by cordierite, indicate that the granulite facies metamorphism was accompanied and followed by decompression. The observed assemblages define a clock-wise P-T path including near-isothermal decompression. During decompression, localized melting led to formation of post-kinematic cordierite-melt assemblages, whereas mafic rocks contain melt patches with euhedral orthopyroxene. The granulite facies metamorphism, decompression and partial crustal melting occurred during the Cambrian Pan-African tectonothermal event.</t>
  </si>
  <si>
    <t>[Elvevold, Synnove] Norwegian Polar Res Inst, N-9296 Tromso, Norway; [Engvik, Ane K.] Geol Survey Norway, N-7491 Trondheim, Norway</t>
  </si>
  <si>
    <t>Norwegian Polar Institute; Geological Survey of Norway</t>
  </si>
  <si>
    <t>Elvevold, S (corresponding author), Norwegian Polar Res Inst, N-9296 Tromso, Norway.</t>
  </si>
  <si>
    <t>elvevold@npolar.no; ane.engvik@ngu.no</t>
  </si>
  <si>
    <t>Norwegian Polar Institute; Norwegian Research Council</t>
  </si>
  <si>
    <t>Norwegian Polar Institute; Norwegian Research Council(Research Council of Norway)</t>
  </si>
  <si>
    <t>Sampled for this study were collected during the Norwegian Antarctic Research Expeditions 1996-97 and 2001-02. This work has been supported by the Norwegian Polar Institute and the Norwegian Research Council. We thank M. Erambert for her help with the electron microprobe analysis at the University of Oslo and Erling J.K. Ravna for providing the XRF analyses at the University of Tromso. We thank Pritam Nasipuri for great guidance with the Perple_X software. Discussions with Erling J.K. Ravna and careful reviews by Mauricio Calderon and one anonymous reviewer helped us improve the manuscript.</t>
  </si>
  <si>
    <t>SPRINGER WIEN</t>
  </si>
  <si>
    <t>Vienna</t>
  </si>
  <si>
    <t>Prinz-Eugen-Strasse 8-10, A-1040 Vienna, AUSTRIA</t>
  </si>
  <si>
    <t>0930-0708</t>
  </si>
  <si>
    <t>1438-1168</t>
  </si>
  <si>
    <t>MINER PETROL</t>
  </si>
  <si>
    <t>Mineral. Petrol.</t>
  </si>
  <si>
    <t>10.1007/s00710-012-0249-z</t>
  </si>
  <si>
    <t>Geochemistry &amp; Geophysics; Mineralogy</t>
  </si>
  <si>
    <t>226EU</t>
  </si>
  <si>
    <t>WOS:000325018200003</t>
  </si>
  <si>
    <t>Menounos, B; Clague, JJ; Osborn, G; Davis, PT; Ponce, F; Goehring, B; Maurer, M; Rabassa, J; Coronato, A; Marr, R</t>
  </si>
  <si>
    <t>Menounos, Brian; Clague, John J.; Osborn, Gerald; Davis, P. Thompson; Ponce, Federico; Goehring, Brent; Maurer, Malyssa; Rabassa, Jorge; Coronato, Andrea; Marr, Rob</t>
  </si>
  <si>
    <t>Latest Pleistocene and Holocene glacier fluctuations in southernmost Tierra del Fuego, Argentina</t>
  </si>
  <si>
    <t>Glacier fluctuations; Holocene; Patagonia; Surface exposure dating; Tephrochronology</t>
  </si>
  <si>
    <t>BE-10 PRODUCTION-RATE; PRODUCTION-RATE CALIBRATION; ANTARCTIC COLD REVERSAL; SOUTH-AMERICA; YOUNGER DRYAS; PATAGONIAN ICEFIELD; MULTIPROXY RECORD; CORDILLERA DARWIN; NEW-ZEALAND; CLIMATE</t>
  </si>
  <si>
    <t>Some researchers propose that summer Insolation controls long-term changes in glacier extent during the Holocene. If this hypothesis is correct, the record of glacier fluctuations at high latitudes in the Southern Hemisphere should differ from that in the Northern Hemisphere. Although the chronology of Holocene glacier fluctuations in the Northern Hemisphere is well established, much uncertainty remains in the ages of Holocene glacier fluctuations in the Southern Hemisphere, especially South America. Here we report on latest Pleistocene and Holocene glacier fluctuations at the southern end of the Andes north and west of Ushuaia, Argentina. Surface exposure ages (Be-10) from glaciated bedrock beyond cirque moraines indicate that alpine areas were free of ice by ca 16.9 ka. One, and in some cases two, closely spaced moraines extend up to 2 km beyond Little Ice Age moraines within many of the cirques in the region. The mean age of five Be-10 ages from two pre-Little Ice Age moraines is 14.27-12.67 ka, whereas a minimum limiting radiocarbon age for a smaller, recessional moraine in one cirque is 12.38-12.01 ka. Our ages imply that, following glacier retreat beginning about 18.52-17.17 ka, cirque glaciers first advanced during the Antarctic Cold Reversal (14.5-12.9 ka) and may have later advanced or stabilized in the Younger Dryas Chronozone (12.9-11.7 ka). Based on the distribution of thick, geochemically distinct, and well-dated Hudson tephra, no Holocene moraines appear to be older than 7.96-7.34 ka. At some sites, there is evidence for one or more advances of glaciers sometime between 7.96-7.34 ka and 5.29-5.05 ka to limits only tens of meters beyond Little Ice Age maximum positions. Taken together, the data: 1) do not support the summer insolation hypothesis to explain Holocene glacier fluctuations in southernmost Patagonia; 2) confirm paleobotanical evidence for a warm, dry early Holocene; and 3) suggest that some glaciers in the region reached extents comparable to those of the Little Ice Age shortly before 5.29-5.05 ka. (C) 2013 Elsevier Ltd. All rights reserved.</t>
  </si>
  <si>
    <t>[Menounos, Brian; Maurer, Malyssa] Univ No British Columbia, Geog Program, Prince George, BC V2N 4Z9, Canada; [Clague, John J.] Simon Fraser Univ, Dept Earth Sci, Burnaby, BC V5A 1S6, Canada; [Osborn, Gerald; Marr, Rob] Univ Calgary, Dept Geosci, Calgary, AB T2N 1N4, Canada; [Davis, P. Thompson] Bentley Univ, Dept Nat &amp; Appl Sci, Waltham, MA 02452 USA; [Ponce, Federico; Rabassa, Jorge; Coronato, Andrea] CADIC CONICET, Lab Geomorfol &amp; Cuaternario, RA-9410 Ushuaia, Tierra Del Fueg, Argentina; [Goehring, Brent] Purdue Univ, Dept Earth &amp; Atmospher Sci, W Lafayette, IN 47907 USA</t>
  </si>
  <si>
    <t>University of Northern British Columbia; Simon Fraser University; University of Calgary; Bentley University; Consejo Nacional de Investigaciones Cientificas y Tecnicas (CONICET); Purdue University System; Purdue University</t>
  </si>
  <si>
    <t>Menounos, B (corresponding author), Univ No British Columbia, Geog Program, Prince George, BC V2N 4Z9, Canada.</t>
  </si>
  <si>
    <t>menounos@unbc.ca</t>
  </si>
  <si>
    <t>Clague, John/L-3619-2019</t>
  </si>
  <si>
    <t>Goehring, Brent/0000-0001-6405-5156</t>
  </si>
  <si>
    <t>National Sciences and Engineering Research Council of Canada Discovery Grants; National Science Foundation; Bentley faculty research grant</t>
  </si>
  <si>
    <t>National Sciences and Engineering Research Council of Canada Discovery Grants; National Science Foundation(National Science Foundation (NSF)); Bentley faculty research grant</t>
  </si>
  <si>
    <t>Funding for this research was provided by National Sciences and Engineering Research Council of Canada Discovery Grants to Menounos, Clague, and Osborn, and a PRIME Lab seed grant from the National Science Foundation. Davis was supported with a Bentley faculty research grant. Joe Koch and Marilen Feranndez assisted in the field. We thank Mary Samolczyk for preparing tephra samples for microprobe analysis and Darwyn Coxyn for identifying terrestrial plant macrofossils. Our paper benefitted from careful scientific reviews by Mike Kaplan and Charles Stern. This paper is a product of the Scientific Cooperation Agreement between CONICET (Argentina) and University of Northern British Columbia (Canada).</t>
  </si>
  <si>
    <t>10.1016/j.quascirev.2013.07.008</t>
  </si>
  <si>
    <t>229BA</t>
  </si>
  <si>
    <t>WOS:000325235600007</t>
  </si>
  <si>
    <t>Simkins, LM; Simms, AR; DeWitt, R</t>
  </si>
  <si>
    <t>Simkins, Lauren M.; Simms, Alexander R.; DeWitt, Regina</t>
  </si>
  <si>
    <t>Relative sea-level history of Marguerite Bay, Antarctic Peninsula derived from optically stimulated luminescence-dated beach cobbles</t>
  </si>
  <si>
    <t>Relative sea level; Raised beaches; Last Glacial Maximum; Marguerite Bay; Antarctic Peninsula</t>
  </si>
  <si>
    <t>LAST GLACIAL MAXIMUM; SOUTH SHETLAND ISLANDS; HOLOCENE RAISED BEACHES; KING GEORGE ISLAND; TERRA-NOVA BAY; ICE-SHEET; VICTORIA LAND; ISOSTATIC-ADJUSTMENT; GEOLOGICAL CONSTRAINTS; LATE PLEISTOCENE</t>
  </si>
  <si>
    <t>Calmette Bay within Marguerite Bay along the western side of the Antarctic Peninsula contains one of the most continuous flights of raised beaches described to date in Antarctica. Raised beaches extend to 40.8 m above sea level (mast) and are thought to reflect glacial isostatic adjustment due to the retreat of the Antarctic Peninsula Ice Sheet. Using optically stimulated luminescence (OSL), we dated quartz extracts from cobble surfaces buried in raised beaches at Calmette Bay. The beaches are separated into upper and lower beaches based on OSL ages, geomorphology, and sedimentary fabric. The two sets of beaches are separated by a prominent scarp. One of our OSL ages from the upper beaches dates to 9.3 thousand years ago (ka; as of 1950) consistent with previous extrapolation of sea-level data and the time of ice retreat from inner Marguerite Bay. However, four of the seven ages from the upper beaches date to the timing of glaciation. We interpret these ages to represent reworking of beaches deposited prior to the Last Glacial Maximum (LGM) by advancing and retreating LGM ice. Ages from the lower beaches record relative sea-level fall due to Holocene glacial-isostatic adjustment. We suggest a Holocene marine limit of 21.7 masl with an age of 5.5-7.3 ka based on OSL ages from Calmette Bay and other sea-level constraints in the area. A marine limit at 21.7 masl implies half as much relative sea-level change in Marguerite Bay during the Holocene as suggested by previous sea-level reconstructions. No evidence for a relative sealevel signature of neoglacial events, such as a decrease followed by an increase in RSL fall due to ice advance and retreat associated with the Little Ice Age, is found within Marguerite Bay indicating either: (1) no significant neoglacial advances occurred within Marguerite Bay; (2) rheological heterogeneity allows part of the Antarctic Peninsula (i.e. the South Shetland Islands) to respond to rapid ice mass changes while other regions are incapable of responding to short-lived ice advances; or (3) the magnitude of neoglacial events within Marguerite Bay is too small to resolve through relative sea-level reconstructions. Although the application of reconstructing sea-level histories using OSL-dated raised beach deposits provides a better understanding of the timing and nature of relative sea-level change in Marguerite Bay, we highlight possible problems associated with using raised beaches as sea-level indices due to post-depositional reworking by storm waves. (C) 2013 Elsevier Ltd. All rights reserved.</t>
  </si>
  <si>
    <t>[Simkins, Lauren M.; Simms, Alexander R.] Univ Calif Santa Barbara, Dept Earth Sci, Santa Barbara, CA 93106 USA; [DeWitt, Regina] E Carolina Univ, Dept Phys, Greenville, NC 27858 USA</t>
  </si>
  <si>
    <t>University of California System; University of California Santa Barbara; University of North Carolina; East Carolina University</t>
  </si>
  <si>
    <t>Simkins, LM (corresponding author), Univ Calif Santa Barbara, Dept Earth Sci, 1006 Webb Hall, Santa Barbara, CA 93106 USA.</t>
  </si>
  <si>
    <t>lauren.m.simkins@gmail.com</t>
  </si>
  <si>
    <t>Simms, Alexander R/E-5609-2012</t>
  </si>
  <si>
    <t>Miller, Lauren/0000-0002-9075-5196; DeWitt, Regina/0000-0003-2876-5489; Simms, Alexander/0000-0001-5034-2189</t>
  </si>
  <si>
    <t>National Science Foundation [OPP-0838781]</t>
  </si>
  <si>
    <t>National Science Foundation (grant number OPP-0838781).</t>
  </si>
  <si>
    <t>10.1016/j.quascirev.2013.07.027</t>
  </si>
  <si>
    <t>WOS:000325235600012</t>
  </si>
  <si>
    <t>Davies, BJ; Hambrey, MJ; Smellie, JL; Carrivick, JL; Glasser, NF</t>
  </si>
  <si>
    <t>Davies, Bethan J.; Hambrey, Michael J.; Smellie, John L.; Carrivick, Jonathan L.; Glasser, Neil F.</t>
  </si>
  <si>
    <t>Antarctic Peninsula Ice Sheet evolution during the Cenozoic Era (vol 31, pg 30, 2012)</t>
  </si>
  <si>
    <t>[Davies, Bethan J.; Hambrey, Michael J.; Glasser, Neil F.] Aberystwyth Univ, Ctr Glaciol, Inst Geog &amp; Earth Sci, Aberystwyth SY23 3DB, Dyfed, Wales; [Smellie, John L.] Univ Leicester, Dept Geol, Leicester LE1 7RH, Leics, England; [Carrivick, Jonathan L.] Univ Leeds, Sch Geog, Leeds LS2 9JT, W Yorkshire, England</t>
  </si>
  <si>
    <t>Aberystwyth University; University of Leicester; University of Leeds</t>
  </si>
  <si>
    <t>Davies, BJ (corresponding author), Aberystwyth Univ, Ctr Glaciol, Inst Geog &amp; Earth Sci, Llandinam Bldg,Penglais Campus, Aberystwyth SY23 3DB, Dyfed, Wales.</t>
  </si>
  <si>
    <t>bdd@aber.ac.uk</t>
  </si>
  <si>
    <t>Carrivick, Jonathan/0000-0002-9286-5348; Davies, Bethan/0000-0002-8636-1813; Glasser, Neil/0000-0002-8245-2670</t>
  </si>
  <si>
    <t>10.1016/j.quascirev.2013.06.005</t>
  </si>
  <si>
    <t>WOS:000325235600022</t>
  </si>
  <si>
    <t>Tsuji, M; Goshima, T; Matsushika, A; Kudoh, S; Hoshino, T</t>
  </si>
  <si>
    <t>Tsuji, Masaharu; Goshima, Tetsuya; Matsushika, Akinori; Kudoh, Sakae; Hoshino, Tamotsu</t>
  </si>
  <si>
    <t>Direct ethanol fermentation from lignocellulosic biomass by Antarctic basidiomycetous yeast Mrakia blollopis under a low temperature condition</t>
  </si>
  <si>
    <t>CRYOBIOLOGY</t>
  </si>
  <si>
    <t>Cryophilic yeast; Antarctica; Ethanol fermentation; Direct ethanol fermentation; Lignocellulosic biomass</t>
  </si>
  <si>
    <t>ADAPTATION</t>
  </si>
  <si>
    <t>Antarctic basidiomycetous yeast Mrakia blollopis SK-4 has unique fermentability for various sugars under a low temperature condition. Hence, this yeast was used for ethanol fermentation from glucose and also for direct ethanol fermentation (DEF) from cellulosic biomass without/with Tween 80 at 10 degrees C. Maximally, 48.2 g/l ethanol was formed from 12% (w/v) glucose. DEF converted filter paper, Japanese cedar and Eucalyptus to 12.2 g/l, 12.5 g/l and 7.2 g/l ethanol, respectively. In the presence of 1% (v/v) Tween 80, ethanol concentration increased by about 1.1-1.6-fold compared to that without Tween 80. This is the first report on DEF using cryophilic fungi under a low temperature condition. We consider that M. blollopis SK-4 has a good potential for ethanol fermentation in told environments. (C) 2013 Elsevier Inc. All rights reserved.</t>
  </si>
  <si>
    <t>[Tsuji, Masaharu; Goshima, Tetsuya; Matsushika, Akinori; Hoshino, Tamotsu] Natl Inst Adv Ind Sci &amp; Technol, BRRC, Higashihiroshima, Hirosima 7390046, Japan; [Kudoh, Sakae] NIPR, Tachikawa, Tokyo 1908518, Japan; [Hoshino, Tamotsu] Hokkaido Univ, Grad Sch Life Sci, Sapporo, Hokkaido 0600810, Japan</t>
  </si>
  <si>
    <t>National Institute of Advanced Industrial Science &amp; Technology (AIST); Research Organization of Information &amp; Systems (ROIS); National Institute of Polar Research (NIPR) - Japan; Hokkaido University</t>
  </si>
  <si>
    <t>Hoshino, T (corresponding author), Natl Inst Adv Ind Sci &amp; Technol, BRRC, 3-11-32 Kagamiyama, Higashihiroshima, Hirosima 7390046, Japan.</t>
  </si>
  <si>
    <t>tamotsu.hoshino@aist.go.jp</t>
  </si>
  <si>
    <t>Tsuji, Masaharu/M-6609-2019; Hoshino, Tamotsu/F-3357-2017; HOSHINO, Tamotsu/R-2959-2019; Matsushika, Akinori/B-8721-2018</t>
  </si>
  <si>
    <t>Tsuji, Masaharu/0000-0002-9375-7998; Matsushika, Akinori/0000-0002-5283-2875</t>
  </si>
  <si>
    <t>0011-2240</t>
  </si>
  <si>
    <t>Cryobiology</t>
  </si>
  <si>
    <t>10.1016/j.cryobiol.2013.06.003</t>
  </si>
  <si>
    <t>Biology; Physiology</t>
  </si>
  <si>
    <t>Life Sciences &amp; Biomedicine - Other Topics; Physiology</t>
  </si>
  <si>
    <t>220SY</t>
  </si>
  <si>
    <t>WOS:000324608400020</t>
  </si>
  <si>
    <t>Walker, TR; MacAskill, D; Rushton, T; Thalheimer, A; Weaver, P</t>
  </si>
  <si>
    <t>Walker, Tony R.; MacAskill, Devin; Rushton, Theresa; Thalheimer, Andrew; Weaver, Peter</t>
  </si>
  <si>
    <t>Monitoring effects of remediation on natural sediment recovery in Sydney Harbour, Nova Scotia</t>
  </si>
  <si>
    <t>ENVIRONMENTAL MONITORING AND ASSESSMENT</t>
  </si>
  <si>
    <t>Sediment contaminants; Remediation; Monitoring; Natural recovery; Sydney Tar Ponds</t>
  </si>
  <si>
    <t>POLYCYCLIC AROMATIC-HYDROCARBONS; ANTARCTIC COASTAL ENVIRONMENT; POLYCHLORINATED-BIPHENYLS; HOMARUS-AMERICANUS; CONTAMINATED SITES; HALIFAX HARBOR; KUGMALLIT BAY; TAR PONDS; RATES; BIOAVAILABILITY</t>
  </si>
  <si>
    <t>Chemical contaminants were assessed in Sydney Harbour, Nova Scotia during pre-remediation (baseline) and 3 years of remediation of a former coking and steel facility after nearly a century of operation and historical pollution into the Sydney Tar Ponds (STP). Concentrations of polycyclic aromatic hydrocarbons (PAHs), polychlorinated biphenyls, metals, and inorganic parameters measured in sediments and total suspended solids in seawater indicate that the overall spatial distribution pattern of historical contaminants remains unchanged, although at much lower concentrations than previously reported due to natural sediment recovery, despite remediation activities. Measured sediment deposition rates in bottom-moored traps during baseline were low (0.4-0.8 cm year(-1)), but during dredging operations required for construction of new port facilities in the inner Sydney Harbour, sedimentation rates were equivalent to 26-128 cm year(-1). Measurements of sediment chemical contaminants confirmed that natural recovery rates of Sydney Harbour sediments were in broad agreement with predicted concentrations, or in some cases, lower than originally predicted despite remediation activities at the STP site. Overall, most measured contaminants in sediments showed little temporal variability (4 years), except for the detection of significant increases in total PAH concentrations during the onset of remediation monitoring compared to baseline. This slight increase represents only a short-term interruption in the overall natural recovery of sediments in Sydney Harbour, which were enhanced due to the positive impacts of large-scale dredging of less contaminated outer harbor sediments which were discharged into a confined disposal area located in the inner harbor.</t>
  </si>
  <si>
    <t>[Walker, Tony R.; Rushton, Theresa; Thalheimer, Andrew] Dillon Consulting Ltd, Halifax, NS B3S 1B3, Canada; [MacAskill, Devin] Dillon Consulting Ltd, Sydney, NS B1P 1C6, Canada; [Weaver, Peter] Sydney Tar Ponds Agcy, Sydney, NS B1P 6J7, Canada</t>
  </si>
  <si>
    <t>Walker, TR (corresponding author), Dillon Consulting Ltd, 137 Chain Lake Dr, Halifax, NS B3S 1B3, Canada.</t>
  </si>
  <si>
    <t>tonyrobertwalker@gmail.com</t>
  </si>
  <si>
    <t>Walker BSc, MPhil, PhD, Tony R./ABA-4581-2020</t>
  </si>
  <si>
    <t>Walker BSc, MPhil, PhD, Tony R./0000-0001-9008-0697</t>
  </si>
  <si>
    <t>STPA</t>
  </si>
  <si>
    <t>This study was supported by the STPA. Valuable input and improvements to this paper have been made by representatives of Public Works and Government Services Canada and the Environmental Management Committee. Particularly, we would like to thank John Smith, Michael Parsons, Brent Law, and Timothy Milligan from the Bedford Institute of Oceanography for their insightful comments. We thank Melissa LeRoy and Mark Moriarity for their help with fieldwork and Stuart Sampson and Ellsworth Mailman for boat charters.</t>
  </si>
  <si>
    <t>0167-6369</t>
  </si>
  <si>
    <t>1573-2959</t>
  </si>
  <si>
    <t>ENVIRON MONIT ASSESS</t>
  </si>
  <si>
    <t>Environ. Monit. Assess.</t>
  </si>
  <si>
    <t>10.1007/s10661-013-3157-8</t>
  </si>
  <si>
    <t>210LX</t>
  </si>
  <si>
    <t>WOS:000323836100012</t>
  </si>
  <si>
    <t>Kawarasaki, Y; Teets, NM; Denlinger, DL; Lee, RE</t>
  </si>
  <si>
    <t>Kawarasaki, Yuta; Teets, Nicholas M.; Denlinger, David L.; Lee, Richard E., Jr.</t>
  </si>
  <si>
    <t>The protective effect of rapid cold-hardening develops more quickly in frozen versus supercooled larvae of the Antarctic midge, Belgica antarctica</t>
  </si>
  <si>
    <t>Antarctic midge; rapid cold-hardening; freeze concentration; cellular dehydration</t>
  </si>
  <si>
    <t>ONYCHIURUS-ARCTICUS TULLBERG; GOLDENROD GALL FLY; FREEZE-TOLERANT; EUROSTA-SOLIDAGINIS; FLESH FLY; SARCOPHAGA-CRASSIPALPIS; DROSOPHILA-MELANOGASTER; CRYOPROTECTANT SYNTHESIS; RANA-SYLVATICA; INSECT</t>
  </si>
  <si>
    <t>During the austral summer, larvae of the terrestrial midge Belgica antarctica (Diptera: Chironomidae) experience highly variable and often unpredictable thermal conditions. In addition to remaining freeze tolerant year-round, larvae are capable of swiftly increasing their cold tolerance through the rapid cold-hardening (RCH) response. The present study compared the induction of RCH in frozen versus supercooled larvae. At the same induction temperature, RCH occurred more rapidly and conferred a greater level of cryoprotection in frozen versus supercooled larvae. Furthermore, RCH in frozen larvae could be induced at temperatures as low as -12 degrees C, which is the lowest temperature reported to induce RCH. Remarkably, as little as 15 min at -5 degrees C significantly enhanced larval cold tolerance. Not only is protection from RCH acquired swiftly, but it is also quickly lost after thawing for 2. h at 2 degrees C Because the primary difference between frozen and supercooled larvae is cellular dehydration caused by freeze concentration of body fluids, we also compared the effects of acclimation in dehydrated versus frozen larvae. Because slow dehydration without chilling significantly increased larval survival to a subsequent cold exposure, we hypothesize that cellular dehydration caused by freeze concentration promotes the rapid acquisition of cold tolerance in frozen larvae.</t>
  </si>
  <si>
    <t>[Kawarasaki, Yuta; Lee, Richard E., Jr.] Miami Univ, Dept Zool, Oxford, OH 45056 USA; [Teets, Nicholas M.; Denlinger, David L.] Ohio State Univ, Dept Entomol, Columbus, OH 43210 USA; [Denlinger, David L.] Ohio State Univ, Dept Evolut Ecol &amp; Organismal Biol, Columbus, OH 43210 USA</t>
  </si>
  <si>
    <t>University System of Ohio; Miami University; University System of Ohio; Ohio State University; University System of Ohio; Ohio State University</t>
  </si>
  <si>
    <t>Kawarasaki, Y (corresponding author), Gustavus Adolphus Coll, Dept Biol, St Peter, MN 56082 USA.</t>
  </si>
  <si>
    <t>ykawaras@gustavus.edu</t>
  </si>
  <si>
    <t>Teets, Nicholas/IQT-5328-2023; Kawarasaki, Yuta/AAD-4032-2019; Teets, Nicholas/H-7386-2013</t>
  </si>
  <si>
    <t>National Science Foundation [ANT-0837559, ANT-0837613]</t>
  </si>
  <si>
    <t>This research was supported by the National Science Foundation [grant nos ANT-0837559 to R.E.L. and ANT-0837613 to D.L.D.].</t>
  </si>
  <si>
    <t>COMPANY OF BIOLOGISTS LTD</t>
  </si>
  <si>
    <t>BIDDER BUILDING CAMBRIDGE COMMERCIAL PARK COWLEY RD, CAMBRIDGE CB4 4DL, CAMBS, ENGLAND</t>
  </si>
  <si>
    <t>10.1242/jeb.088278</t>
  </si>
  <si>
    <t>224TB</t>
  </si>
  <si>
    <t>WOS:000324911200024</t>
  </si>
  <si>
    <t>Hutchinson, KA; Swart, S; Ansorge, IJ; Goni, GJ</t>
  </si>
  <si>
    <t>Hutchinson, K. A.; Swart, S.; Ansorge, I. J.; Goni, G. J.</t>
  </si>
  <si>
    <t>Exposing XBT bias in the Atlantic sector of the Southern Ocean</t>
  </si>
  <si>
    <t>XBT; Temperature bias; Inter-comparison study; Southern Ocean</t>
  </si>
  <si>
    <t>FALL-RATE; TEMPERATURE; T-7; PROFILES; SIPPICAN; EQUATION; QUALITY; ERROR</t>
  </si>
  <si>
    <t>Hydrographic data from three research cruises, occupying the GoodHope line in the Atlantic sector of the Southern Ocean, are used to identify and quantify Expendable Bathythermograph (XBT) temperature biases. A set of 148 collocated XBT and CTD stations, separated by a maximum distance of &lt;12.5 nm and &lt;10 h, are used in this study. A subset of these comparisons is also investigated. This subset consists of 24 simultaneous pairs where the XBT and CTD stations are within 2.5 nm and 2 h of one another. These simultaneous pairs are extremely rare in XBT bias experiments and provide data set to assess, in deeper detail, the behaviour of the bias. The net bias, which is a product of both the depth offset and the pure thermal bias, is investigated with depth per frontal zone for both the collocated and simultaneous comparisons and found to be on the whole positive, meaning warmer XBT readings compared to the CID values at each depth. The total mean bias for all collocated pairs was found to be 0.101 +/- 0.024 degrees C, and for the simultaneous subset the net bias had a mean value of 0.130 +/- 0.064 degrees C. An investigation into the magnitude of the depth offset was also undertaken, exposing generally positive depth biases, thereby indicating an overestimation of depth by the fall rate equation. A sizeable variation in bias between frontal zones is observed, along with an expected increase of net bias in regions of steeper temperature gradient. The contribution of the pure thermal bias is explored and found to be comparatively small yet still sizeable (mean bias =0.053 +/- 0.063 degrees C). Results found in this study further support the hypothesis of the regional dependence of the XBT fall rate on water temperature, and thus water viscosity. In addition, results obtained here highlight the need to develop an XBT bias correction scheme specifically appropriate to the Southern Ocean. (C) 2013 Elsevier Ltd. All rights reserved.</t>
  </si>
  <si>
    <t>[Hutchinson, K. A.; Swart, S.; Ansorge, I. J.] Univ Cape Town, Marine Res Inst, Dept Oceanog, ZA-7701 Rondebosch, South Africa; [Swart, S.] CSIR NRE, Southern Ocean Carbon &amp; Climate Observ, ZA-7599 Stellenbosch, South Africa; [Goni, G. J.] NOAA, AOML, PHOD, Miami, FL 33149 USA</t>
  </si>
  <si>
    <t>University of Cape Town; National Oceanic Atmospheric Admin (NOAA) - USA; Atlantic Oceanographic &amp; Meteorological Laboratory (AOML)</t>
  </si>
  <si>
    <t>Hutchinson, KA (corresponding author), Univ Cape Town, Marine Res Inst, Dept Oceanog, ZA-7701 Rondebosch, South Africa.</t>
  </si>
  <si>
    <t>kath.hutchinson@gmail.com</t>
  </si>
  <si>
    <t>ANSORGE, ISABELLE/AAY-7396-2020; Goni, Gustavo/D-2017-2012; Swart, Sebastiaan/U-5498-2017</t>
  </si>
  <si>
    <t>Goni, Gustavo/0000-0001-7093-3170; Swart, Sebastiaan/0000-0002-2251-8826; Ansorge, Isabelle/0000-0001-7071-8147; Hutchinson, Katherine/0000-0002-3472-8273</t>
  </si>
  <si>
    <t>South African National Antarctic Programme; University of Cape Town; SOCCO; ACCESS and NRF/SANAP; NOAA/AOML; NOAA Climate Program Office</t>
  </si>
  <si>
    <t>South African National Antarctic Programme; University of Cape Town; SOCCO; ACCESS and NRF/SANAP; NOAA/AOML(National Oceanic Atmospheric Admin (NOAA) - USA); NOAA Climate Program Office(National Oceanic Atmospheric Admin (NOAA) - USA)</t>
  </si>
  <si>
    <t>We thank the South African National Antarctic Programme, and the University of Cape Town for funding. This study would not have been possible without the data collected by the hydrographic cruises conducted under the auspices of the Shirshov Institute of Oceanology aboard the RV Akademik Sergey Vavilov, and the BONUS-GoodHope campaign aboard the RV Marion Dufresne. SS was supported through SOCCO post-doctoral fellowships funded by ACCESS and NRF/SANAP. We are grateful to Silvia Garzoli and her colleagues at AOML/NOAA for their dedication to the XBT programme at the GoodHope/AX25 transect. XBTs were provided by the NOAA Climate Program Office. GG is funded by NOAA/AOML and by the NOAA Climate Program Office.</t>
  </si>
  <si>
    <t>10.1016/j.dsr.2013.06.001</t>
  </si>
  <si>
    <t>215RJ</t>
  </si>
  <si>
    <t>WOS:000324227700002</t>
  </si>
  <si>
    <t>Brasso, RL; Drummond, BE; Borrett, SR; Chiaradia, A; Polito, MJ; Rey, AR</t>
  </si>
  <si>
    <t>Brasso, Rebecka L.; Drummond, Bridgette E.; Borrett, Stuart R.; Chiaradia, Andre; Polito, Michael J.; Rey, Andrea Raya</t>
  </si>
  <si>
    <t>Unique pattern of molt leads to low intraindividual variation in feather mercury concentrations in penguins</t>
  </si>
  <si>
    <t>ENVIRONMENTAL TOXICOLOGY AND CHEMISTRY</t>
  </si>
  <si>
    <t>Biomonitoring; Mercury; Biomarkers; Feather; Penguin</t>
  </si>
  <si>
    <t>SEABIRD FEATHERS; ENVIRONMENT</t>
  </si>
  <si>
    <t>The authors hypothesized that the catastrophic annual molt of penguins (Sphenisciformes) would lead to reduced intraindividual variation of mercury concentrations in body feathers. While mean mercury concentrations varied significantly among 8 penguin species, intraindividual variability did not differ among species and was 3 times lower than values observed in other seabirds. The findings of the present study suggest that a single body feather collected at random per individual can be adequate to estimate mercury exposure at the population level in penguins. Environ Toxicol Chem 2013;32:2331-2334. (c) 2013 SETAC</t>
  </si>
  <si>
    <t>[Brasso, Rebecka L.; Drummond, Bridgette E.; Borrett, Stuart R.; Polito, Michael J.] Univ N Carolina, Dept Biol &amp; Marine Biol, Wilmington, NC 28401 USA; [Chiaradia, Andre] Phillip Isl Nat Pk, Cowes, Vic, Australia; [Rey, Andrea Raya] Consejo Nacl Invest Cient &amp; Tecn, Ctr Austral Invest Cient, Tierra Del Fuego, Argentina</t>
  </si>
  <si>
    <t>University of North Carolina; University of North Carolina Wilmington; Consejo Nacional de Investigaciones Cientificas y Tecnicas (CONICET)</t>
  </si>
  <si>
    <t>Brasso, RL (corresponding author), Univ N Carolina, Dept Biol &amp; Marine Biol, Wilmington, NC 28401 USA.</t>
  </si>
  <si>
    <t>Brasso, Rebecka L/I-7014-2013; Chiaradia, Andre/AFK-6634-2022; Polito, Michael/G-9118-2012; Borrett, Stuart/E-6586-2010; Chiaradia, Andre/AAG-4928-2022</t>
  </si>
  <si>
    <t>Chiaradia, Andre/0000-0002-6178-4211; Polito, Michael/0000-0001-8639-4431; Borrett, Stuart/0000-0002-5759-3711; Chiaradia, Andre/0000-0002-6178-4211; Raya Rey, Andrea/0000-0003-0127-6650</t>
  </si>
  <si>
    <t>United States National Science Foundation (NSF) Office of Polar Programs grant [ANT0739575]; Society for Integrative and Comparative Biology; Philanthropic Educational Organization-Scholar Award; NSF; South African Department of Environmental Affairs Environmental Research [RES2010/11, RES2011/20]; Office of Polar Programs (OPP); Directorate For Geosciences [0739575] Funding Source: National Science Foundation</t>
  </si>
  <si>
    <t>United States National Science Foundation (NSF) Office of Polar Programs grant(National Science Foundation (NSF)); Society for Integrative and Comparative Biology; Philanthropic Educational Organization-Scholar Award; NSF(National Science Foundation (NSF)); South African Department of Environmental Affairs Environmental Research; Office of Polar Programs (OPP); Directorate For Geosciences(National Science Foundation (NSF)NSF - Directorate for Geosciences (GEO))</t>
  </si>
  <si>
    <t>Major funding for this research was provided by a United States National Science Foundation (NSF) Office of Polar Programs grant (grant ANT0739575) to S. Emslie, M. Polito, and W. Patterson. Additional funding was provided to R. Brasso from the Society for Integrative and Comparative Biology and Philanthropic Educational Organization-Scholar Award. For their invaluable assistance with logistical support in the field and the collection of feather samples, we thank W. Trivelpiece and S. Trivelpiece (US Antarctic Marine Living Resources program), N. Parsons (South African Foundation for the Conservation of Coastal Birds), and C. Summers (Clemson University, Clemson, SC, USA). We also thank S. Simmons (University of North Carolina Wilmington, USA) for statistical advice. This work complies with and was completed in accordance with Antarctic Conservation Acts permits provided to S. Emslie (2006-001) by the NSF, South African Department of Environmental Affairs Environmental Research (RES2010/11 and RES2011/20) and Convention on International Trade in Endangered Species of Wildlife Fauna and Flora (CITES) permit (112215) provided to N. Parsons and R. Brasso, Wildlife Act 1975 Research permit (10006148) to A. Chiaradia, and Research Permit S. S. C. y T. Nro. 18/11 to A. Raya Rey.</t>
  </si>
  <si>
    <t>0730-7268</t>
  </si>
  <si>
    <t>ENVIRON TOXICOL CHEM</t>
  </si>
  <si>
    <t>Environ. Toxicol. Chem.</t>
  </si>
  <si>
    <t>10.1002/etc.2303</t>
  </si>
  <si>
    <t>Environmental Sciences; Toxicology</t>
  </si>
  <si>
    <t>Environmental Sciences &amp; Ecology; Toxicology</t>
  </si>
  <si>
    <t>211EI</t>
  </si>
  <si>
    <t>WOS:000323887300019</t>
  </si>
  <si>
    <t>Lee, J; Noh, EK; Park, H; Lee, H</t>
  </si>
  <si>
    <t>Lee, Jungeun; Noh, Eun Kyeung; Park, Hyun; Lee, Hyoungseok</t>
  </si>
  <si>
    <t>Transcription factor profile analysis of the Antarctic vascular plant Deschampsia antarctica Desv. (Poaceae)</t>
  </si>
  <si>
    <t>GENES &amp; GENOMICS</t>
  </si>
  <si>
    <t>Abiotic stress; Antarctic hairgrass; Poaceae; Transcription factor</t>
  </si>
  <si>
    <t>RESPONSIVE GENE-EXPRESSION; FREEZING TOLERANCE; COLD-ACCLIMATION; LOW-TEMPERATURE; FUNCTIONAL-ANALYSIS; SALT TOLERANCE; ARABIDOPSIS; DROUGHT; EXPANSION; IDENTIFICATION</t>
  </si>
  <si>
    <t>Transcription factors (TFs), which control gene expression through sequence-specific interactions with cis-elements of downstream gene promoters, play an important role in developmental processes and in response to environmental stress. To explore the molecular mechanism behind stress signaling and the development of Antarctic hairgrass (Deschampsia antarctica Desv.), a terrestrial plant that has successfully adapted to the Antarctic climate, we analyzed the D. antarctica EST database and constructed a TF profile based on sequence homology searches with other plant TFs to identify 1,083 transcripts encoding TFs categorized into 53 TF families. The gene ontology distribution of TF-encoding transcripts and lineage-specific expansion/contraction of TF families were analyzed. In addition, we identified a group of putative abiotic stress-induced TFs by comparing EST libraries generated under different abiotic conditions and validated the results using quantitative real-time PCR. Since plant TFs are primary targets for genetic engineering and the development of stress-tolerant crops, these results could be a useful resource for agricultural applications.</t>
  </si>
  <si>
    <t>[Lee, Jungeun; Noh, Eun Kyeung; Park, Hyun; Lee, Hyoungseok] Korea Polar Res Inst, Div Life Sci, Inchon 406840, South Korea</t>
  </si>
  <si>
    <t>Korea Institute of Ocean Science &amp; Technology (KIOST); Korea Polar Research Institute (KOPRI)</t>
  </si>
  <si>
    <t>Lee, H (corresponding author), Korea Polar Res Inst, Div Life Sci, 12 Gaetbeol Ro, Inchon 406840, South Korea.</t>
  </si>
  <si>
    <t>soulaid@kopri.re.kr</t>
  </si>
  <si>
    <t>Park, Hyun/0000-0002-8055-2010; Lee, Hyoungseok/0000-0002-5831-6345</t>
  </si>
  <si>
    <t>Functional Genomics on Polar Organisms grant [PE12020]; Korea Polar Research Institute (KOPRI); National Research Foundation of Korea, Korea [NRF-2009-352-C00129]</t>
  </si>
  <si>
    <t>Functional Genomics on Polar Organisms grant; Korea Polar Research Institute (KOPRI); National Research Foundation of Korea, Korea(National Research Foundation of Korea)</t>
  </si>
  <si>
    <t>This work was supported by Functional Genomics on Polar Organisms grant (PE12020) funded by Korea Polar Research Institute (KOPRI). J Lee was supported by National Research Foundation of Korea, Korea (NRF-2009-352-C00129).</t>
  </si>
  <si>
    <t>1976-9571</t>
  </si>
  <si>
    <t>2092-9293</t>
  </si>
  <si>
    <t>GENES GENOM</t>
  </si>
  <si>
    <t>Genes Genom.</t>
  </si>
  <si>
    <t>10.1007/s13258-013-0106-4</t>
  </si>
  <si>
    <t>Biochemistry &amp; Molecular Biology; Biotechnology &amp; Applied Microbiology; Genetics &amp; Heredity</t>
  </si>
  <si>
    <t>220GI</t>
  </si>
  <si>
    <t>WOS:000324570400004</t>
  </si>
  <si>
    <t>Fan, JF; Li, LL; Han, JL; Ming, HX; Li, JY; Na, GS; Chen, JY</t>
  </si>
  <si>
    <t>Fan, Jingfeng; Li, Lili; Han, Junli; Ming, Hongxia; Li, Jiangyu; Na, Guangshui; Chen, Jiaying</t>
  </si>
  <si>
    <t>Diversity and structure of bacterial communities in Fildes Peninsula, King George Island</t>
  </si>
  <si>
    <t>Bacterial diversity; Antarctic soil; DGGE; Fildes Peninsula</t>
  </si>
  <si>
    <t>ANTARCTIC LAKES; SP-NOV; SOILS; SEDIMENTS; ICE; BIODIVERSITY; HABITATS; PRISTINE; POLAR; CORE</t>
  </si>
  <si>
    <t>To examine the bacterial community structure in the Fildes Peninsula, King George Island, Antarctica, we examined the bacterial diversity and community composition of samples collected from lacustrine sediment, marine sediment, penguin ornithogenic sediments, and soils using culture-dependent and culture-independent methods. The 70 strains fell into five groups: Actinobacteria, Bacteroidetes, Firmicutes, Gammaproteobacteria, and Betaproteobacteria. Bacterial diversity at the phylum level detected in Denaturing Gradient Gel Electrophoresis (DGGE) profiles comprised Proteobacteria (including the subphyla Alpha-, Beta-, Gamma-, Deltaproteobacteria), Bacteroidetes, Firmicutes, Chlorobi, and Deinococcus-Thermus. Gammaproteobacteria was identified to be the dominant bacterial subphylum by cultivation and DGGE method. By cluster analysis, the overall structure and composition of bacterial communities in the soil and lacustrine sediment were similar to one another but significantly different from bacterial communities in penguin ornithogenic sediment and marine sediment, which were similar to one another. The majority of 16S rDNA sequences from cultured bacteria were closely related to sequences found in cold environments. In contrast, a minority of 16S rDNA sequences from the DGGE approach were closely related to sequences found in cold environments.</t>
  </si>
  <si>
    <t>[Fan, Jingfeng; Li, Lili; Han, Junli; Ming, Hongxia; Li, Jiangyu; Na, Guangshui; Chen, Jiaying] Natl Marine Environm Monitoring Ctr, Dalian 116023, Peoples R China; [Li, Lili; Han, Junli; Li, Jiangyu; Chen, Jiaying] Dalian Ocean Univ, Dalian 116023, Peoples R China</t>
  </si>
  <si>
    <t>National Marine Environmental Monitoring Center; Dalian Ocean University</t>
  </si>
  <si>
    <t>Fan, JF (corresponding author), Natl Marine Environm Monitoring Ctr, 42 Linghe St, Dalian 116023, Peoples R China.</t>
  </si>
  <si>
    <t>jffan@nmemc.gov.cn</t>
  </si>
  <si>
    <t>Ming, Hongxia/AAG-5486-2021; FAN, JF/AAH-8190-2021</t>
  </si>
  <si>
    <t>Ming, Hongxia/0000-0002-7451-8430;</t>
  </si>
  <si>
    <t>10.1007/s00300-013-1358-9</t>
  </si>
  <si>
    <t>214OG</t>
  </si>
  <si>
    <t>WOS:000324142700001</t>
  </si>
  <si>
    <t>Taboada, S; Junoy, J; Andrade, SCS; Giribet, G; Cristobo, J; Avila, C</t>
  </si>
  <si>
    <t>Taboada, Sergi; Junoy, Juan; Andrade, Sonia C. S.; Giribet, Gonzalo; Cristobo, Javier; Avila, Conxita</t>
  </si>
  <si>
    <t>On the identity of two Antarctic brooding nemerteans: redescription of Antarctonemertes valida (Burger, 1893) and description of a new species in the genus Antarctonemertes Friedrich, 1955 (Nemertea, Hoplonemertea)</t>
  </si>
  <si>
    <t>Taxonomy; Phylogeny; Deception Island; Character matrix; Haplotype network</t>
  </si>
  <si>
    <t>RIBBON WORM RELATIONSHIPS; EVOLUTIONARY DISTANCE; MAXIMUM-LIKELIHOOD; PHYLOGENY; TAXA; MONOSTILIFERA; CHECKLIST; ENOPLA; GENERA; MODEL</t>
  </si>
  <si>
    <t>Nemerteans (ribbon worms) constitute an abundant and occasionally conspicuous group of benthic invertebrates in the Southern Ocean. Although recent work has confirmed that this group is far more diverse than previously recognized, the Antarctic nemertean fauna remains poorly understood when compared to other geographic regions. In most cases, the taxonomic information on the known nemertean fauna is incomplete for this region and/or has been inappropriately documented. As a consequence, many of the species described are considered species inquirendae. Among the nearly 50 species described so far for the Southern Ocean, two hoplonemerteans are known to brood eggs in cocoons: Amphiporus incubator Joubin, 1914 and Amphiporus michaelseni Burger, 1895a. Here, we redescribe Antarctonemertes valida (Burger, 1893), a senior synonym of A. michaelseni, and describe a new congeneric species, Antarctonemertes riesgoae sp. nov. Both species show a similar reproductive strategy by brooding their cocoons, and similar external appearance, but clearly differ in other aspects of their morphology, such as the cephalic coloration pattern and the number of proboscidial nerves. We provide novel information about their life habitus, reproductive behaviour, internal anatomy, and their phylogenetic placement within hoplonemerteans using one nuclear (28S rRNA) and two mitochondrial [cytochrome c oxidase subunit I (COI) and 16S rRNA] markers. We also provide a parsimony haplotype network using 16S rRNA, COI, and the internal transcribed spacer region 2 (ITS-2) showing a clear distinction between individuals of both species. Our results stress the need of combining molecular and morphological information when dealing with closely related species of nemerteans.</t>
  </si>
  <si>
    <t>[Taboada, Sergi; Avila, Conxita] Univ Barcelona, Fac Biol, Dept Biol Anim, E-08028 Barcelona, Spain; [Junoy, Juan; Cristobo, Javier] Univ Alcala de Henares, Franklin Inst, EU US Marine Biodivers Res Grp, Alcala De Henares 28871, Spain; [Junoy, Juan; Cristobo, Javier] Univ Alcala de Henares, Dept Ciencias Vida, Alcala De Henares 28871, Spain; [Andrade, Sonia C. S.; Giribet, Gonzalo] Harvard Univ, Dept Organism &amp; Evolutionary Biol, Museum Comparat Zool, Cambridge, MA 02138 USA; [Cristobo, Javier] Inst Espanol Oceanog, Ctr Oceanog Gijon, Gijon 33212, Spain; [Avila, Conxita] Univ Barcelona, Inst Res Biodivers, IrBIO, E-08028 Barcelona, Spain</t>
  </si>
  <si>
    <t>University of Barcelona; Universidad de Alcala; Universidad de Alcala; Harvard University; Spanish Institute of Oceanography; University of Barcelona</t>
  </si>
  <si>
    <t>Taboada, S (corresponding author), Univ Barcelona, Fac Biol, Dept Biol Anim, Avinguda Diagonal 643, E-08028 Barcelona, Spain.</t>
  </si>
  <si>
    <t>staboada@ub.edu</t>
  </si>
  <si>
    <t>Taboada, Sergi/AAB-9390-2021; Andrade, Sonia/GLS-1234-2022; Avila, Conxita/B-9466-2008; /AAH-3396-2021; Cristobo, Javier/M-1949-2014; Giribet, Gonzalo/P-1086-2015</t>
  </si>
  <si>
    <t>Taboada, Sergi/0000-0003-1669-1152; Andrade, Sonia/0000-0002-1302-5261; Avila, Conxita/0000-0002-5489-8376; Giribet, Gonzalo/0000-0002-5467-8429; Junoy, Juan/0000-0002-6125-558X</t>
  </si>
  <si>
    <t>Spanish Government [CGL2007-65453/ANT, CTM2010-17415/ANT]; Banco Popular; Museum of Comparative Zoology</t>
  </si>
  <si>
    <t>Spanish Government(Spanish Government); Banco Popular; Museum of Comparative Zoology</t>
  </si>
  <si>
    <t>We are deeply obliged to the Gabriel de Castilla'' Antarctic Spanish Base crew of the 2009-2010 season for their unconditional help. We are more grateful to our ACTIQUIM project colleagues: L. Nunez, B. Figuerola, and J. Vazquez, and especially to M. Ballesteros who provided the specimens from King George Island. We would also like to thank the members of the Giribet lab (Harvard University), who helped during the genetic work, especially A. Riesgo and M. Novo. Editor Dieter Piepenburg, Hiroshi Kajihara, and two additional anonymous reviewers are acknowledged for their comments, which helped to improve a previous version of this manuscript. This research received support from the Spanish Government, through the research projects ACTIQUIM-I and II (CGL2007-65453/ANT, CTM2010-17415/ANT) as well as from Banco Popular. Molecular work was supported by internal funds from the Museum of Comparative Zoology.</t>
  </si>
  <si>
    <t>10.1007/s00300-013-1360-2</t>
  </si>
  <si>
    <t>WOS:000324142700003</t>
  </si>
  <si>
    <t>Katayama, T; Taguchi, S</t>
  </si>
  <si>
    <t>Katayama, Tomoyo; Taguchi, Satoru</t>
  </si>
  <si>
    <t>Photoprotective responses of an ice algal community in Saroma-Ko Lagoon, Hokkaido, Japan</t>
  </si>
  <si>
    <t>Diatoxanthin; Ice algae; Non-photochemical quenching; Thermal dissipation; Xanthophyll cycle</t>
  </si>
  <si>
    <t>DIATOM PHAEODACTYLUM-TRICORNUTUM; XANTHOPHYLL-CYCLE PIGMENTS; ANTARCTIC PACK ICE; DIADINOXANTHIN CYCLE; SEA-ICE; CHLOROPHYLL FLUORESCENCE; MCMURDO SOUND; POLAR DIATOM; PHOTOSYNTHESIS; LIGHT</t>
  </si>
  <si>
    <t>In polar seas, ice algal communities can acclimate to extremely low light conditions. Reduced acclimation to shade in ice algal communities, as a result of shortened ice seasons at the lower latitude limits of sea ice distribution, has been suggested as advantageous for avoiding strong photoinhibition when cells are released into high light levels at the water's surface. Thermal dissipation of excess energy by xanthophyll cycle pigments in the de-epoxidated state may occur in ice algal communities released from retreating sea ice. A light exposure experiment was conducted on ice algal communities obtained from sea ice at Saroma-Ko Lagoon in Hokkaido, Japan. Photoprotective responses to direct sunlight were examined through non-photochemical quenching (NPQ) of chlorophyll fluorescence and xanthophyll pigments. De-epoxidation of diadinoxanthin (DD) to diatoxanthin (DT) occurred rapidly, and NPQ showed a dynamic response to high light exposure. The linear relationship between the ratio of DT to chlorophyll a and NPQ followed a steeper slope than previously observed for mesophilic diatoms. The steeper slope could be explained by an apparent increase in DT for the mesophilic diatoms and induction of NPQ in response to low temperatures only in the ice algal communities. Enhanced production of DT in mesophilic diatoms could be the result of de-epoxidation of DD plus de novo synthesis, and the enhancement of NPQ might be caused by low temperature stress in the ice algae. Although the response of NPQ might be related to temperature, NPQ independent of DT synthesis should also be studied.</t>
  </si>
  <si>
    <t>[Katayama, Tomoyo; Taguchi, Satoru] Soka Univ, Fac Engn, Lab Biol Oceanog, Hachioji, Tokyo 1928577, Japan</t>
  </si>
  <si>
    <t>Soka University</t>
  </si>
  <si>
    <t>Taguchi, S (corresponding author), Soka Univ, Fac Engn, Lab Biol Oceanog, 1-236 Tangi Cho, Hachioji, Tokyo 1928577, Japan.</t>
  </si>
  <si>
    <t>staguchi@soka.ac.jp</t>
  </si>
  <si>
    <t>Katayama, Tomoyo/HLH-3915-2023</t>
  </si>
  <si>
    <t>Katayama, Tomoyo/0000-0001-7418-7697</t>
  </si>
  <si>
    <t>Institute of Low Temperature Science, Hokkaido University, Japan</t>
  </si>
  <si>
    <t>This work would not have been possible without the support provided by H. Hattori (Tokai University), Y. Fukamachi (Hokkaido University), and K. Maekawa (Saroma Research Center of Aquaculture). M. Obata, K. Takimoto, and S. Motokawa provided technical advice on the experimental design and technical assistance in the field. This research was partially supported by the financial and logistical backing of the Institute of Low Temperature Science, Hokkaido University, Japan. We thank the anonymous reviewers for their constructive comments, which greatly improved the manuscript.</t>
  </si>
  <si>
    <t>10.1007/s00300-013-1361-1</t>
  </si>
  <si>
    <t>WOS:000324142700004</t>
  </si>
  <si>
    <t>Keskitalo, J; Leppäranta, M; Arvola, L</t>
  </si>
  <si>
    <t>Keskitalo, Jorma; Lepparanta, Matti; Arvola, Lauri</t>
  </si>
  <si>
    <t>First records of primary producers of epiglacial and supraglacial lakes in western Dronning Maud Land, Antarctica</t>
  </si>
  <si>
    <t>Lakes; Summer; Geochemistry; Phytoplankton; Antarctica; Dronning Maud Land</t>
  </si>
  <si>
    <t>ICE-COVERED LAKES; PHYTOPLANKTON; PRODUCTIVITY; PHYSIOLOGY; FRYXELL; VANDA; SNOW</t>
  </si>
  <si>
    <t>Epiglacial and supraglacial lakes are characteristic lake types in Antarctica, and regardless of their mostly seasonal existence and ultraoligotrophy, some lakes have a relatively diverse microbial community. The results of water chemistry and phytoplankton, based on basic limnological methods, from five epiglacial and two supraglacial seasonal lakes are presented from western Dronning Maud Land, an area where only physical studies have been previously carried out. Electric conductivity varied mostly between 0.1 and 10 mS m(-1) (25 A degrees C), phosphorus concentration was &lt; 5 mg m(-3), and nitrogen concentration was &lt; 300 mg m(-3) except in some shore areas, and water pH ranged from 6 to 11. Low phytoplankton biomasses (in most cases &lt; 10 mg m(-3)) supported the ultraoligotrophic status of the lakes. Phytoplankton was found from both types of lakes, but less was found from supraglacial lakes. The charophyte Mesotaenium cf. berggrenii dominated the supraglacial lakes, while cyanoprokaryotes such as Gloeocapsopsis cf. magma, Planktothrix prolifica/rubescens, Nostoc cf. sphaericum, Cyanothece sp. and Phormidium sp. dominated the biomass in some epiglacial lakes. Chrysophytes (e.g. Pseudopedinella-type flagellates) were observed in both types of lakes, and they were occasionally dominant. The green alga Botryococcus braunii, some diatoms (Cyclotella sp., Diatoma tenuis, Luticola muticopsis), and non-planktonic microalgal colonies visible to the eye (incl. the cyanoprokaryote Nostoc commune) were also found. Signs of a living ecosystem with a food web were observed in one epiglacial lake, but not elsewhere, which indicates extreme circumstances in the Antarctic seasonal lakes. Altogether, only some 25 taxa were discovered.</t>
  </si>
  <si>
    <t>[Keskitalo, Jorma; Arvola, Lauri] Univ Helsinki, Lammi Biol Stn, Lammi 16900, Finland; [Lepparanta, Matti] Univ Helsinki, Dept Phys, Helsinki 00014, Finland</t>
  </si>
  <si>
    <t>University of Helsinki; University of Helsinki</t>
  </si>
  <si>
    <t>Arvola, L (corresponding author), Univ Helsinki, Lammi Biol Stn, Paajarventie 320, Lammi 16900, Finland.</t>
  </si>
  <si>
    <t>lauri.arvola@helsinki.fi</t>
  </si>
  <si>
    <t>Lepparanta, Matti/0000-0002-4754-5564; Arvola, Lauri/0000-0003-1380-0659</t>
  </si>
  <si>
    <t>We thank the FINNARP logistics for its support in the field campaign, with special thanks to Mr. Mika Kalakoski, expedition chief, for his help in the transportation of the samples, and to Mr. Petri Heinonen for guidance and discussions. Funding was provided for our project Evolution of snow cover and dynamics of atmospheric deposits in the snow in the Antarctica'' (#127691) by the Academy of Finland. Species identifications were proposed by the participants of a workshop of the Finnish Phytoplankton Society. Four reviewers made excellent suggestions, which helped us to improve the manuscript. The manuscript was corrected for English by Dr. John Loehr.</t>
  </si>
  <si>
    <t>10.1007/s00300-013-1362-0</t>
  </si>
  <si>
    <t>WOS:000324142700005</t>
  </si>
  <si>
    <t>Kock, KH; Gröger, J; Jones, CD</t>
  </si>
  <si>
    <t>Kock, Karl-Hermann; Groeger, Joachim; Jones, Christopher D.</t>
  </si>
  <si>
    <t>Interannual variability in the feeding of ice fish (Notothenioidei, Channichthyidae) in the southern Scotia Arc and the Antarctic Peninsula region (CCAMLR Subareas 48.1 and 48.2)</t>
  </si>
  <si>
    <t>Southern Ocean; Ice fish; Food intake; Daily food consumption</t>
  </si>
  <si>
    <t>COD BOREOGADUS-SAIDA; SHETLAND ISLANDS; DAILY RATION; BUOYANCY; EVACUATION; DIET; BIOLOGY; OCEAN; SEA</t>
  </si>
  <si>
    <t>We have studied the annual variation in food intake of three sub-Antarctic ice fish species (Champsocephalus gunnari, Chaenocephalus aceratus, and Pseudochaenichthys georgianus) and three high-Antarctic ice fish species (Chionodraco rastrospinosus, Cryodraco antarcticus, and Chaenodraco wilsoni). Stomach content analyses were conducted during bottom trawl surveys around the South Shetland Islands in 1998, 2001, 2002, 2003, and 2007, the South Orkney Islands in 1999 and 2009, and off the north-western Antarctic Peninsula in 2002, 2006, and 2006/2007 in order to obtain further insight into the amount of food of Antarctic demersal fish consume during summer. Annual variation in food intake was comparatively low within an area in the krill-feeding species C. gunnari and C. wilsoni. Food intake was much more variable, by a factor of 2 or 3 among years and areas, in larger C. aceratus and C. antarcticus, which rely heavily on fish as their dietary source. Food consumption was intermediate in the two species P. georgianus and C. rastrospinosus, which rely on both krill and fish.</t>
  </si>
  <si>
    <t>[Kock, Karl-Hermann; Groeger, Joachim] Johann Heinrich von Thunen Inst Landliche Raume W, Inst Seefischerei, D-22767 Hamburg, Germany; [Groeger, Joachim] Univ Rostock, Inst Biowissensch, Rostock, Germany; [Jones, Christopher D.] NOAA Natl Marine Fisheries Serv, Antarctic Ecosyst Res Div, Southwest Fisheries Sci Ctr, La Jolla, CA 92037 USA</t>
  </si>
  <si>
    <t>Johann Heinrich von Thunen Institute; University of Rostock; National Oceanic Atmospheric Admin (NOAA) - USA</t>
  </si>
  <si>
    <t>Kock, KH (corresponding author), Johann Heinrich von Thunen Inst Landliche Raume W, Inst Seefischerei, Palmaille 9, D-22767 Hamburg, Germany.</t>
  </si>
  <si>
    <t>karl-hermann.kock@ti.bund.de</t>
  </si>
  <si>
    <t>10.1007/s00300-013-1363-z</t>
  </si>
  <si>
    <t>WOS:000324142700006</t>
  </si>
  <si>
    <t>Lannuzel, D; Schoemann, V; Dumont, I; Content, M; de Jong, J; Tison, JL; Delille, B; Becquevort, S</t>
  </si>
  <si>
    <t>Lannuzel, D.; Schoemann, V.; Dumont, I.; Content, M.; de Jong, J.; Tison, J. -L.; Delille, B.; Becquevort, S.</t>
  </si>
  <si>
    <t>Effect of melting Antarctic sea ice on the fate of microbial communities studied in microcosms</t>
  </si>
  <si>
    <t>Sea ice; Microbial community; Antarctica; Iron</t>
  </si>
  <si>
    <t>DISSOLVED ORGANIC-MATTER; WEDDELL SEA; BACTERIAL COMMUNITIES; EXOPOLYMER PARTICLES; ALGAL BLOOMS; IRON; GROWTH; CARBON; WATER; EDGE</t>
  </si>
  <si>
    <t>Although algal growth in the iron-deficient Southern Ocean surface waters is generally low, there is considerable evidence that winter sea ice contains high amounts of iron and organic matter leading to ice-edge blooms during austral spring. We used field observations and ship-based microcosm experiments to study the effect of the seeding by sea ice microorganisms, and the fertilization by organic matter and iron on the planktonic community at the onset of spring/summer in the Weddell Sea. Pack ice was a major source of autotrophs resulting in a ninefold to 27-fold increase in the sea ice-fertilized seawater microcosm compared to the ice-free seawater microcosm. However, heterotrophs were released in lower numbers (only a 2- to 6-fold increase). Pack ice was also an important source of dissolved organic matter for the planktonic community. Small algae (&lt; 10 mu m) and bacteria released from melting sea ice were able to thrive in seawater. Field observations show that the supply of iron from melting sea ice had occurred well before our arrival onsite, and the supply of iron to the microcosms was therefore low. We finally ran a sequential melting experiment to monitor the release of ice constituents in seawater. Brine drainage occurred first and was associated with the release of dissolved elements (salts, dissolved organic carbon and dissolved iron). Particulate organic carbon and particulate iron were released with low-salinity waters at a later stage.</t>
  </si>
  <si>
    <t>[Lannuzel, D.] Univ Tasmania, Inst Marine &amp; Antarctic Studies, Hobart, Tas 7001, Australia; [Lannuzel, D.] Univ Tasmania, Antarctic Climate &amp; Ecosyst CRC, Hobart, Tas 7001, Australia; [Lannuzel, D.] Univ Libre Bruxelles, Lab Oceanog Chim &amp; Geochim Eaux, B-1050 Brussels, Belgium; [Schoemann, V.; Becquevort, S.] Univ Libre Bruxelles, Fac Sci, B-1050 Brussels, Belgium; [Schoemann, V.; de Jong, J.; Tison, J. -L.] Univ Libre Bruxelles, Fac Sci, DSTE, Lab Glaciol GLACIOL, B-1050 Brussels, Belgium; [Dumont, I.; Content, M.; de Jong, J.] Univ Libre Bruxelles, Fac Sci, DSTE, Unite Isotopes Petr &amp; Environm IPE, B-1050 Brussels, Belgium; [Delille, B.] Univ Liege, MARE, Unite Oceanog Chim, B-4000 Liege, Belgium</t>
  </si>
  <si>
    <t>University of Tasmania; University of Tasmania; Universite Libre de Bruxelles; Universite Libre de Bruxelles; Universite Libre de Bruxelles; Universite Libre de Bruxelles; University of Liege</t>
  </si>
  <si>
    <t>Lannuzel, D (corresponding author), Univ Tasmania, Inst Marine &amp; Antarctic Studies, Locked Bag 129, Hobart, Tas 7001, Australia.</t>
  </si>
  <si>
    <t>delphine.lannuzel@utas.edu.au</t>
  </si>
  <si>
    <t>de Jong, Jeroen/F-3190-2011; Delille, Bruno/C-3486-2008; Tison, Jean-Louis/F-4065-2015; lannuzel, delphine/J-7937-2014</t>
  </si>
  <si>
    <t>Delille, Bruno/0000-0003-0502-8101; Tison, Jean-Louis/0000-0002-9758-3454; de Jong, Jeroen/0000-0002-3034-5929; lannuzel, delphine/0000-0001-6154-1837</t>
  </si>
  <si>
    <t>Belgian French Community [ARC-02/7-318287]; Belgian Federal Science Policy Office [511106-2, SD/CA/03AB, SD/CA/05A]; Fonds pour la Recherche en Industries Agronomiques grant</t>
  </si>
  <si>
    <t>Belgian French Community; Belgian Federal Science Policy Office(Belgian Federal Science Policy Office); Fonds pour la Recherche en Industries Agronomiques grant</t>
  </si>
  <si>
    <t>The authors are grateful to the officers and crews of the RV Polarstern for their logistic assistance during the ISPOL cruise. We would like to thank the Alfred Wegener Institute, especially Michael Spindler, David Thomas and Gerhard Dieckmann for allowing us to take part in the ISPOL cruise. This work was carried out in the framework of the Belgian research programme Action de Recherche Concertee Sea Ice Biogeochemistry in a CLIMate change perspective'' financed by the Belgian French Community under contract no ARC-02/7-318287. This is also a contribution to the European Network of Excellence EUR-OCEANS (contract no511106-2) and to the BELCANTO (contracts SD/CA/03A&amp;B) and BIGSOUTH (contract No SD/CA/05A) projects financed by the Belgian Federal Science Policy Office. The present study is a Belgian input to the Surface Ocean Low Atmosphere Study international research initiative. Isabelle Dumont was supported by a Fonds pour la Recherche en Industries Agronomiques grant. Bruno Delille is a F.R.S-FNRS Research Associate.</t>
  </si>
  <si>
    <t>10.1007/s00300-013-1368-7</t>
  </si>
  <si>
    <t>hybrid, Green Submitted, Green Published, Green Accepted</t>
  </si>
  <si>
    <t>WOS:000324142700009</t>
  </si>
  <si>
    <t>Agostini, C; Papetti, C; Patarnello, T; Mark, FC; Zane, L; Marino, IAM</t>
  </si>
  <si>
    <t>Agostini, Cecilia; Papetti, Chiara; Patarnello, Tomaso; Mark, Felix C.; Zane, Lorenzo; Marino, Ilaria A. M.</t>
  </si>
  <si>
    <t>Putative selected markers in the Chionodraco genus detected by interspecific outlier tests</t>
  </si>
  <si>
    <t>Genome-wide selection scan; Genetic differentiation; Local adaptation; EST-linked microsatellites; Standardized F-ST; Antarctic icefish</t>
  </si>
  <si>
    <t>MICROSATELLITE LOCI; GENETIC-STRUCTURE; ATLANTIC SALMON; F-ST; EVOLUTION; FLOW; ANTIFREEZE; POPULATIONS; PERCIFORMES; MARINE</t>
  </si>
  <si>
    <t>The identification of loci under selection (outliers) is a major challenge in evolutionary biology, being critical to comprehend evolutionary processes leading to population differentiation and speciation, and for conservation purposes, also in light of recent climate change. However, detection of selected loci can be difficult when populations are weakly differentiated. This is the case of marine fish populations, often characterized by high levels of gene flow and connectivity, and particularly of fish living in the Antarctic marine environment, characterized by a complex and strong circulating system promoting individual dispersal all around the continent. With the final aim of identifying outlier loci putatively under selection in the Chionodraco genus, we used 21 microsatellites, including both genomic (Type II) and EST-linked loci (Type I), to investigate the genetic differentiation among the three recently derived Chionodraco species that are endemic to the freezing Antarctic waters. Neutrality tests were applied in interspecific comparisons in order to identify candidate loci showing high levels of genetic differentiation, which might reveal imprints of past selection. Three outlier loci were identified, detecting a higher differentiation between species than did neutral loci. Outliers showed sequence similarity to a calmodulin gene, to an antifreeze glycoprotein/trypsinogen-like protease gene and to nonannotated fish mRNAs. Selective pressures acting on outlier loci identified in this study might reflect past evolutionary processes, which led to species divergence and local adaptation in the Chionodraco genus. Used loci will provide a valuable tool for future population genetic studies in Antarctic notothenioids.</t>
  </si>
  <si>
    <t>[Agostini, Cecilia; Papetti, Chiara; Zane, Lorenzo; Marino, Ilaria A. M.] Univ Padua, Dept Biol, Padua, Italy; [Patarnello, Tomaso] Univ Padua, Dept Comparat Biomed &amp; Food Sci, Padua, Italy; [Mark, Felix C.] Alfred Wegener Inst Polar &amp; Marine Res, Bremerhaven, Germany</t>
  </si>
  <si>
    <t>University of Padua; University of Padua; Helmholtz Association; Alfred Wegener Institute, Helmholtz Centre for Polar &amp; Marine Research</t>
  </si>
  <si>
    <t>Zane, L (corresponding author), Univ Padua, Dept Biol, Padua, Italy.</t>
  </si>
  <si>
    <t>Mark, Felix Christopher/P-4759-2016; Zane, Lorenzo/G-6249-2010; Marino, Ilaria/JFK-4053-2023</t>
  </si>
  <si>
    <t>Mark, Felix Christopher/0000-0002-5586-6704; Zane, Lorenzo/0000-0002-6963-2132; Papetti, Chiara/0000-0002-4567-459X; PATARNELLO, Tomaso/0000-0003-1794-5791</t>
  </si>
  <si>
    <t>Italian National Program for Antarctic Research (PNRA); National Science Foundation (NSF) [0741348]; University of Padova [GRIC110B82, CPDR084151/08]</t>
  </si>
  <si>
    <t>Italian National Program for Antarctic Research (PNRA); National Science Foundation (NSF)(National Science Foundation (NSF)); University of Padova</t>
  </si>
  <si>
    <t>We are grateful to Vittorio Varotto, Dr. Erica Bortolotto, the Italian National Program for Antarctic Research (PNRA), and the Alfred Wegener Institute (AWI) for collecting samples during the Antarctic expeditions. This work has been funded by the Italian National Program for Antarctic Research (PNRA). CA is a PhD student in Evolutionary Biology at the University of Padova, with a program partially funded under National Science Foundation (NSF) Grant 0741348. CP has been funded by a un Senior Research Grant of University of Padova (GRIC110B82). IAMM has been funded by a University of Padova post doc Grant (CPDR084151/08).</t>
  </si>
  <si>
    <t>10.1007/s00300-013-1370-0</t>
  </si>
  <si>
    <t>WOS:000324142700011</t>
  </si>
  <si>
    <t>Martin, J; Rey, B; Pons, JB; Natoli, E; Pontier, D</t>
  </si>
  <si>
    <t>Martin, Jodie; Rey, Benjamin; Pons, Jean-Baptiste; Natoli, Eugenia; Pontier, Dominique</t>
  </si>
  <si>
    <t>Movements and space use of feral cats in Kerguelen archipelago: a pilot study with GPS data</t>
  </si>
  <si>
    <t>Felis silvestris catus; Activity rhythm; Home range; Sub-Antarctic islands</t>
  </si>
  <si>
    <t>SUB-ANTARCTIC ENVIRONMENT; PREDATORS; ISLAND; RANGE; L.</t>
  </si>
  <si>
    <t>The domestic cat has been introduced on several sub-Antarctic islands such as the Kerguelen archipelago (48A degrees 28'aEuro50A degrees S, 68A degrees 28'aEuro70A degrees 35E), causing a worrying impact on the viability of some seabird populations. A better understanding of the biology of this introduced predator is needed to help design appropriate management actions. To investigate the effectiveness of a GPS study on feral cats living on the Kerguelen main island and to gain preliminary results on cat space use and fine-scale movement patterns, we fitted GPS collars on three young adult males and recorded cat location at a high frequency (every 5 min) for 2-3 weeks, during the austral summer. Home-range sizes varied from 0.30 to 0.73 kmA(2), with large overlaps in space but not in time. Cats were active during the warmest hours of the day, with a peak of activity around 2:00 p.m. This preliminary result suggests that trapping for management of the population should therefore yield the highest number of captures in the afternoon and before sunrise, when cats are more active. Our pilot study demonstrated the potential of using GPS to track feral cats in sub-Antarctic islands, opening up opportunities to get deep insights in the spatial ecology of these introduced predators.</t>
  </si>
  <si>
    <t>[Martin, Jodie] Univ Witwatersrand, Ctr African Ecol, Sch Anim Plant &amp; Environm Sci, ZA-2050 Johannesburg, South Africa; [Rey, Benjamin; Pons, Jean-Baptiste; Pontier, Dominique] Univ Lyon 1, CNRS, UMR 5558, Lab Biometrie &amp; Biol Evolut, F-69622 Villeurbanne, France; [Rey, Benjamin] Univ Witwatersrand, Sch Physiol, Fac Hlth Sci, Brain Funct Res Grp, ZA-2193 Johannesburg, South Africa; [Natoli, Eugenia] Azienda USL Rome D, Area Dipartimentale Sanita Pubbl Vet, Vet Hosp, Rome, Italy</t>
  </si>
  <si>
    <t>University of Witwatersrand; VetAgro Sup; Universite Claude Bernard Lyon 1; Centre National de la Recherche Scientifique (CNRS); CNRS - Institute of Ecology &amp; Environment (INEE); University of Witwatersrand</t>
  </si>
  <si>
    <t>Martin, J (corresponding author), Univ Witwatersrand, Ctr African Ecol, Sch Anim Plant &amp; Environm Sci, ZA-2050 Johannesburg, South Africa.</t>
  </si>
  <si>
    <t>martin@ase-research.org</t>
  </si>
  <si>
    <t>Natoli, Eugenia/AAE-2156-2020; Rey, Benjamin/C-1304-2013</t>
  </si>
  <si>
    <t>Natoli, Eugenia/0000-0002-9232-7048; Pontier, Dominique/0000-0003-4700-3543</t>
  </si>
  <si>
    <t>French Polar Institute (IPEV) [279]; CNRS, ZA Programme Environnement, Vie et Societe; Embassy of France in South Africa; Claude Leon Foundation</t>
  </si>
  <si>
    <t>French Polar Institute (IPEV); CNRS, ZA Programme Environnement, Vie et Societe; Embassy of France in South Africa; Claude Leon Foundation</t>
  </si>
  <si>
    <t>We thank Leo Martin and Guillaume Chagneau for excellent field assistance in the data collection. This work was supported by the French Polar Institute (IPEV, programme no. 279) and the CNRS, ZA Programme Environnement, Vie et Societe. We acknowledge support from the Embassy of France in South Africa and the Claude Leon Foundation. We thank four anonymous referees for their helpful comments on the manuscript.</t>
  </si>
  <si>
    <t>10.1007/s00300-013-1365-x</t>
  </si>
  <si>
    <t>WOS:000324142700014</t>
  </si>
  <si>
    <t>Bacteriology during the expeditions of the heroic age of Antarctic exploration</t>
  </si>
  <si>
    <t>During the heroic age of Antarctic exploration, nine expeditions are recorded as performing bacteriological research, but for only six were the results published and for one of these, the publication only relates to a single sample. Most of those doing the research were medically qualified though the majority of the research related to the bacteriology of snow, air, seawater and the contents of the alimentary tracts of Antarctic animals rather than clinical bacteriology. This paper discusses the research aims, the difficulties encountered and the broad results.</t>
  </si>
  <si>
    <t>The Shrubbery, Yelverton PL20 7QH, Devon, England</t>
  </si>
  <si>
    <t>Guly, HR (corresponding author), The Shrubbery, Bedford Rd, Yelverton PL20 7QH, Devon, England.</t>
  </si>
  <si>
    <t>10.1017/S0032247412000381</t>
  </si>
  <si>
    <t>217XS</t>
  </si>
  <si>
    <t>WOS:000324397000001</t>
  </si>
  <si>
    <t>Basberg, BL; Headland, RK</t>
  </si>
  <si>
    <t>Basberg, Bjorn L.; Headland, Robert K.</t>
  </si>
  <si>
    <t>The economic significance of the 19th century Antarctic sealing industry</t>
  </si>
  <si>
    <t>Sealing was the first exploitative industry in the Antarctic region. Throughout the 19th century it was characterised by large fluctuations in catches and shifts in hunting grounds as seals were almost exterminated in several locations. This paper reviews the historical literature on this industry. In particular it reviews sources and data that relate to its economic importance. So far, no one has succeeded in indicating the aggregate economic value of the industry. The main aim, therefore, is to investigate new data, especially on market prices that will enable a more accurate assessment of the significance of the industry.</t>
  </si>
  <si>
    <t>[Basberg, Bjorn L.] NHH, Norwegian Sch Econ, Dept Econ, Econ Hist Sect, N-5045 Bergen, Norway; [Headland, Robert K.] Univ Cambridge, Scott Polar Res Inst, Cambridge CB2 1ER, England</t>
  </si>
  <si>
    <t>Norwegian School of Economics (NHH); University of Cambridge</t>
  </si>
  <si>
    <t>Basberg, BL (corresponding author), NHH, Norwegian Sch Econ, Dept Econ, Econ Hist Sect, N-5045 Bergen, Norway.</t>
  </si>
  <si>
    <t>bjorn.basberg@nhh.no</t>
  </si>
  <si>
    <t>The Norwegian Research Council; Norwegian School of Economics (NHH); Rowdes Foundation</t>
  </si>
  <si>
    <t>The Norwegian Research Council(Research Council of Norway); Norwegian School of Economics (NHH); Rowdes Foundation</t>
  </si>
  <si>
    <t>The initial research was done while Basberg was a Visiting Scholar at Scott Polar Research Institute, University of Cambridge (2007-2008). He is grateful for financial support from The Norwegian Research Council, Norwegian School of Economics (NHH) and Rowdes Foundation. An early version of the paper was presented at the SCAR/IASC IPY Open Science Conference - Polar Research - Arctic and Antarctic Perspectives in the International Polar Year (Session 2.4./5.2., Human Linkages: The History of Non-indigenous Peoples in Polar Regions - Impacts and Interactions), St. Petersburg, 8-11 July 2008, and also circulated as a Norwegian School of Economics Working Paper (WP 21/08). A later version was presented at Oceans past III, Trinity College, Dublin, November 2010. We are thankful for various comments and suggestions from Liam Brunt, Robert Burton, Peter Clarkson, Anthony Dickinson, Jan Tore Klovland and Tim Smith as well as session participants at the two conferences and referees.</t>
  </si>
  <si>
    <t>10.1017/S0032247412000411</t>
  </si>
  <si>
    <t>WOS:000324397000006</t>
  </si>
  <si>
    <t>Bulkeley, R</t>
  </si>
  <si>
    <t>Bulkeley, Rip</t>
  </si>
  <si>
    <t>Pictures from an Antarctic expedition: Mikhailov on the Bellingshausen voyage Rip Bulkeley</t>
  </si>
  <si>
    <t>The artist Pavel Nikolayevich Mikhailov (1786-1840) took part in the Antarctic expedition of the Imperial Russian Navy commanded by Captain F. F. Bellingshausen from 1819 to 1821. The author was invited to view the collection of Mikhailov's work, from two expeditions, that is held at the Russian Museum, St Petersburg. The Bellingshausen pieces in the collection are described, and their relationships to the smaller collection of Mikhailov's work for the Bellingshausen expedition, held at the State Historical Museum in Moscow, to the lithographs in the Atlas volume of Bellingshausen's published narrative, and to the various versions of Mikhailov's images that have been published in the 20th and 21st centuries, are discussed.</t>
  </si>
  <si>
    <t>Bulkeley, R (corresponding author), 38 Lonsdale Rd, Oxford OX2 7EW, England.</t>
  </si>
  <si>
    <t>rip@igy50.net</t>
  </si>
  <si>
    <t>10.1017/S003224741100074X</t>
  </si>
  <si>
    <t>WOS:000324397000009</t>
  </si>
  <si>
    <t>Soppa, MA; Dinter, T; Taylor, BB; Bracher, A</t>
  </si>
  <si>
    <t>Soppa, M. A.; Dinter, T.; Taylor, B. B.; Bracher, A.</t>
  </si>
  <si>
    <t>Satellite derived euphotic depth in the Southern Ocean: Implications for primary production modelling</t>
  </si>
  <si>
    <t>Euphotic zone; SeaWiFS; MODIS; Southern Ocean; Phytoplankton absorption; Ocean colour</t>
  </si>
  <si>
    <t>INHERENT OPTICAL-PROPERTIES; BIOOPTICAL PROPERTIES; COLOR ALGORITHMS; CHLOROPHYLL; SEAWIFS; COASTAL; MODIS; REFLECTANCE; RADIATION; ATLANTIC</t>
  </si>
  <si>
    <t>The euphotic depth (Z(eu)) is a key parameter in modelling primary production (PP) using satellite ocean colour. However, evaluations of satellite Z(eu) products are scarce. The objective of this paper is to investigate existing approaches and sensors to estimate Z(eu) from satellite and to evaluate how different Z(eu) products might affect the estimation of PP in the Southern Ocean (SO). Euphotic depth was derived from MODIS and SeaWiFS products of (i) surface chlorophyll-a (Z(eu)-Chla) and (ii) inherent optical properties (Z(eu)-IOP). They were compared with in situ measurements of Z(eu) from different regions of the SO. Both approaches and sensors are robust to retrieve Z(eu), although the best results were obtained using the IOP approach and SeaWiFS data, with an average percentage of error (E) of 25.43% and mean absolute error (MAE) of 0.10 m (log scale). Nevertheless, differences in the spatial distribution of Z(eu)-Chla and Z(eu)-IOP for both sensors were found as large as 30% over specific regions. These differences were also observed in PP. On average, PP based on Z(eu)-Chla was 8% higher than PP based on Z(eu)-IOP, but it was up to 30% higher south of 60 degrees S. Satellite phytoplankton absorption coefficients (a(ph)) derived by the Quasi-Analytical Algorithm at different wavelengths were also validated and the results showed that MODIS a(ph) are generally more robust than SeaWiFS. Thus, MODIS a(ph) should be preferred in PP models based on a(ph) in the SO. Further, we reinforce the importance of investigating the spatial differences between satellite products, which might not be detected by the validation with in situ measurements due to the insufficient amount and uneven distribution of the data. (c) 2013 Elsevier Inc. All rights reserved.</t>
  </si>
  <si>
    <t>[Soppa, M. A.; Dinter, T.; Taylor, B. B.; Bracher, A.] Helmholtz Zentrum Polar &amp; Meeresforsch, Alfred Wegener Inst, D-27570 Bremerhaven, Germany; [Dinter, T.; Bracher, A.] Univ Bremen, Inst Environm Phys, D-28334 Bremen, Germany</t>
  </si>
  <si>
    <t>Soppa, MA (corresponding author), Helmholtz Zentrum Polar &amp; Meeresforsch, Alfred Wegener Inst, Bussestr 24, D-27570 Bremerhaven, Germany.</t>
  </si>
  <si>
    <t>msoppa@awi.de; dinter@iup.physik.uni-bremen.de; bettina.taylor@awi.de; astrid.bracher@awi.de</t>
  </si>
  <si>
    <t>Soppa, Mariana A./F-3878-2011; Bracher, Astrid/B-7805-2013; Bracher, Astrid/I-2672-2013</t>
  </si>
  <si>
    <t>Bracher, Astrid/0000-0003-3025-5517; Altenburg Soppa, Mariana/0000-0002-5100-8809</t>
  </si>
  <si>
    <t>Office of Polar Programs, NSF [OPP-9011927, OPP-9632763, OPP-0217282]; CAPES, Brazil [BEX 3483/09-6]</t>
  </si>
  <si>
    <t>Office of Polar Programs, NSF; CAPES, Brazil(Coordenacao de Aperfeicoamento de Pessoal de Nivel Superior (CAPES))</t>
  </si>
  <si>
    <t>We thank the Ocean Biology Processing Group of NASA for the distribution of the SeaWiFS and MODIS data. Thanks are also due to the Australian Antarctic Data Centre, LEFE-CYBER and PROOF program, SeaWiFS Bio-optical Archive and Storage System, United States JGOFS Data Server and Palmer Long-Term Ecological Research (LTER) for the public access to the in situ data. Data from the Palmer LTER data archive were supported by Office of Polar Programs, NSF Grants OPP-9011927, OPP-9632763 and OPP-0217282. We are grateful to the many providers of the in situ data and Brenner Silva and Marc Taylor for discussions. We thank Christian Wolf and Wee Cheah for the sampling of absorption data during ANT-XXVI/3 and ANT-XXVIII/3, respectively, Sonja Wiegmann and Marta Kaspar for the analysis of these data and the principal scientists, crew and other scientists and students for the support during these two RV Polarstern cruises. We also thank the two anonymous reviewers whose comments helped to improve the manuscript. The present work was conducted within the framework of the Helmholtz-University Young Investigators Group PHYTOOPTICS in cooperation with the Institute of Environmental Physics (University of Bremen) and Alfred Wegener Institute. The first author is supported by CAPES, Brazil, by the research grant BEX 3483/09-6.</t>
  </si>
  <si>
    <t>10.1016/j.rse.2013.06.017</t>
  </si>
  <si>
    <t>214SR</t>
  </si>
  <si>
    <t>WOS:000324156600017</t>
  </si>
  <si>
    <t>Romano, V; Spogli, L; Aquino, M; Dodson, A; Hancock, C; Forte, B</t>
  </si>
  <si>
    <t>Romano, Vincenzo; Spogli, Luca; Aquino, Marcio; Dodson, Alan; Hancock, Craig; Forte, Biagio</t>
  </si>
  <si>
    <t>GNSS station characterisation for ionospheric scintillation applications</t>
  </si>
  <si>
    <t>GNSS; GPS; Ionosphere; Ionospheric scintillation; Multipath</t>
  </si>
  <si>
    <t>IRREGULARITIES; MORPHOLOGY</t>
  </si>
  <si>
    <t>Ionospheric scintillations are fluctuations in the phase and amplitude of the signals from GNSS (Global Navigation Satellite Systems) occurring when they cross regions of electron density irregularities in the ionosphere. Such disturbances can cause serious degradation of several aspects of GNSS system performance, including integrity, accuracy and availability. The two indices adopted worldwide to characterise ionospheric scintillations are: the amplitude scintillation index, S-4, which is the standard deviation of the received power normalised by its mean value, and the phase scintillation index, (sigma(Phi),, which is the standard deviation of the de-trended carrier phase. Collaborative work between NGI and INGV supports a permanent network of GISTM (GPS Ionospheric Scintillation and TEC Monitor) receivers that covers a wide range of latitudes in the northern European sector. Data from this network has contributed significantly to several papers during the past few years (see e.g. De Franceschi et al., 2008; Aquino et al., 2009; Spogli et al., 2009, 2010; Alfonsi et al., 2011). In these investigations multipath effects and noise that contaminate the scintillation measurements are largely filtered by applying an elevation angle threshold. A deeper analysis of the data quality and the development of a more complex filtering technique can improve the results obtained so far. The structures in the environment of each receiver in the network which contaminate scintillation measurements should be identified in order to improve the quality of the scintillation and TEC data by removing error sources due to the local environment. The analysis in this paper considers a data set characterised by quiet ionospheric conditions of the mid-latitude station located in Nottingham (UK), followed by a case study of the severe geomagnetic storm, which occurred in late 2003, known generally as the Halloween Storm. (C) 2013 Published by Elsevier Ltd. on behalf of COSPAR.</t>
  </si>
  <si>
    <t>[Romano, Vincenzo; Aquino, Marcio; Dodson, Alan; Hancock, Craig] Univ Nottingham, Nottingham Geospatial Inst, Nottingham NG7 2RD, England; [Romano, Vincenzo; Spogli, Luca] Ist Nazl Geofis &amp; Vulcanol, I-00143 Rome, Italy; [Forte, Biagio] Univ Bath, Bath BA2 7AY, Avon, England</t>
  </si>
  <si>
    <t>University of Nottingham; Istituto Nazionale Geofisica e Vulcanologia (INGV); University of Bath</t>
  </si>
  <si>
    <t>Romano, V (corresponding author), Ist Nazl Geofis &amp; Vulcanol, I-00143 Rome, Italy.</t>
  </si>
  <si>
    <t>vincenzo.romano@ingv.it</t>
  </si>
  <si>
    <t>Hancock, Craig M/JBJ-5756-2023; Hancock, Craig M/F-4175-2015; Romano, Vincenzo/HKV-6552-2023; Spogli, Luca/AAD-1980-2021</t>
  </si>
  <si>
    <t>Romano, Vincenzo/0000-0002-7532-4507; Hancock, Craig/0000-0002-9692-0439; Forte, Biagio/0000-0003-1682-1930; SPOGLI, Luca/0000-0003-2310-0306</t>
  </si>
  <si>
    <t>NGI; PNRA (Italian Antarctic Research Program); CNR (Italian Research Council); Engineering and Physical Sciences Research Council (EPSRC) [EP/H003479/1]; EPSRC [EP/H003479/1] Funding Source: UKRI; Engineering and Physical Sciences Research Council [EP/H003479/1] Funding Source: researchfish</t>
  </si>
  <si>
    <t>NGI; PNRA (Italian Antarctic Research Program); CNR (Italian Research Council); Engineering and Physical Sciences Research Council (EPSRC)(UK Research &amp; Innovation (UKRI)Engineering &amp; Physical Sciences Research Council (EPSRC)); EPSRC(UK Research &amp; Innovation (UKRI)Engineering &amp; Physical Sciences Research Council (EPSRC)); Engineering and Physical Sciences Research Council(UK Research &amp; Innovation (UKRI)Engineering &amp; Physical Sciences Research Council (EPSRC))</t>
  </si>
  <si>
    <t>This work is in the frame of the PhD research project: Scintillation effects on GNSS: monitoring and data treatment development carried out at the Nottingham Geospatial Institute of the University of Nottingham; VR thanks NGI and the supervisors for supporting his research project. This study is also partially supported by PNRA (Italian Antarctic Research Program) and CNR (Italian Research Council) in the frame of Polarnet arctic activities. The research work carried out by M. Aquino, A. Dodson and C. Hancock at the University of Nottingham is supported by the Engineering and Physical Sciences Research Council (EPSRC) through grant EP/H003479/1.</t>
  </si>
  <si>
    <t>10.1016/j.asr.2013.06.028</t>
  </si>
  <si>
    <t>226ON</t>
  </si>
  <si>
    <t>WOS:000325045800004</t>
  </si>
  <si>
    <t>Hill, S; Grant, S</t>
  </si>
  <si>
    <t>Hill, Simeon; Grant, Susie</t>
  </si>
  <si>
    <t>Could Ecosystem Assessment improve the protection of Antarctic ecosystems?</t>
  </si>
  <si>
    <t>10.1017/S0954102013000709</t>
  </si>
  <si>
    <t>WOS:000325404500001</t>
  </si>
  <si>
    <t>Grant, SM; Hill, SL; Trathan, PN; Murphy, EJ</t>
  </si>
  <si>
    <t>Grant, Susie M.; Hill, Simeon L.; Trathan, Philip N.; Murphy, Eugene J.</t>
  </si>
  <si>
    <t>Ecosystem services of the Southern Ocean: trade-offs in decision-making</t>
  </si>
  <si>
    <t>Antarctic krill; Antarctic Treaty System; ecosystem assessment; ecosystem-based management; food security; management objectives</t>
  </si>
  <si>
    <t>ANTARCTIC MARINE ECOSYSTEM; CLIMATE-CHANGE; SCOTIA SEA; KRILL; IMPACTS; MANAGEMENT; GEORGIA; CONSERVATION; VARIABILITY; RESOURCES</t>
  </si>
  <si>
    <t>Ecosystem services are the benefits that mankind obtains from natural ecosystems. Here we identify the key services provided by the Southern Ocean. These include provisioning of fishery products, nutrient cycling, climate regulation and the maintenance of biodiversity, with associated cultural and aesthetic benefits. Potential catch limits for Antarctic krill (Euphausia superba Dana) alone are equivalent to 11% of current global marine fisheries landings. We also examine the extent to which decision-making within the Antarctic Treaty System (ATS) considers trade-offs between ecosystem services, using the management of the Antarctic krill fishery as a case study. Management of this fishery considers a three-way trade-off between fisheries performance, the status of the krill stock and that of predator populations. However, there is a paucity of information on how well these components represent other ecosystem services that might be degraded as a result of fishing. There is also a lack of information on how beneficiaries value these ecosystem services. A formal ecosystem assessment would help to address these knowledge gaps. It could also help to harmonize decision-making across the ATS and promote global recognition of Southern Ocean ecosystem services by providing a standard inventory of the relevant ecosystem services and their value to beneficiaries.</t>
  </si>
  <si>
    <t>[Grant, Susie M.; Hill, Simeon L.; Trathan, Philip N.; Murphy, Eugene J.] British Antarctic Survey, NERC, Cambridge CB3 0ET, England</t>
  </si>
  <si>
    <t>Hill, SL (corresponding author), British Antarctic Survey, NERC, High Cross,Madingley Rd, Cambridge CB3 0ET, England.</t>
  </si>
  <si>
    <t>murphy, eugene/GZL-1620-2022; Simeon, Hill L/B-2307-2008</t>
  </si>
  <si>
    <t>Grant, Susie/0000-0001-7941-3948</t>
  </si>
  <si>
    <t>British Antarctic Survey Ecosystems programme; NERC [bas0100025] Funding Source: UKRI; Natural Environment Research Council [bas0100025] Funding Source: researchfish</t>
  </si>
  <si>
    <t>British Antarctic Survey Ecosystems programme; NERC(UK Research &amp; Innovation (UKRI)Natural Environment Research Council (NERC)); Natural Environment Research Council(UK Research &amp; Innovation (UKRI)Natural Environment Research Council (NERC))</t>
  </si>
  <si>
    <t>This paper is a contribution to the Natural Environment Research Council core-funded British Antarctic Survey Ecosystems programme. We are grateful to Sigve Nordum of Aker Biomarine for supplying some of the information presented in Table II.</t>
  </si>
  <si>
    <t>10.1017/S0954102013000308</t>
  </si>
  <si>
    <t>WOS:000325404500002</t>
  </si>
  <si>
    <t>Remias, D; Wastian, H; Lütz, C; Leya, T</t>
  </si>
  <si>
    <t>Remias, Daniel; Wastian, Hans; Luetz, Cornelius; Leya, Thomas</t>
  </si>
  <si>
    <t>Insights into the biology and phylogeny of Chloromonas polyptera (Chlorophyta), an alga causing orange snow in Maritime Antarctica</t>
  </si>
  <si>
    <t>astaxanthin; Chloromonas nivalis; photosynthesis; psychrophilic; soluble carbohydrates</t>
  </si>
  <si>
    <t>COMB-NOV CHLOROPHYTA; LIFE-HISTORY; SECONDARY CAROTENOIDS; MOLECULAR PHYLOGENY; WINDMILL ISLANDS; VOLVOCALES; ECOLOGY; ULTRASTRUCTURE; PIGMENT; LIGHT</t>
  </si>
  <si>
    <t>In Antarctica, mass accumulations of psychrophilic algae cause striking phenomena like green, orange, or red snow. This occurs during summer, when coastal snowfields start to melt, become waterlogged and photoautotrophs can thrive. Chloromonas polyptera (Fritsch) Hoham, Mullet &amp; Roemer is a unicellular species that causes orange snow in the vicinity of penguin rockeries. It has been recognized for many decades because of the distinct habitat and the characteristic morphology of cysts with elongated flanges on the outer cell wall. However, closer investigations concerning the ecology or physiology have been sparse so far. Field material was collected from two sites on the Antarctic Peninsula to find out more about metabolic and cellular strategies. The results were compared with a closely related species from high alpine locations, Chloromonas nivalis (Chodat) Hoham &amp; Mullet. Despite the geographical distance, C. polyptera shares several physiological strategies with the alpine relative, such as the formation of cyst stages, saccharose and glycerol as main soluble carbohydrates and the abundant accumulation of the carotenoid astaxanthin. Moreover, photosynthesis is adapted to temperatures of about 1 degrees C. The molecular phylogeny confirmed a close relationship of C. polyptera to other Chloromonas species isolated from snow. Chloromonas polyptera seems to be exclusive to coastal Antarctic ecosystems influenced by animal nutrient input.</t>
  </si>
  <si>
    <t>[Remias, Daniel] Univ Innsbruck, Inst Pharm Pharmacognosy, A-6020 Innsbruck, Austria; [Wastian, Hans; Luetz, Cornelius] Univ Innsbruck, Inst Bot, A-6020 Innsbruck, Austria; [Leya, Thomas] Fraunhofer IBMT, D-14476 Potsdam, Germany</t>
  </si>
  <si>
    <t>University of Innsbruck; University of Innsbruck</t>
  </si>
  <si>
    <t>Remias, D (corresponding author), Univ Innsbruck, Inst Pharm Pharmacognosy, Innrain 80-82, A-6020 Innsbruck, Austria.</t>
  </si>
  <si>
    <t>daniel.remias@uibk.ac.at</t>
  </si>
  <si>
    <t>Remias, Daniel/A-1966-2010</t>
  </si>
  <si>
    <t>Remias, Daniel/0000-0003-0896-435X</t>
  </si>
  <si>
    <t>Austrian Science Fund (FWF) [P20081]; Austrian Science Fund (FWF) [P20081] Funding Source: Austrian Science Fund (FWF)</t>
  </si>
  <si>
    <t>Austrian Science Fund (FWF)(Austrian Science Fund (FWF)); Austrian Science Fund (FWF)(Austrian Science Fund (FWF))</t>
  </si>
  <si>
    <t>We thank the German AWI (Bremerhaven) for hosting at Dallmann Laboratory (Jubany Station), Austrian Science Fund (FWF) P20081 to CL, and Werner Kofler (Institute of Botany, University of Innsbruck) for taking the SEM images. We gratefully acknowledge the constructive comments of the reviewers.</t>
  </si>
  <si>
    <t>10.1017/S0954102013000060</t>
  </si>
  <si>
    <t>WOS:000325404500005</t>
  </si>
  <si>
    <t>Dehnhard, N; Poisbleau, M; Demongin, L; Ludynia, K; Lecoq, M; Masello, JF; Quillfeldt, P</t>
  </si>
  <si>
    <t>Dehnhard, Nina; Poisbleau, Maud; Demongin, Laurent; Ludynia, Katrin; Lecoq, Miguel; Masello, Juan F.; Quillfeldt, Petra</t>
  </si>
  <si>
    <t>Survival of rockhopper penguins in times of global climate change</t>
  </si>
  <si>
    <t>annual survival rate; demography; Falkland Islands; global warming; population dynamics; rockhopper penguin; sea surface temperature (SST)</t>
  </si>
  <si>
    <t>EUDYPTES-CHRYSOCOME-CHRYSOCOME; FALKLAND ISLANDS; SOUTHERN-OCEAN; POPULATION-DYNAMICS; MACARONI PENGUINS; OCEANOGRAPHIC VARIABILITY; APTENODYTES-PATAGONICUS; SURFACE-TEMPERATURE; BREEDING BIOLOGY; ADELIE PENGUINS</t>
  </si>
  <si>
    <t>Anthropogenic changes in the marine environment and global climate change have led to population declines in several seabird species worldwide. Rockhopper penguins (Eudyptes chrysocome and Eudyptes moseleyi) have experienced a dramatic population decline, potentially linked to increasing sea surface temperatures (SST). Among Southern Ocean diving seabirds, rockhopper penguins typically occupy a low trophic level, and might therefore be expected to mirror climate-driven bottom-up changes to the food web sensitively and on a short time scale. Using passive integrated transponders, survival rates of adults in a colony of southern rockhopper penguins (E. chrysocome) on the Falkland Islands were monitored over five consecutive years. Mean annual survival rates were in the range 84 to 96%. These values are high compared with other crested penguin species and reflect the generally good conditions during the study period, when low SST prevailed. However, survival rates were lower in 2010, corresponding to very cold conditions. Curve fits showed a best-fit quadratic relationship between average SST anomaly and survival rates for the present data, as well as for a data set including two additional years from a different study at Staten Island. Results of this study suggest that rockhopper penguins survive best at SSTs that are lower than the average of the last four decades. In accordance with previously observed rockhopper penguin population declines, the present data suggest that rockhopper penguins are highly sensitive to changes in SST and their effects on the food web, a worrying perspective in times of global climate change. It seems likely that these changes could, in the long term, also affect population trends of other seabird species with similar ecological preferences. The most promising conservation approach should aim at enhancing ecosystem resilience, mainly by reducing industrial fishing and oil exploitation. This would allow the currently over-exploited fish and squid stocks to recover, offering larger food resources to seabirds and other vertebrate species. Copyright (c) 2013 John Wiley &amp; Sons, Ltd.</t>
  </si>
  <si>
    <t>[Dehnhard, Nina; Poisbleau, Maud; Demongin, Laurent; Ludynia, Katrin; Masello, Juan F.; Quillfeldt, Petra] Max Planck Inst Ornithol, Radolfzell am Bodensee, Germany; [Poisbleau, Maud; Demongin, Laurent] Univ Antwerp, Dept Biol Ethol, Antwerp, Belgium; [Ludynia, Katrin] Univ Cape Town, Dept Zool, Anim Demog Unit, ZA-7925 Cape Town, South Africa; [Lecoq, Miguel] Ecoethol Res Unit, Lisbon, Portugal; [Masello, Juan F.; Quillfeldt, Petra] Univ Giessen, Dept Anim Ecol &amp; Systemat, D-35390 Giessen, Germany</t>
  </si>
  <si>
    <t>Max Planck Society; University of Antwerp; University of Cape Town; Justus Liebig University Giessen</t>
  </si>
  <si>
    <t>Dehnhard, N (corresponding author), Vogelwarte Radolfzell, Max Planck Inst Ornithol, D-78315 Radolfzell am Bodensee, Germany.</t>
  </si>
  <si>
    <t>dehnhard@orn.mpg.de</t>
  </si>
  <si>
    <t>Dehnhard, Nina/H-6160-2016; Poisbleau, Maud/B-9968-2014; Quillfeldt, Petra/A-9549-2009; Masello, Juan Francisco/C-7133-2009</t>
  </si>
  <si>
    <t>Dehnhard, Nina/0000-0002-4182-2698; Quillfeldt, Petra/0000-0002-4450-8688; Masello, Juan Francisco/0000-0002-6826-4016; Ludynia, Katrin/0000-0002-0353-1929</t>
  </si>
  <si>
    <t>Deutsche Forschungsgemeinschaft (DFG) [Qu 148/1-ff]; OTEP (Overseas Territories environment Programme) [FAL 603]; Fundacao para a Ciencia e Tecnologia (FCT-Portugal) [PTDC/MAR/099366/2008]; Falkland Islands Government; Fundação para a Ciência e a Tecnologia [PTDC/MAR/099366/2008] Funding Source: FCT</t>
  </si>
  <si>
    <t>Deutsche Forschungsgemeinschaft (DFG)(German Research Foundation (DFG)); OTEP (Overseas Territories environment Programme); Fundacao para a Ciencia e Tecnologia (FCT-Portugal)(Fundacao para a Ciencia e a Tecnologia (FCT)); Falkland Islands Government; Fundação para a Ciência e a Tecnologia(Fundacao para a Ciencia e a Tecnologia (FCT))</t>
  </si>
  <si>
    <t>We are grateful to the New Island Conservation Trust for permission to work on the island. We thank Ian, Maria and Georgina Strange, Dan Birch, Charles Swift and George Guille and Riek van Noordwijk for their support during the field season. Thanks also to Helen Otley and Nick Rendell, Falkland Islands Government, and British Antarctic Survey for their logistic help. RFID Components Ltd (Bedford, UK) and Fairweigh Ltd (Hertfordshire, UK), especially Jeremy Sage, provided technical support to set up the gateway system. We would like to thank Norman Ratcliffe, Rory P. Wilson, Michaela Hau, Martin Wikelski and Anja Matuszak for helpful ideas while discussing our data. Sarah Davidson, Celine Le Bohec, David G. Ainley and three anonymous reviewers gave helpful comments on an earlier draft of this manuscript. Thanks to Helen Otley and Paul Scofield for sharing unpublished data about survival rates of Fiordland crested penguins. This study was funded by a grant provided by the Deutsche Forschungsgemeinschaft (DFG) (Qu 148/1-ff), OTEP (Overseas Territories environment Programme: FAL 603), Fundacao para a Ciencia e Tecnologia (FCT-Portugal) through Project PTDC/MAR/099366/2008, and an Environmental Studies Budget grant from the Falkland Islands Government. All work was approved by the Falkland Islands Government (Environmental Planning Office).</t>
  </si>
  <si>
    <t>10.1002/aqc.2331</t>
  </si>
  <si>
    <t>228YO</t>
  </si>
  <si>
    <t>WOS:000325228300012</t>
  </si>
  <si>
    <t>Wang, Z; Na, GS; Ma, XD; Fang, XD; Ge, LK; Gao, H; Yao, ZW</t>
  </si>
  <si>
    <t>Wang, Zhen; Na, Guangshui; Ma, Xindong; Fang, Xiaodan; Ge, Linke; Gao, Hui; Yao, Ziwei</t>
  </si>
  <si>
    <t>Occurrence and gas/particle partitioning of PAHs in the atmosphere from the North Pacific to the Arctic Ocean</t>
  </si>
  <si>
    <t>PAHs; Gas/particle partitioning; Arctic Ocean; Soot-air model; Particle fraction</t>
  </si>
  <si>
    <t>POLYCYCLIC AROMATIC-HYDROCARBONS; POLYCHLORINATED-BIPHENYLS; ORGANIC POLLUTANTS; VAPOR-PRESSURES; GAS; AIR; URBAN; PCBS; ADSORPTION; AEROSOL</t>
  </si>
  <si>
    <t>Gas- and particle-phase polycyclic aromatic hydrocarbons (PAHs) were collected in the atmosphere from the North Pacific to the Arctic Ocean to investigate their occurrence and gas/particle distribution. Significant linear correlations were observed between the gaseous concentrations of 9 PAHs and latitudes (r(2) = 0.69). The regression of gaseous PAHs and 1/T also gave a certain extent correlation (r(2) = 0.46). The gas/particle partition coefficients (K-p) correlated well with the sub-cooled liquid vapor pressures (p L) of PAHs with slopes higher than the theoretical value of -1, and the regressions of logKp-logp(0)L L possessed a general tendency to intersect at a point (-2.52, -1.60). The non-linear regression of logp(0)L, and the particle fraction displayed a more significant correlation (r(2) = 0.84) than the linear relation of logICp -logeL (r(2) = 0.69). The influence of soot on Kp was investigated, and it was found that the predicted values derived from the soot-air model agreed relatively better with the field measurements than those calculated based on the Junge-Pankow model and the K-OA-based model. The results indicated that soot played an important role on the partitioning of PAHs to aerosols, and the partitioning of PAHs is more sensitive to presence of elemental carbon compared to organic matter of the aerosol. (C) 2013 Elsevier Ltd. All rights reserved.</t>
  </si>
  <si>
    <t>[Wang, Zhen; Na, Guangshui; Ma, Xindong; Fang, Xiaodan; Ge, Linke; Gao, Hui; Yao, Ziwei] Natl Marine Environm Monitoring Ctr, Dalian 116023, Peoples R China; [Ma, Xindong] Chinese Acad Sci, Dalian Inst Chem Phys, Dalian 116023, Peoples R China</t>
  </si>
  <si>
    <t>National Marine Environmental Monitoring Center; Chinese Academy of Sciences; Dalian Institute of Chemical Physics, CAS</t>
  </si>
  <si>
    <t>Yao, ZW (corresponding author), Natl Marine Environm Monitoring Ctr, Dalian 116023, Peoples R China.</t>
  </si>
  <si>
    <t>zwyao@nmemc.gov.cn</t>
  </si>
  <si>
    <t>Yao, Ziwei/A-3238-2017</t>
  </si>
  <si>
    <t>wang, zhen/0000-0002-8743-4930; Ma, Xindong/0000-0001-8949-9327</t>
  </si>
  <si>
    <t>Chinese Polar Environment Comprehensive Investigation 82 Assessment Programmes [02-01, 03-04, 04-01, 04-03]; Key Laboratory for Polar Science [KP201208]; Polar Science Strategic Research Foundation of China [20120320]; Chinese Arctic and Antarctic Administration</t>
  </si>
  <si>
    <t>Chinese Polar Environment Comprehensive Investigation 82 Assessment Programmes; Key Laboratory for Polar Science; Polar Science Strategic Research Foundation of China; Chinese Arctic and Antarctic Administration</t>
  </si>
  <si>
    <t>This study was supported by the Chinese Polar Environment Comprehensive Investigation 82 Assessment Programmes (02-01, 03-04, 04-01 and 04-03), the Key Laboratory for Polar Science (KP201208) and the Polar Science Strategic Research Foundation of China (20120320). We express our sincere gratitude to all members of the 5th Chinese National Arctic Research Expedition and the captain and crew of R/V Xuelong (Snow Dragon) and the support from the Chinese Arctic and Antarctic Administration.</t>
  </si>
  <si>
    <t>10.1016/j.atmosenv.2013.05.052</t>
  </si>
  <si>
    <t>223YN</t>
  </si>
  <si>
    <t>WOS:000324848500067</t>
  </si>
  <si>
    <t>Kikuchi, K; Kameda, T; Higuchi, K; Yamashita, A</t>
  </si>
  <si>
    <t>Kikuchi, Katsuhiro; Kameda, Takao; Higuchi, Keiji; Yamashita, Akira</t>
  </si>
  <si>
    <t>Working Grp Members New Classifica</t>
  </si>
  <si>
    <t>A global classification of snow crystals, ice crystals, and solid precipitation based on observations from middle latitudes to polar regions</t>
  </si>
  <si>
    <t>ATMOSPHERIC RESEARCH</t>
  </si>
  <si>
    <t>Classification; Global classification; Snow crystals; Ice crystals; Solid precipitation</t>
  </si>
  <si>
    <t>CIRRUS CLOUDS; GROWTH; SCATTERING; VAPOR</t>
  </si>
  <si>
    <t>This paper presents an extensive revision of Magono and Lee's (1966) classification of natural snow crystals, which has been widely used in snow and ice studies to describe snow crystal shapes. The new classification catalogs snow crystals and other solid precipitation particles into 121 categories, in contrast to Magono and Lee's 80 categories. Of these, 28 categories were created to classify new types of snow crystals that have been discovered in polar regions since 1968, seven were created after reconsidering the original categories, and six categories were created to classify solid precipitation particles such as frozen cloud particles and small raindrops. Because our observational area extended from middle latitudes (Japan) to polar regions, we refer to our new classification scheme as 'global-scale classification' or 'global classification'. The global classification consists of three levels - general, intermediate, and elementary - which are composed of 8, 39, and 121 categories, respectively. This paper describes the characteristics of each type of snow crystal, ice crystal, and solid precipitation particle. (C) 2013 Elsevier B.V. All rights reserved.</t>
  </si>
  <si>
    <t>[Kikuchi, Katsuhiro] Hokkaido Univ, Atsubetsu Ku, Sapporo, Hokkaido 0040014, Japan; [Kikuchi, Katsuhiro] Akita Prefectural Univ, Atsubetsu Ku, Sapporo, Hokkaido 0040014, Japan; [Kameda, Takao] Kitami Inst Technol, Snow &amp; Ice Res Lab, Kitami, Hokkaido 0908507, Japan; [Higuchi, Keiji] Nagoya Univ, Togocho, Aichi 4700154, Japan; [Yamashita, Akira] Osaka Kyoiku Univ, Takarazuka, Hyogo 6650035, Japan</t>
  </si>
  <si>
    <t>Hokkaido University; Akita Prefectural University; Kitami Institute of Technology; Nagoya University; Osaka University of Education</t>
  </si>
  <si>
    <t>Kameda, T (corresponding author), Kitami Inst Technol, Snow &amp; Ice Res Lab, 165 Koencho, Kitami, Hokkaido 0908507, Japan.</t>
  </si>
  <si>
    <t>kameda@mail.kitami-it.ac.jp</t>
  </si>
  <si>
    <t>Kameda, Takao/0000-0001-6317-4399</t>
  </si>
  <si>
    <t>Ministry of Education, Science and Culture, Japan; National Institute of Polar Research, Japan</t>
  </si>
  <si>
    <t>Ministry of Education, Science and Culture, Japan(Ministry of Education, Culture, Sports, Science and Technology, Japan (MEXT)); National Institute of Polar Research, Japan</t>
  </si>
  <si>
    <t>Some of the photographs shown in Fig. 1 were taken at Syowa Station, Antarctica, from 1968 to 1969 by K.K. We acknowledge the Japanese Antarctic Research Expedition for logistic support. K.K. stayed at Amundsen-Scott South Pole Station as a visiting scientist in the US Antarctic Research Program from January to February 1975 and in November 1978; some of the photographs were taken during his stay. Prof. V.J. Schaefer and Dr. A.W. Hogan of Atmospheric Sciences Research Center, State University of New York at Albany, supported his observations at the South Pole. Some of the photographs shown in Fig. 1 were taken in the Arctic region. This research was mostly supported by Grants-in-Aid for Scientific Research for Overseas from Ministry of Education, Science and Culture, Japan to K.K. Photographs of CP3a and CP3b were taken from Magono and Lee (1966). Dr. Takeshi Ohtake of University of Alaska at Fairbanks kindly provided the photographs of G3a and G3b. Mr. Takeshi Fujino (Kowa Co. Ltd., Japan) prepared the drawings of the 121 types of particles shown in Fig. 2. The English names of the 121-type particles were kindly checked by Ms. Jennifer Clara of Kitami Institute of Technology, Japan. We acknowledge the National Institute of Polar Research, Japan, for financial support of our group discussion meetings held in Tokyo in 2010 and 2011.</t>
  </si>
  <si>
    <t>0169-8095</t>
  </si>
  <si>
    <t>1873-2895</t>
  </si>
  <si>
    <t>ATMOS RES</t>
  </si>
  <si>
    <t>Atmos. Res.</t>
  </si>
  <si>
    <t>OCT-NOV</t>
  </si>
  <si>
    <t>10.1016/j.atmosres.2013.06.006</t>
  </si>
  <si>
    <t>241BN</t>
  </si>
  <si>
    <t>WOS:000326141500037</t>
  </si>
  <si>
    <t>Meier, A; Tsaloglou, NM; Mowlem, MC; Keevil, CW; Connelly, DP</t>
  </si>
  <si>
    <t>Meier, Alexandra; Tsaloglou, Nefeli-Maria; Mowlem, Matthew C.; Keevil, C. William; Connelly, Douglas P.</t>
  </si>
  <si>
    <t>Hyperbaric biofilms on engineering surfaces formed in the deep sea</t>
  </si>
  <si>
    <t>BIOFOULING</t>
  </si>
  <si>
    <t>biofouling; biofilm formation; deep sea; hyperbaric biofilm</t>
  </si>
  <si>
    <t>GRADIENT GEL-ELECTROPHORESIS; FRAGMENT-LENGTH-POLYMORPHISMS; RIBOSOMAL-RNA; 16S RDNA; MICROBIAL DIVERSITY; POLYMERIC MATERIALS; SEQUENCE-ANALYSIS; STAINLESS-STEEL; CONTACT-ANGLE; MARINE</t>
  </si>
  <si>
    <t>Biofouling is a major problem for long-term deployment of sensors in the marine environment. This study showed that significant biofilm formation occurred on a variety of artificial materials (glass, copper, Delrin and poly-methyl methacrylate [PMMA]) deployed for 10days at a depth of 4700m in the Cayman Trough. Biofilm surface coverage was used as an indicator of biomass. The lowest biofilm coverage was on copper and PMMA. Molecular analyses indicated that bacteria dominated the biofilms found on copper, Delrin and PMMA with 75, 55 and 73% coverage, respectively. Archea (66%) were dominant on the glass surface simulating interior sensor conditions, whereas Eukarya comprised the highest percentage of microflora (75%) on the glass simulating the exterior of sensors. Analysis of Denaturing Gradient Gel Electrophoresis profiles indicated that copper and Delrin shared the same community diversity, which was not the case for glass and PMMA, or between PMMA and copper/Delrin. Sequence alignment matches belonged exclusively to uncultivable microorganisms, most of which were not further classified. One extracted sequence found on glass was associated with Cowellia sp., while another extracted from the PMMA surface was associated with a bacterium in the Alterominidaceae, both -proteobacteria. The results demonstrate the necessity of understanding biofilm formation in the deep sea and the potential need for mitigation strategies for any kind of long-term deployment of remote sensors in the marine environment.</t>
  </si>
  <si>
    <t>[Meier, Alexandra; Mowlem, Matthew C.; Connelly, Douglas P.] Univ Southampton, Natl Oceanog Ctr, Southampton, Hants, England; [Tsaloglou, Nefeli-Maria; Keevil, C. William] Univ Southampton, Inst Life Sci, Southampton, Hants, England</t>
  </si>
  <si>
    <t>University of Southampton; NERC National Oceanography Centre; University of Southampton</t>
  </si>
  <si>
    <t>Meier, A (corresponding author), Univ Southampton, Natl Oceanog Ctr, Southampton, Hants, England.</t>
  </si>
  <si>
    <t>a.meier@noc.soton.ac.uk</t>
  </si>
  <si>
    <t>Mowlem, Matthew/0000-0001-7613-6121; Keevil, Charles/0000-0003-1917-7706</t>
  </si>
  <si>
    <t>SENSEnet, a Marie Curie Initial Training Network (ITN); European Commission Seventh Framework Programme [PITN-GA-2009-237868]; Natural Environment Research Council [noc010003, noc010011, noc010013, NE/F017774/1] Funding Source: researchfish; NERC [noc010013, NE/F017774/1, noc010011, noc010003] Funding Source: UKRI</t>
  </si>
  <si>
    <t>SENSEnet, a Marie Curie Initial Training Network (ITN); European Commission Seventh Framework Programme(European Union (EU)European Commission Joint Research Centre); Natural Environment Research Council(UK Research &amp; Innovation (UKRI)Natural Environment Research Council (NERC)); NERC(UK Research &amp; Innovation (UKRI)Natural Environment Research Council (NERC))</t>
  </si>
  <si>
    <t>The authors would like to thank the Master and ship's company of the RRS James Cook, and UK National Marine Facilities staff, for their assistance in RRS James Cook Voyage 44, and Katrin Linse, Katrin Zwirglmaier, and David Pearce from the British Antarctic Survey, for the use of their equipment aboard the RRS James Cook. They would also like to thank Rob Brown from the Workshop at the NOC, Southampton for the design of the Biofouling Tube. This work is supported by SENSEnet, a Marie Curie Initial Training Network (ITN) funded by the European Commission Seventh Framework Programme, Contract Number PITN-GA-2009-237868.</t>
  </si>
  <si>
    <t>0892-7014</t>
  </si>
  <si>
    <t>1029-2454</t>
  </si>
  <si>
    <t>Biofouling</t>
  </si>
  <si>
    <t>10.1080/08927014.2013.824967</t>
  </si>
  <si>
    <t>Biotechnology &amp; Applied Microbiology; Marine &amp; Freshwater Biology</t>
  </si>
  <si>
    <t>224LO</t>
  </si>
  <si>
    <t>WOS:000324887500001</t>
  </si>
  <si>
    <t>Reid, TA; Tuck, GN; Hindell, MA; Thalmann, S; Phillips, RA; Wilcox, C</t>
  </si>
  <si>
    <t>Reid, Tim A.; Tuck, Geoffrey N.; Hindell, Mark A.; Thalmann, Sam; Phillips, Richard A.; Wilcox, Chris</t>
  </si>
  <si>
    <t>Nonbreeding distribution of flesh-footed shearwaters and the for overlap with north Pacific fisheries</t>
  </si>
  <si>
    <t>BIOLOGICAL CONSERVATION</t>
  </si>
  <si>
    <t>Flesh-footed shearwater; Fisheries impact; Migration; Pacific Ocean; Fishing impact; Japan; China; Foraging ecology</t>
  </si>
  <si>
    <t>PUFFINUS-CARNEIPES; EASTERN AUSTRALIA; LONGLINE FISHERY; SEABIRD BYCATCH; HABITAT USE; CONSERVATION; ALBATROSSES; MIGRATION; SEA; OCEAN</t>
  </si>
  <si>
    <t>Populations of flesh-footed shearwaters on Lord Howe Island, Tasman Sea, have declined recently, with mortality in longline fisheries likely to be one of the major causes. It is therefore imperative to increase our understanding of their distribution at sea, especially during winter. Although they are known to migrate to the north Pacific Ocean, until this study there was very little information available on timing of movements, distribution and habitat use of individuals. Ten to 16 flesh-footed shearwaters (37 in total) were tracked from Lord Howe Island in each of three winter seasons (2005, 2007 and 2008). All birds migrated to the north-west Pacific Ocean, with approximately 70% wintering to the east of Japan in the Kurashio and Oyashio currents, around the Bonin Islands in the north Philippine Sea, or in the eastern Sea of Japan. Others spent a varying amount of time in the Yellow and East China seas, or in the western Sea of Japan. These waters already support intensive fisheries and demand for seafood is likely to rise in tandem with the increasing human populations of East Asia. Consequently, results presented here show that members of the largest population of flesh-footed shearwaters winter exclusively in the north-west Pacific Ocean around Japan and East Asia, in areas they are likely to overlap extensively with a number of fisheries; it is therefore imperative to obtain more information on current and projected levels of bird bycatch and effort in these fisheries in order to developing management strategies for the conservation of the east Australian and New Zealand populations of the flesh-footed shearwater. (C) 2013 Elsevier Ltd. All rights reserved.</t>
  </si>
  <si>
    <t>[Reid, Tim A.; Hindell, Mark A.] Univ Tasmania, Inst Marine &amp; Antarctic Studies, Sandy Bay, Tas 7005, Australia; [Reid, Tim A.; Tuck, Geoffrey N.; Wilcox, Chris] CSIRO Marine &amp; Atmospher Res, Wealth Oceans Natl Flagship, Hobart, Tas 7001, Australia; [Thalmann, Sam] Dept Primary Ind Pk &amp; Environm, Hobart, Tas 7001, Australia; [Phillips, Richard A.] British Antarctic Survey, Nat Environm Res Council, Cambridge CB3 0ET, England</t>
  </si>
  <si>
    <t>University of Tasmania; Commonwealth Scientific &amp; Industrial Research Organisation (CSIRO); UK Research &amp; Innovation (UKRI); Natural Environment Research Council (NERC); NERC British Antarctic Survey</t>
  </si>
  <si>
    <t>Reid, TA (corresponding author), Univ Cape Town, Percy Fitzpatrick Inst African Ornithol, Private Bag X3, ZA-7700 Cape Town, South Africa.</t>
  </si>
  <si>
    <t>treid@utas.edu.au</t>
  </si>
  <si>
    <t>Hindell, Mark A/K-1131-2013; Wilcox, Chris/A-3585-2010; Tuck, Geoff/E-2356-2012</t>
  </si>
  <si>
    <t>Tuck, Geoff/0000-0002-3640-6147; Hindell, Mark/0000-0002-7823-7185</t>
  </si>
  <si>
    <t>Australian Government Postgraduates Award; joint University of Tasmania; CSIRO scholarship; Commonwealth Department of Environment, Heritage and Arts; CSIRO Wealth from Oceans Flagship; Natural Environment Research Council [bas0100025] Funding Source: researchfish; NERC [bas0100025] Funding Source: UKRI</t>
  </si>
  <si>
    <t>Australian Government Postgraduates Award(Australian Government); joint University of Tasmania; CSIRO scholarship; Commonwealth Department of Environment, Heritage and Arts; CSIRO Wealth from Oceans Flagship(Commonwealth Scientific &amp; Industrial Research Organisation (CSIRO)); Natural Environment Research Council(UK Research &amp; Innovation (UKRI)Natural Environment Research Council (NERC)); NERC(UK Research &amp; Innovation (UKRI)Natural Environment Research Council (NERC))</t>
  </si>
  <si>
    <t>TR was supported by an Australian Government Postgraduates Award and a joint University of Tasmania and CSIRO scholarship. The Commonwealth Department of Environment, Heritage and Arts and CSIRO Wealth from Oceans Flagship supplied funding for equipment, transport and accommodation on Lord Howe Island. Work on shearwaters was conducted under the University of Tasmania Animal Ethics Committee Project number A0009154 and New South Wales Department of Climate Change permit number S12408.</t>
  </si>
  <si>
    <t>0006-3207</t>
  </si>
  <si>
    <t>1873-2917</t>
  </si>
  <si>
    <t>BIOL CONSERV</t>
  </si>
  <si>
    <t>Biol. Conserv.</t>
  </si>
  <si>
    <t>10.1016/j.biocon.2013.06.006</t>
  </si>
  <si>
    <t>273GS</t>
  </si>
  <si>
    <t>WOS:000328523900001</t>
  </si>
  <si>
    <t>Wen, CKC; Almany, GR; Williamson, DH; Pratchett, MS; Mannering, TD; Evans, RD; Leis, JM; Srinivasan, M; Jones, GP</t>
  </si>
  <si>
    <t>Wen, Colin K. C.; Almany, Glenn R.; Williamson, David H.; Pratchett, Morgan S.; Mannering, Thomas D.; Evans, Richard D.; Leis, Jeffrey M.; Srinivasan, Maya; Jones, Geoffrey P.</t>
  </si>
  <si>
    <t>Recruitment hotspots boost the effectiveness of no-take marine reserves</t>
  </si>
  <si>
    <t>Marine reserve; Recruitment; Plectropomus; Coral trout; Lutjanus; Snapper; Great Barrier Reef; N-mixture model</t>
  </si>
  <si>
    <t>GREAT-BARRIER-REEF; TROUT PLECTROPOMUS-LEOPARDUS; ONE TREE ISLAND; HOUTMAN ABROLHOS ISLANDS; PROTECTED AREAS; LUTJANUS-CARPONOTATUS; POPULATION REGULATION; SETTLEMENT BEHAVIOR; PREY AVAILABILITY; SPATIAL-PATTERNS</t>
  </si>
  <si>
    <t>No-take marine reserves are widely advocated as a means to conserve biodiversity and sustain fisheries. Within adequately protected reserves, the abundance, mean size and age of targeted fish and invertebrate species are often increased. However, the magnitude and rate of recovery within reserves varies among locations and species, and increases in abundance in reserves are not universal. One potential contributing factor to variability in reserve performance is spatial variability in the supply of recruits. Many reef fish species exhibit disproportionate levels of recruitment in relatively small areas (so-called recruitment hotspots). Here we tested the hypothesis that the presence of recruitment hotspots enhances the effectiveness of reserves for two important fishery species, coral trout (Plectropomus maculatus) and stripey snapper (Lutianus carponotatus), on coral reefs of the Keppel Island group, Great Barrier Reef. To do this we compared fish densities in areas that did or did not contain previously identified recruitment hotspots, both inside and outside reserves. For both species, the mean densities of adult fish above the minimum legal size were approximately three times as high in reserves with hotspots than in reserves without hotspots. Furthermore, the mean densities in reserves without hotspots were similar to those in nearby areas that were open to fishing. In contrast, the densities of sub-legal size individuals of both species were primarily explained by the presence of recruitment hotspots, irrespective of reserve protection. Our results suggest that identifying and incorporating recruitment hotspots into the selection of sites for reserves could enhance both conservation and fisheries objectives. (C) 2013 Elsevier Ltd. All rights reserved.</t>
  </si>
  <si>
    <t>[Wen, Colin K. C.; Mannering, Thomas D.; Srinivasan, Maya; Jones, Geoffrey P.] James Cook Univ, Sch Marine &amp; Trop Biol, Townsville, Qld 4811, Australia; [Almany, Glenn R.; Williamson, David H.; Pratchett, Morgan S.; Jones, Geoffrey P.] James Cook Univ, ARC Ctr Excellence Coral Reef Studies, Townsville, Qld 4811, Australia; [Evans, Richard D.] Dept Pk &amp; Wildlife, Perth, WA 6151, Australia; [Evans, Richard D.] Univ Western Australia, Oceans Inst, Sch Plant Biol, Crawley, WA 6009, Australia; [Leis, Jeffrey M.] Australian Museum, Sydney, NSW 2010, Australia; [Leis, Jeffrey M.] Univ Tasmania, Inst Marine &amp; Antarctic Studies, Hobart, Tas 7001, Australia</t>
  </si>
  <si>
    <t>James Cook University; James Cook University; University of Western Australia; Australian Museum; University of Tasmania</t>
  </si>
  <si>
    <t>Wen, CKC (corresponding author), James Cook Univ, Sch Marine &amp; Trop Biol, Townsville, Qld 4811, Australia.</t>
  </si>
  <si>
    <t>colin.wen@my.jcu.edu.au</t>
  </si>
  <si>
    <t>Leis, Jeffrey M/JCE-0397-2023; Evans, Richard D./O-3559-2019; Pratchett, Morgan/AAW-5179-2020; Jones, Geoffrey P./E-9306-2010; Wen, Colin Kuo-Chang/X-5254-2019; Leis, Jeffrey M/E-7502-2012; Srinivasan, Maya/B-6269-2015</t>
  </si>
  <si>
    <t>Leis, Jeffrey M/0000-0003-0603-3447; Evans, Richard D./0000-0003-4364-4810; Pratchett, Morgan/0000-0002-1862-8459; Jones, Geoffrey P./0000-0002-6244-1245; Wen, Colin Kuo-Chang/0000-0002-7684-8820; Leis, Jeffrey M/0000-0003-0603-3447; Srinivasan, Maya/0000-0002-8035-3417; Williamson, David/0000-0001-8447-039X</t>
  </si>
  <si>
    <t>Marine and Tropical Sciences Research facility (MTSRF); National Environment Research Program (NERP) Tropical Ecosystems Hub; Great Barrier Reef Marine Park Authority (GBRMPA); Australian Research Council Centre of Excellence for Coral Reef Studies at James Cook University</t>
  </si>
  <si>
    <t>Marine and Tropical Sciences Research facility (MTSRF); National Environment Research Program (NERP) Tropical Ecosystems Hub; Great Barrier Reef Marine Park Authority (GBRMPA); Australian Research Council Centre of Excellence for Coral Reef Studies at James Cook University(Australian Research Council)</t>
  </si>
  <si>
    <t>Financial support was provided by the Marine and Tropical Sciences Research facility (MTSRF), the National Environment Research Program (NERP) Tropical Ecosystems Hub, Great Barrier Reef Marine Park Authority (GBRMPA) and the Australian Research Council Centre of Excellence for Coral Reef Studies at James Cook University. We are grateful to S. Blowes and K. Nash for advice on the data analyses and numerous volunteers for fish collection and fieldwork. We especially appreciate the great help from P. Williams and R. Ramage (Keppel Lodge) through the whole project in Great Keppel Islands.</t>
  </si>
  <si>
    <t>10.1016/j.biocon.2013.06.017</t>
  </si>
  <si>
    <t>WOS:000328523900015</t>
  </si>
  <si>
    <t>Morioka, Y; Tozuka, T; Yamagata, T</t>
  </si>
  <si>
    <t>Morioka, Yushi; Tozuka, Tomoki; Yamagata, Toshio</t>
  </si>
  <si>
    <t>How is the Indian Ocean Subtropical Dipole excited?</t>
  </si>
  <si>
    <t>Indian Ocean Subtropical Dipole; Mascarene High; Antarctic Oscillation; Antarctic Circumpolar Wave</t>
  </si>
  <si>
    <t>SEA-SURFACE TEMPERATURE; GENERAL-CIRCULATION MODEL; SOUTHERN-HEMISPHERE; NUMERICAL-MODELS; VARIABILITY; PARAMETERIZATION; ENSO; ATLANTIC; SCHEME; DIAGNOSIS</t>
  </si>
  <si>
    <t>Based on experiments using a coupled general circulation model which resolves tropical ocean-atmosphere coupled phenomena such as El Nio/Southern Oscillation (ENSO) and the Indian Ocean Dipole, forcing mechanisms of the Indian Ocean subtropical dipole (IOSD) are investigated. In the control experiment, as in the observation, several types of the IOSD are generated by the variations in the Mascarene High during austral summer and characterized by a dipole pattern of sea surface temperature (SST) anomalies in the northeastern and southwestern parts of the southern Indian Ocean. In another experiment, where the SST outside the southern Indian Ocean is nudged toward the monthly climatology of the simulated SST, one type of the IOSD occurs, but it is less frequent and associated with the zonal wavenumber four pattern of equivalently barotropic geopotential height anomalies in high latitudes, suggesting an interesting link with the Antarctic Circumpolar Wave. This indicates that, even without the atmospheric teleconnection from tropical coupled climate modes, the IOSD may develop in association with the atmospheric variability in high latitudes of the Southern Hemisphere. In the other experiment, where only the southern Indian Ocean and the tropical Pacific are freely interactive with the atmosphere, two types of both positive and negative IOSD occur. Since the occurrence frequency of the IOSD significantly increases as compared to the second experiment, this result confirms that the atmospheric teleconnection from ocean-atmosphere coupled modes in the tropical Pacific such as ENSO may also induce the variations in the Mascarene High that generate the IOSD. The present research, even within the realm of model studies, shows clearly that the predictability of the IOSD in mid-latitudes is related to both low and high-latitudes climate variations.</t>
  </si>
  <si>
    <t>[Morioka, Yushi] JAMSTEC, Res Inst Global Change, Kanazawa Ku, Yokohama, Kanagawa 2360001, Japan; [Tozuka, Tomoki] Univ Tokyo, Grad Sch Sci, Dept Earth &amp; Planetary Sci, Tokyo 113, Japan; [Yamagata, Toshio] JAMSTEC, Applicat Lab, Yokohama, Kanagawa 2360001, Japan</t>
  </si>
  <si>
    <t>Japan Agency for Marine-Earth Science &amp; Technology (JAMSTEC); University of Tokyo; Japan Agency for Marine-Earth Science &amp; Technology (JAMSTEC)</t>
  </si>
  <si>
    <t>Morioka, Y (corresponding author), JAMSTEC, Res Inst Global Change, Kanazawa Ku, 3173-25 Showamachi, Yokohama, Kanagawa 2360001, Japan.</t>
  </si>
  <si>
    <t>morioka@jamstec.go.jp</t>
  </si>
  <si>
    <t>Tozuka, Tomoki/A-1805-2009; Morioka, Yushi/G-3431-2014; Yamagata, Toshio/A-1807-2009</t>
  </si>
  <si>
    <t>Tozuka, Tomoki/0000-0001-6738-1299; Morioka, Yushi/0000-0002-2709-4911;</t>
  </si>
  <si>
    <t>Japan Science and Technology Agency/Japan International Cooperation Agency through the Science and Technology Research Partnership for Sustainable Development (SATREPS); Japan Society for the Promotion of Science (JSPS)</t>
  </si>
  <si>
    <t>Japan Science and Technology Agency/Japan International Cooperation Agency through the Science and Technology Research Partnership for Sustainable Development (SATREPS)(Japan Science &amp; Technology Agency (JST)); Japan Society for the Promotion of Science (JSPS)(Ministry of Education, Culture, Sports, Science and Technology, Japan (MEXT)Japan Society for the Promotion of Science)</t>
  </si>
  <si>
    <t>The CGCM was run on the HITACHI SR11000/J1 of the Information Technology Center at the University of Tokyo as a part of cooperative research with the Atmosphere and Ocean Research Institute of the University of Tokyo. We thank three anonymous reviewers for their constructive comments. The SOM_PAK software was provided by the Neural Network Research Centre at the Helsinki University of Technology and is available at http://www.cis.hut.fi/research/som_pak. The present research is supported by Japan Science and Technology Agency/Japan International Cooperation Agency through the Science and Technology Research Partnership for Sustainable Development (SATREPS). Also, the first author is supported by Research Fellowship of the Japan Society for the Promotion of Science (JSPS).</t>
  </si>
  <si>
    <t>10.1007/s00382-012-1584-9</t>
  </si>
  <si>
    <t>223NJ</t>
  </si>
  <si>
    <t>WOS:000324812200015</t>
  </si>
  <si>
    <t>Lauderdale, JM; Garabato, ACN; Oliver, KIC; Follows, MJ; Williams, RG</t>
  </si>
  <si>
    <t>Lauderdale, Jonathan M.; Garabato, Alberto C. Naveira; Oliver, Kevin I. C.; Follows, Michael J.; Williams, Richard G.</t>
  </si>
  <si>
    <t>Wind-driven changes in Southern Ocean residual circulation, ocean carbon reservoirs and atmospheric CO2</t>
  </si>
  <si>
    <t>Carbon Partitioning; Southern Ocean residual circulation; Southern Hemisphere westerly winds; Atmospheric carbon dioxide</t>
  </si>
  <si>
    <t>MERIDIONAL OVERTURNING CIRCULATION; ANTARCTIC CIRCUMPOLAR CURRENT; LAST GLACIAL MAXIMUM; HEMISPHERE WESTERLIES; NORTH-ATLANTIC; CLIMATE; MODEL; FLUX; VARIABILITY; PALEOCEANOGRAPHY</t>
  </si>
  <si>
    <t>The effect of idealized wind-driven circulation changes in the Southern Ocean on atmospheric CO2 and the ocean carbon inventory is investigated using a suite of coarse-resolution, global coupled ocean circulation and biogeochemistry experiments with parameterized eddy activity and only modest changes in surface buoyancy forcing, each experiment integrated for 5,000 years. A positive correlation is obtained between the meridional overturning or residual circulation in the Southern Ocean and atmospheric CO2: stronger or northward-shifted westerly winds in the Southern Hemisphere result in increased residual circulation, greater upwelling of carbon-rich deep waters and oceanic outgassing, which increases atmospheric pCO(2) by similar to 20 mu atm; weaker or southward-shifted winds lead to the opposing result. The ocean carbon inventory in our model varies through contrasting changes in the saturated, disequilibrium and biogenic (soft-tissue and carbonate) reservoirs, each varying by O(10-100) PgC, all of which contribute to the net anomaly in atmospheric CO2. Increased residual overturning deepens the global pycnocline, warming the upper ocean and decreasing the saturated carbon reservoir. Increased upwelling of carbon- and nutrient-rich deep waters and inefficient biological activity results in subduction of unutilized nutrients into the ocean interior, decreasing the biogenic carbon reservoir of intermediate and mode waters ventilating the Northern Hemisphere, and making the disequilibrium carbon reservoir more positive in the mode waters due to the reduced residence time at the surface. Wind-induced changes in the model carbon inventory are dominated by the response of the global pycnocline, although there is an additional abyssal response when the peak westerly winds change their latitude, altering their proximity to Drake Passage and changing the depth extent of the southward return flow of the overturning: a northward shift of the westerly winds isolates dense isopycnals, allowing biogenic carbon to accumulate in the deep ocean of the Southern Hemisphere, while a southward shift shoals dense isopycnals that outcrop in the Southern Ocean and reduces the biogenic carbon store in the deep ocean.</t>
  </si>
  <si>
    <t>[Lauderdale, Jonathan M.; Williams, Richard G.] Univ Liverpool, Sch Environm Sci, Dept Earth Ocean &amp; Ecol Sci, Liverpool L69 3GP, Merseyside, England; [Garabato, Alberto C. Naveira; Oliver, Kevin I. C.] Univ Southampton, Natl Oceanog Ctr, Southampton SO14 3ZH, Hants, England; [Follows, Michael J.] MIT, Dept Earth Atmosphere &amp; Planetary Sci, Cambridge, MA 02139 USA</t>
  </si>
  <si>
    <t>University of Liverpool; University of Southampton; NERC National Oceanography Centre; Massachusetts Institute of Technology (MIT)</t>
  </si>
  <si>
    <t>Lauderdale, JM (corresponding author), Univ Liverpool, Sch Environm Sci, Dept Earth Ocean &amp; Ecol Sci, 4 Brownlow St, Liverpool L69 3GP, Merseyside, England.</t>
  </si>
  <si>
    <t>j.lauderdale@liverpool.ac.uk</t>
  </si>
  <si>
    <t>Lauderdale, Jonathan Maitland/AAU-5792-2020; Follows, Michael J/G-9824-2011; Williams, Richard G/K-4111-2016; Garabato, Alberto Naveira/AAQ-1114-2020</t>
  </si>
  <si>
    <t>Lauderdale, Jonathan Maitland/0000-0002-2993-7484; Williams, Richard G/0000-0002-3180-7558; Garabato, Alberto Naveira/0000-0001-6071-605X</t>
  </si>
  <si>
    <t>UK NERC [NER/S/A/2006/14210, NE/G018782/1]; NERC [NE/G018782/1, NE/H02087X/1, NE/E007058/1] Funding Source: UKRI; Natural Environment Research Council [NE/G018782/1, NE/C517633/1, NE/H02087X/1, NE/E007058/1] Funding Source: researchfish</t>
  </si>
  <si>
    <t>UK NERC(UK Research &amp; Innovation (UKRI)Natural Environment Research Council (NERC)); NERC(UK Research &amp; Innovation (UKRI)Natural Environment Research Council (NERC)); Natural Environment Research Council(UK Research &amp; Innovation (UKRI)Natural Environment Research Council (NERC))</t>
  </si>
  <si>
    <t>JML was supported by a UK NERC PhD Studentship (NER/S/A/2006/14210) and by UK NERC grant NE/G018782/1. Thanks to Chris Hughes and Chris Wilson for useful discussions concerning the virtual salt flux and to J. R. Toggweiler and two anonymous reviewers for comments that improved this work.</t>
  </si>
  <si>
    <t>10.1007/s00382-012-1650-3</t>
  </si>
  <si>
    <t>WOS:000324812200026</t>
  </si>
  <si>
    <t>Linse, K; Griffiths, HJ; Barnes, DKA; Brandt, A; Davey, N; David, B; De Grave, S; d'Acoz, CD; Eléaume, M; Glover, AG; Hemery, LG; Mah, C; Martín-Ledo, R; Munilla, T; O'Loughlin, M; Pierrat, B; Saucède, T; Sands, CJ; Strugnell, JM; Enderlein, P</t>
  </si>
  <si>
    <t>Linse, Katrin; Griffiths, Huw J.; Barnes, Dave K. A.; Brandt, Angelika; Davey, Niki; David, Bruno; De Grave, Sammy; d'Acoz, Cedric d'Udekem; Eleaume, Marc; Glover, Adrian G.; Hemery, Lenaig G.; Mah, Christopher; Martin-Ledo, Rafael; Munilla, Tomas; O'Loughlin, Mark; Pierrat, Benjamin; Saucede, Thomas; Sands, Chester J.; Strugnell, Jan M.; Enderlein, Peter</t>
  </si>
  <si>
    <t>The macro- and megabenthic fauna on the continental shelf of the eastern Amundsen Sea, Antarctica</t>
  </si>
  <si>
    <t>CONTINENTAL SHELF RESEARCH</t>
  </si>
  <si>
    <t>Biodiversity; Abundance; Megabenthos; Southern Ocean; Pine Island</t>
  </si>
  <si>
    <t>PINE ISLAND GLACIER; SOUTHERN-OCEAN; ROSS SEA; SEDIMENTARY PROCESSES; BELLINGSHAUSEN SEA; WEST ANTARCTICA; ICE-SHEET; BIOGEOGRAPHY; COMMUNITIES; CRUSTACEA</t>
  </si>
  <si>
    <t>In 2008 the BIOPEARL II expedition on board of RRS James Clark Ross sailed to the eastern Amundsen Sea Embayment and Pine Island Bay, one of the least studied Antarctic continental shelf regions due to its remoteness and ice cover. A total of 37 Agassiz trawls were deployed at depth transects along the continental and trough slopes. A total of 5469 specimens, belonging to 32 higher taxonomic groups and more than 270 species, were collected. Species richness per station varied from 1 to 55. The benthic assemblages were dominated by echinoderms and clearly different to those in the Ross, Scotia and Weddell seas. Here we present the macro- and megafaunal assemblage structure, its species richness and the presence of several undescribed species. (C) 2013 Elsevier Ltd. All rights reserved.</t>
  </si>
  <si>
    <t>[Linse, Katrin; Griffiths, Huw J.; Barnes, Dave K. A.; Sands, Chester J.; Enderlein, Peter] British Antarctic Survey, NERC, Cambridge CB3 0ET, England; [Brandt, Angelika] Univ Hamburg, Bioctr Grindel, D-20147 Hamburg, Germany; [Brandt, Angelika] Univ Hamburg, Zool Museum, D-20147 Hamburg, Germany; [Davey, Niki] Natl Inst Water &amp; Atmosphere Res Ltd NIWA, Nelson, New Zealand; [David, Bruno; Pierrat, Benjamin; Saucede, Thomas] Univ Bourgogne, CNRS, UMR Biogeosci 6282, F-21000 Dijon, France; [De Grave, Sammy] Univ Oxford, Museum Nat Hist, Oxford OX1 3PW, England; [d'Acoz, Cedric d'Udekem] Museum Nat Sci, B-1000 Brussels, Belgium; [Eleaume, Marc; Hemery, Lenaig G.] Museum Natl Hist Nat, Dept Milieux &amp; Peuplements Aquat, F-75005 Paris, France; [Glover, Adrian G.] Nat Hist Museum, Dept Zool, London SW7 5BD, England; [Mah, Christopher] Smithsonian Inst, Washington, DC 20013 USA; [Martin-Ledo, Rafael] Univ Extremadura, Fac Ciencias, Area Zool, Badajoz, Spain; [Munilla, Tomas] Univ Autonoma Barcelona, Zool Lab, E-08193 Barcelona, Spain; [O'Loughlin, Mark] Museum Victoria, Marine Biol Sect, Melbourne, Vic 3001, Australia; [Strugnell, Jan M.] La Trobe Univ, Sch Mol Sci, Dept Genet, Melbourne, Vic 3086, Australia</t>
  </si>
  <si>
    <t>UK Research &amp; Innovation (UKRI); Natural Environment Research Council (NERC); NERC British Antarctic Survey; University of Hamburg; University of Hamburg; Centre National de la Recherche Scientifique (CNRS); Universite de Bourgogne; University of Oxford; Royal Belgian Institute of Natural Sciences; Museum National d'Histoire Naturelle (MNHN); Natural History Museum London; Smithsonian Institution; Universidad de Extremadura; Autonomous University of Barcelona; Museum Victoria; La Trobe University</t>
  </si>
  <si>
    <t>Linse, K (corresponding author), British Antarctic Survey, NERC, Madingley Rd, Cambridge CB3 0ET, England.</t>
  </si>
  <si>
    <t>kl@bas.ac.uk</t>
  </si>
  <si>
    <t>Griffiths, Huw J/D-4234-2009; Brandt, Angelika/C-1630-2018; Strugnell, Jan M/P-9921-2016; Hemery, Lenaïg/AAA-5799-2021</t>
  </si>
  <si>
    <t>Griffiths, Huw J/0000-0003-1764-223X; Hemery, Lenaïg/0000-0001-5337-4514; Strugnell, Jan/0000-0003-2994-637X; Sands, Chester/0000-0003-1028-0328; Linse, Katrin/0000-0003-3477-3047; De Grave, Sammy/0000-0002-2437-2445</t>
  </si>
  <si>
    <t>Natural Environment Research Council; Natural Environment Research Council [bas0100025, bas0100026] Funding Source: researchfish; NERC [bas0100025, bas0100026] Funding Source: UKRI</t>
  </si>
  <si>
    <t>Thanks to Captain Jerry Burgan and his crew of RRS James Clark Ross for help and support on board and especially for getting us into Pine Island Bay. We are grateful to Dr Rob Larter and his team for swath support and to Dr Julian Gutt and two unknown reviewers for valuable comments on the manuscript. This study is part of the British Antarctic Survey Polar Science for Planet Earth Programme funded by The Natural Environment Research Council.</t>
  </si>
  <si>
    <t>0278-4343</t>
  </si>
  <si>
    <t>1873-6955</t>
  </si>
  <si>
    <t>CONT SHELF RES</t>
  </si>
  <si>
    <t>Cont. Shelf Res.</t>
  </si>
  <si>
    <t>10.1016/j.csr.2013.08.012</t>
  </si>
  <si>
    <t>254ML</t>
  </si>
  <si>
    <t>WOS:000327169700008</t>
  </si>
  <si>
    <t>Jena, B; Sahu, S; Avinash, K; Swain, D</t>
  </si>
  <si>
    <t>Jena, Babula; Sahu, Shanghamitra; Avinash, Kumar; Swain, Debadatta</t>
  </si>
  <si>
    <t>Observation of oligotrophic gyre variability in the south Indian Ocean: Environmental forcing and biological response</t>
  </si>
  <si>
    <t>Oligotrophic gyre; Marine ecosystem; Physical drivers; Climate oscillators</t>
  </si>
  <si>
    <t>ANTHROPOGENIC CLIMATE-CHANGE; NEAR-SURFACE CIRCULATION; SUBTROPICAL GYRE; WATER; ATLANTIC; TRENDS; PHYTOPLANKTON; CHLOROPHYLL; PATTERNS; TEMPERATURE</t>
  </si>
  <si>
    <t>Expansion of oligotrophic ocean gyre and widespread reduction of phytoplankton biomass will have severe environmental and ecological effect since phytoplankton accounts for half of the global primary production, which forms the trophic base for marine ecosystem. Analysis of Sea-viewing Wide Field-of-view Sensor (SeaWiFS) derived chlorophyll-a (Chl-a) datasets (1998-2010) suggested significant expansion of South Indian Ocean digotrophic gyre (SOG) at average annual rate of 4.46%/yr (r=0.66, p = 0.013). The annual trend of SOG expansion was accompanied with the significantly declining trend of Chl-a concentration (-1.36%/yr, or -0.0007 + 0.0001 mg m(-3)/yr, r=0.76, p =0.002). Environmental parameters such as sea surface temperature (SST) and meridional wind stress (tau(y)) were found to be the most accountable factors controlling the variability of Chl-a/gyre area. Nevertheless, SST was the dominant predictor of biological response (explains more than 60% of Chl-a variability). This study suggests that the observed trend of SOG expansion and accompanied decline in Chl-a concentration is principally due to SST warming (0.05 +/- 0.01 degrees C/yr, r=0.83, p=0.0008) and weakening of wind stress (tau) mainly meridional wind stress component, tau(y) (-0012 Pa/yr, r=0.86, p=0.004). Additionally, the SST trend map showed more than 80% of the SOG area is warming significantly under circumstance of overall gain of net heat flux by the sea surface. Analysis of these climate variables suggests decreased mixing and enhanced stratification in the SOG which reduces nutrient supply to sunlit zone; consequently resulting in low phytoplankton biomass, and gyre expansion. In addition, the sea-level rise observed in SOG (0.48 +/- 0.05 cm/yr) is much higher than the global estimates (0.18 +/- 0.05 cm/yr) reported in the Intergovernmental Panel on Climate Change. report, 2007. The variability in Chl-a concentration was also studied with respect to leading climate oscillators. (C) 2013 Elsevier Ltd. All rights reserved.</t>
  </si>
  <si>
    <t>[Jena, Babula; Avinash, Kumar] Minist Earth Sci MoES, Natl Ctr Antarctic &amp; Ocean Res, Headland Sada 403804, Goa, India; [Sahu, Shanghamitra] Berhampur Univ, Dept Marine Sci, Berhampur 760007, Orissa, India; [Swain, Debadatta] ISRO, Natl Remote Sensing Ctr, Hyderabad 500037, Andhra Pradesh, India</t>
  </si>
  <si>
    <t>Ministry of Earth Sciences (MoES) - India; National Centre for Polar and Ocean Research (NCPOR); Berhampur University; Department of Space (DoS), Government of India; Indian Space Research Organisation (ISRO); National Remote Sensing Centre (NRSC)</t>
  </si>
  <si>
    <t>Jena, B (corresponding author), Minist Earth Sci MoES, Natl Ctr Antarctic &amp; Ocean Res, Headland Sada 403804, Goa, India.</t>
  </si>
  <si>
    <t>jena_ocean@yahoo.co.in</t>
  </si>
  <si>
    <t>Avinash, Kumar/0000-0002-6511-8435</t>
  </si>
  <si>
    <t>10.1016/j.dsr.2013.06.002</t>
  </si>
  <si>
    <t>WOS:000324227700001</t>
  </si>
  <si>
    <t>Fort, J; Moe, B; Strom, H; Grémillet, D; Welcker, J; Schultner, J; Jerstad, K; Johansen, KL; Phillips, RA; Mosbech, A</t>
  </si>
  <si>
    <t>Fort, Jerome; Moe, Borge; Strom, Hallvard; Gremillet, David; Welcker, Jorg; Schultner, Jannik; Jerstad, Kurt; Johansen, Kasper L.; Phillips, Richard A.; Mosbech, Anders</t>
  </si>
  <si>
    <t>Multicolony tracking reveals potential threats to little auks wintering in the North Atlantic from marine pollution and shrinking sea ice cover</t>
  </si>
  <si>
    <t>Alle alle; conservation biogeography; geolocators; non-breeding distribution; oil pollution; seabird</t>
  </si>
  <si>
    <t>ALLE-ALLE; SEABIRD; BIODIVERSITY; CONSUMPTION; MORTALITY; RISK</t>
  </si>
  <si>
    <t>Aim Extensive development of human activities in combination with ocean warming is rapidly modifying marine habitats in the Arctic and North Atlantic regions. To understand the potential impacts on marine biodiversity, there is an urgent need to determine distributions and habitat preferences of potentially vulnerable species and to identify sensitive hotspots that might require particular protection. Our aims were to track one of the most abundant seabirds of the world, the little auk (Alle alle), to provide a large, meta-population scale overview of its non-breeding distribution and to document potential threats to this species from human activities and other environmental changes. Location Arctic North Atlantic. Methods Using light-level geolocators, we investigated the 2010/11 nonbreeding distribution of 65 little auks from four major colonies distributed throughout the Arctic North Atlantic. Bird distribution during the moulting, wintering and pre-breeding periods was compared with (1) the extent of the marginal ice zone and (2) the areas covered by the main shipping lanes and oil and gas activity licences. Results We identify several hotspots for this species, including two key areas located in the Greenland Sea and off Newfoundland. Crucially, we show that some of these hotspots overlap extensively with areas of intensive human activities, including oil and gas extraction and shipping. As little auks, which spend the major part of their time on the sea surface, are extremely vulnerable to marine pollution, our results emphasize the risk associated with the projected expansion of these activities. Main conclusions We conclude that management of further human enterprises in the Arctic needs to be based on more thorough risk assessment, requiring a substantial improvement in our knowledge of the distribution of sensitive species..</t>
  </si>
  <si>
    <t>[Fort, Jerome; Johansen, Kasper L.; Mosbech, Anders] Aarhus Univ, Dept Biosci, DK-4000 Roskilde, Denmark; [Moe, Borge] Norwegian Inst Nat Res, Fram Ctr, N-9296 Tromso, Norway; [Strom, Hallvard; Welcker, Jorg] Norwegian Polar Res Inst, Fram Ctr, N-9296 Tromso, Norway; [Gremillet, David] CNRS, Ctr Ecol Fonct &amp; Evolut, UMR 5175, F-34293 Montpellier 5, France; [Gremillet, David] Univ Cape Town, Percy FitzPatrick Inst, DST NRF Ctr Excellence, ZA-7701 Rondebosch, South Africa; [Schultner, Jannik] Norwegian Univ Sci &amp; Technol, Dept Biol, N-7491 Trondheim, Norway; [Jerstad, Kurt] Jerstad Viltforvaltning, N-4516 Mandal, Norway; [Phillips, Richard A.] British Antarctic Survey, Nat Environm Res Council, Cambridge CB3 0ET, England; [Mosbech, Anders] Aarhus Univ, Arctic Res Ctr, DK-8000 Aarhus C, Denmark</t>
  </si>
  <si>
    <t>Aarhus University; Norwegian Institute Nature Research; Norwegian Polar Institute; Centre National de la Recherche Scientifique (CNRS); CNRS - Institute of Ecology &amp; Environment (INEE); Universite PSL; Ecole Pratique des Hautes Etudes (EPHE); Institut Agro; Montpellier SupAgro; CIRAD; Institut de Recherche pour le Developpement (IRD); Universite Paul-Valery; Universite de Montpellier; National Research Foundation - South Africa; University of Cape Town; Norwegian University of Science &amp; Technology (NTNU); UK Research &amp; Innovation (UKRI); Natural Environment Research Council (NERC); NERC British Antarctic Survey; Aarhus University</t>
  </si>
  <si>
    <t>Fort, J (corresponding author), Aarhus Univ, Dept Biosci, Frederiksborgvej 399, DK-4000 Roskilde, Denmark.</t>
  </si>
  <si>
    <t>fort.jerome@gmail.com</t>
  </si>
  <si>
    <t>Schultner, Jannik/G-2264-2010; Schultner, Jannik/GWR-0351-2022; Fort, Jerome/F-1157-2016; Mosbech, Anders/Q-5984-2019; Gremillet, David/W-1946-2018; Moe, Borge/P-2946-2015</t>
  </si>
  <si>
    <t>Schultner, Jannik/0000-0002-5865-7975; Schultner, Jannik/0000-0002-5865-7975; Fort, Jerome/0000-0002-0860-6707; Mosbech, Anders/0000-0002-7581-7037; Gremillet, David/0000-0002-7711-9398; Johansen, Kasper Lambert/0000-0003-0111-9516; Moe, Borge/0000-0002-2306-1899</t>
  </si>
  <si>
    <t>French Polar Institute Paul Emile Victor [388]; Svalbard Science Forum (Arctic Field Grant); FRAM - High North Research Centre for Climate and the Environment; Marie Curie Intra-European Fellowship within the 7th Framework Programme [273061]; NERC [bas0100025] Funding Source: UKRI; Natural Environment Research Council [bas0100025] Funding Source: researchfish</t>
  </si>
  <si>
    <t>French Polar Institute Paul Emile Victor; Svalbard Science Forum (Arctic Field Grant); FRAM - High North Research Centre for Climate and the Environment; Marie Curie Intra-European Fellowship within the 7th Framework Programme(European Union (EU)); NERC(UK Research &amp; Innovation (UKRI)Natural Environment Research Council (NERC)); Natural Environment Research Council(UK Research &amp; Innovation (UKRI)Natural Environment Research Council (NERC))</t>
  </si>
  <si>
    <t>We are grateful to J. Nezan, J. Chiffard Carricaburu, E. Buchel, T. Jerstad, R. Jerstad, S. Almedal, C. Lassen, P. Lyngs and M. Frandsen for their hard work in the field, as well as to NANU Travel for their invaluable logistical support. We thank O. Arne Indset for help with logger attachment methods, and G. Robertson, A. Hedd and P. Regular for providing information about Newfoundland shipping lanes. Fieldwork in East Greenland was supported by the French Polar Institute Paul Emile Victor (Grant 388 to D.G. and J.F.). Fieldwork in North-west Greenland was supported by the Greenlandic Bureau of Minerals and Petroleum. Fieldwork in Svalbard was supported by Norwegian Polar Institute, the SEAPOP program (www.seapop.no) and Svalbard Science Forum (Arctic Field Grant). The project was also supported by FRAM - High North Research Centre for Climate and the Environment. This work represents a contribution to the British Antarctic Survey Ecosystems programme. Fieldwork was conducted under permits of the Ethics Committee of the French Polar Institute (MP/03/12/04/10 and MP/10/31/05/11) and of the Norwegian Animal Research Authority (Fots id 2326), with the permission of the Government of Greenland (no2011-047447) and of the Governor of Svalbard (2010/00053-2). J.F. is supported by a Marie Curie Intra-European Fellowship within the 7th Framework Programme (project 273061).</t>
  </si>
  <si>
    <t>10.1111/ddi.12105</t>
  </si>
  <si>
    <t>212YN</t>
  </si>
  <si>
    <t>WOS:000324019000010</t>
  </si>
  <si>
    <t>Carroll, EL; Childerhouse, SJ; Fewster, RM; Patenaude, NJ; Steel, D; Dunshea, G; Boren, L; Baker, CS</t>
  </si>
  <si>
    <t>Carroll, E. L.; Childerhouse, S. J.; Fewster, R. M.; Patenaude, N. J.; Steel, D.; Dunshea, G.; Boren, L.; Baker, C. S.</t>
  </si>
  <si>
    <t>Accounting for female reproductive cycles in a superpopulation capture-recapture framework</t>
  </si>
  <si>
    <t>abundance; Auckland Islands; calving interval; capture-recapture models; Eubalaena australis; heterogeneity; New Zealand; POPAN model; southern right whale; superpopulation</t>
  </si>
  <si>
    <t>SOUTHERN RIGHT WHALES; HUMPBACK WHALES; MICROSATELLITE LOCI; MEGAPTERA-NOVAEANGLIAE; POPULATION-STRUCTURE; EUBALAENA-AUSTRALIS; GENOTYPING ERRORS; BIOPSY SYSTEM; MARK; PHOTOIDENTIFICATION</t>
  </si>
  <si>
    <t>Superpopulation capture-recapture models are useful for estimating the abundance of long-lived, migratory species because they are able to account for the fluid nature of annual residency at migratory destinations. Here we extend the superpopulation POPAN model to explicitly account for heterogeneity in capture probability linked to reproductive cycles (POPAN-). This extension has potential application to a range of species that have temporally variable life stages (e.g., non-annual breeders such as albatrosses and baleen whales) and results in a significant reduction in bias over the standard POPAN model. We demonstrate the utility of this model in simultaneously estimating abundance and annual population growth rate () in the New Zealand (NZ) southern right whale (Eubalaena australis) from 1995 to 2009. DNA profiles were constructed for the individual identification of more than 700 whales, sampled during two sets of winter expeditions in 1995-1998 and 2006-2009. Due to differences in recapture rates between sexes, only sex-specific models were considered. The POPAN- models, which explicitly account for a decrease in capture probability in non-calving years, fit the female data set significantly better than do standard superpopulation models (AIC &gt; 25). The best POPAN- model (AIC) gave a superpopulation estimate of 1162 females for 1995-2009 (95% CL 921, 1467) and an estimated annual increase of 5% (95% CL -2%, 13%). The best model (AIC) gave a superpopulation estimate of 1007 males (95% CL 794, 1276) and an estimated annual increase of 7% (95% CL 5%, 9%) for 1995-2009. Combined, the total superpopulation estimate for 1995-2009 was 2169 whales (95% CL 1836, 2563). Simulations suggest that failure to account for the effect of reproductive status on the capture probability would result in a substantial positive bias (+19%) in female abundance estimates.</t>
  </si>
  <si>
    <t>[Carroll, E. L.; Baker, C. S.] Univ Auckland, Sch Biol Sci, Auckland 1, New Zealand; [Childerhouse, S. J.] Blue Planet Marine, Kingston, Tas 7050, Australia; [Fewster, R. M.] Univ Auckland, Dept Stat, Auckland 1, New Zealand; [Patenaude, N. J.] Coll Int St Anne, Montreal, PQ H8S 2M8, Canada; [Steel, D.; Baker, C. S.] Oregon State Univ, Hatfield Marine Sci Ctr, Marine Mammal Inst, Newport, OR 97365 USA; [Steel, D.; Baker, C. S.] Oregon State Univ, Hatfield Marine Sci Ctr, Dept Fisheries &amp; Wildlife, Newport, OR 97365 USA; [Dunshea, G.] Australian Antarctic Div, Australian Marine Mammal Ctr, Kingston, Tas 7050, Australia; [Dunshea, G.] Univ Tasmania, Inst Marine &amp; Antarctic Studies, Hobart, Tas 7001, Australia; [Boren, L.] New Zealand Dept Conservat, Wellington 6143, New Zealand</t>
  </si>
  <si>
    <t>University of Auckland; University of Auckland; Oregon State University; Oregon State University; Australian Antarctic Division; University of Tasmania</t>
  </si>
  <si>
    <t>Carroll, EL (corresponding author), Univ Auckland, Sch Biol Sci, Private Bag 92019, Auckland 1, New Zealand.</t>
  </si>
  <si>
    <t>ecar026@aucklanduni.ac.nz</t>
  </si>
  <si>
    <t>Carroll, Emma/U-9133-2019</t>
  </si>
  <si>
    <t>Carroll, Emma/0000-0003-3193-7288; Dunshea, Glenn/0000-0002-8683-0181; Steel, Debbie/0000-0001-5898-2850; Fewster, Rachel/0000-0002-4384-978X</t>
  </si>
  <si>
    <t>Whale and Dolphin Conservation Society; U.S. Department of State; Auckland University Research Council; New Zealand Marsden Fund; Winifred Violet Scott Estate Research Grant Fund; Australian Antarctic Division; Marine Conservation Action Fund; Blue Planet Marine NZ Ltd; Holsworth Wildlife Research endowment; New Zealand Ministry of Foreign Affairs; DOC; South Pacific Whale Research Consortium; National Geographic; Brian Skerry Photography; NZ Marsden Fund; Heseltine Trust; OMV NZ Ltd.; Tertiary Education Commission; School of Biological Sciences, University of Auckland</t>
  </si>
  <si>
    <t>Whale and Dolphin Conservation Society; U.S. Department of State; Auckland University Research Council; New Zealand Marsden Fund(Royal Society of New ZealandMarsden Fund (NZ)); Winifred Violet Scott Estate Research Grant Fund; Australian Antarctic Division; Marine Conservation Action Fund; Blue Planet Marine NZ Ltd; Holsworth Wildlife Research endowment; New Zealand Ministry of Foreign Affairs; DOC; South Pacific Whale Research Consortium; National Geographic(National Geographic Society); Brian Skerry Photography; NZ Marsden Fund(Royal Society of New ZealandMarsden Fund (NZ)); Heseltine Trust; OMV NZ Ltd.; Tertiary Education Commission; School of Biological Sciences, University of Auckland</t>
  </si>
  <si>
    <t>We thank two anonymous reviewers and Rochelle Constantine for their constructive comments. Biopsy samples were collected during the 1995-1998 field seasons under permit from the Department of Conservation (DOC) to C. S. Baker and N. Gales and University of Auckland Animal Ethics Committee approved protocol to C. S. Baker. The 1995-1998 Auckland Islands field trips were funded by the Whale and Dolphin Conservation Society, the U.S. Department of State (Program for Cooperative US/NZ Antarctic Research), the Auckland University Research Council, and the New Zealand Marsden Fund. Biopsy samples were collected during the 2006-2009 field seasons under DOC Marine Mammal Research permit and University of Auckland Animal Ethics Committee approved protocol to C. S. Baker. The 2006-2009 field seasons were funded by a Winifred Violet Scott Estate Research Grant Fund, Australian Antarctic Division, Marine Conservation Action Fund, Blue Planet Marine NZ Ltd, Holsworth Wildlife Research endowment, New Zealand Ministry of Foreign Affairs, DOC, South Pacific Whale Research Consortium, National Geographic, and Brian Skerry Photography. Logistic support was provided by the Southland DOC Conservancy, the University of Auckland, and the Australian Antarctic Division. We thank Captain Steve Kafka and the crew of the Evohe for their help and support in the field. We thank M. Vant, K. Munkres, S. Kraus, R. Rolland, L. Chilvers, C. Olavarria, P. McClelland, R. Cole, S. Cockburn, S. Smith, L. Douglas, W. Rayment, and T. Webster for help in the field. We thank Vivian Ward for help with Fig. 1. Lab work was funded by the NZ Marsden Fund, DOC, the Heseltine Trust, and an OMV NZ Ltd. Scholarship to E. Carroll. E. Carroll was supported by a Tertiary Education Commission Top Achiever Scholarship and the School of Biological Sciences, University of Auckland.</t>
  </si>
  <si>
    <t>10.1890/12-1657.1</t>
  </si>
  <si>
    <t>227FW</t>
  </si>
  <si>
    <t>WOS:000325097300012</t>
  </si>
  <si>
    <t>Bonin, CA; Goebel, ME; Forcada, J; Burton, RS; Hoffman, JI</t>
  </si>
  <si>
    <t>Bonin, Carolina A.; Goebel, Michael E.; Forcada, Jaume; Burton, Ronald S.; Hoffman, Joseph I.</t>
  </si>
  <si>
    <t>Unexpected genetic differentiation between recently recolonized populations of a long-lived and highly vagile marine mammal</t>
  </si>
  <si>
    <t>Colonization; gene flow; genetic differentiation; genetic diversity; pinniped</t>
  </si>
  <si>
    <t>ANTARCTIC FUR SEALS; MICROSATELLITE MARKERS; ARCTOCEPHALUS-GAZELLA; SITE FIDELITY; SOUTH SHETLAND; DNA; INFERENCE; LOCI; CONSEQUENCES; HAPLOTYPES</t>
  </si>
  <si>
    <t>Many species have been heavily exploited by man leading to local extirpations, yet few studies have attempted to unravel subsequent recolonization histories. This has led to a significant gap in our knowledge of the long-term effects of exploitation on the amount and structure of contemporary genetic variation, with important implications for conservation. The Antarctic fur seal provides an interesting case in point, having been virtually exterminated in the nineteenth century but subsequently staged a dramatic recovery to recolonize much of its original range. Consequently, we evaluated the hypothesis that South Georgia (SG), where a few million seals currently breed, was the main source of immigrants to other locations including Livingston Island (LI), by genotyping 366 individuals from these two populations at 17 microsatellite loci and sequencing a 263bp fragment of the mitochondrial hypervariable region 1. Contrary to expectations, we found highly significant genetic differences at both types of marker, with 51% of LI individuals carrying haplotypes that were not observed in 246 animals from SG. Moreover, the youngest of three sequentially founded colonies at LI showed greater similarity to SG at mitochondrial DNA than microsatellites, implying temporal and sex-specific variation in recolonization. Our findings emphasize the importance of relict populations and provide insights into the mechanisms by which severely depleted populations can recover while maintaining surprisingly high levels of genetic diversity.</t>
  </si>
  <si>
    <t>[Bonin, Carolina A.] Univ Calif San Diego, Scripps Inst Oceanog, Ctr Marine Biodivers &amp; Conservat, La Jolla, CA 92093 USA; [Goebel, Michael E.] NOAA, Antarctic Ecosyst Res Div, SW Fisheries Sci Ctr, Natl Marine Fisheries Serv, La Jolla, CA 92037 USA; [Forcada, Jaume] British Antarctic Survey, Nat Environm Res Council, Cambridge CB 0ET, England; [Burton, Ronald S.] Univ Calif San Diego, Scripps Inst Oceanog, Div Marine Biol Res, La Jolla, CA 92093 USA; [Hoffman, Joseph I.] Univ Bielefeld, Dept Anim Behav, D-33501 Bielefeld, Germany</t>
  </si>
  <si>
    <t>University of California System; University of California San Diego; Scripps Institution of Oceanography; National Oceanic Atmospheric Admin (NOAA) - USA; UK Research &amp; Innovation (UKRI); Natural Environment Research Council (NERC); NERC British Antarctic Survey; University of California System; University of California San Diego; Scripps Institution of Oceanography; University of Bielefeld</t>
  </si>
  <si>
    <t>Hoffman, JI (corresponding author), Univ Bielefeld, Dept Anim Behav, Postfach 100131, D-33501 Bielefeld, Germany.</t>
  </si>
  <si>
    <t>joseph.hoffman@uni-bielefeld.de</t>
  </si>
  <si>
    <t>Burton, R/F-7694-2010; Forcada, Jaume/GYU-0677-2022; Hoffman, Joseph/K-7725-2012</t>
  </si>
  <si>
    <t>Burton, R/0000-0002-6995-5329; Hoffman, Joseph/0000-0001-5895-8949; Bonin Lewallen, Carolina/0000-0003-1162-7290</t>
  </si>
  <si>
    <t>National Science Foundation Integrative Graduate Education and Research Traineeship Program [0903551]; Center for Marine Biodiversity and Conservation, Scripps Institution of Oceanography; Marie Curie Career Integration Grant [PCIG-GA-2011-303618]; Deutsche Forschungsgemeinschaft (DFG); Bielefeld University; Natural Environment Research Council [bas0100025] Funding Source: researchfish; NERC [bas0100025] Funding Source: UKRI</t>
  </si>
  <si>
    <t>National Science Foundation Integrative Graduate Education and Research Traineeship Program(National Science Foundation (NSF)); Center for Marine Biodiversity and Conservation, Scripps Institution of Oceanography; Marie Curie Career Integration Grant(Marie Curie Actions); Deutsche Forschungsgemeinschaft (DFG)(German Research Foundation (DFG)); Bielefeld University; Natural Environment Research Council(UK Research &amp; Innovation (UKRI)Natural Environment Research Council (NERC)); NERC(UK Research &amp; Innovation (UKRI)Natural Environment Research Council (NERC))</t>
  </si>
  <si>
    <t>This work was supported by National Science Foundation Integrative Graduate Education and Research Traineeship Program (Grant # 0903551), a research grant from the Center for Marine Biodiversity and Conservation, Scripps Institution of Oceanography, and a Marie Curie Career Integration Grant (PCIG-GA-2011-303618). Support for the publication fee was provided by the Deutsche Forschungsgemeinschaft (DFG) and the Open Access Publication Funds of Bielefeld University.</t>
  </si>
  <si>
    <t>10.1002/ece3.732</t>
  </si>
  <si>
    <t>232IF</t>
  </si>
  <si>
    <t>WOS:000325486000006</t>
  </si>
  <si>
    <t>Geyer, KM; Altrichter, AE; Van Horn, DJ; Takacs-Vesbach, CD; Gooseff, MN; Barrett, JE</t>
  </si>
  <si>
    <t>Geyer, Kevin M.; Altrichter, Adam E.; Van Horn, David J.; Takacs-Vesbach, Cristina D.; Gooseff, Michael N.; Barrett, J. E.</t>
  </si>
  <si>
    <t>Environmental controls over bacterial communities in polar desert soils</t>
  </si>
  <si>
    <t>Antarctic Dry Valleys; biogeography; environmental gradients; microbial ecology; productivity/diversity theory</t>
  </si>
  <si>
    <t>MCMURDO DRY VALLEYS; SOUTHERN VICTORIA LAND; RIBOSOMAL-RNA GENES; MICROBIAL DIVERSITY; NEMATODE COMMUNITIES; BIOTIC INTERACTIONS; SPECIES RICHNESS; TAYLOR VALLEY; BIODIVERSITY; PRODUCTIVITY</t>
  </si>
  <si>
    <t>Productivity-diversity theory has proven informative to many investigations seeking to understand drivers of spatial patterns in biotic communities and relationships between resource availability and community structure documented for a wide variety of taxa. For soil bacteria, availability of organic matter is one such resource known to influence diversity and community structure. Here we describe the influence of environmental gradients on soil bacterial communities of the McMurdo Dry Valleys, Antarctica, a model ecosystem that hosts simple, microbially-dominated foodwebs believed to be primarily structured by abiotic drivers such as water, organic matter, pH, and electrical conductivity. We sampled 48 locations exhibiting orders of magnitude ranges in primary production and soil geochemistry (pH and electrical conductivity) over local and regional scales. Our findings show that environmental gradients imposed by cryptogam productivity and regional variation in geochemistry influence the diversity and structure of soil bacterial communities. Responses of soil bacterial richness to carbon content illustrate a productivity-diversity relationship, while bacterial community structure primarily responds to soil pH and electrical conductivity. This diversity response to resource availability and a community structure response to environmental severity suggests a need for careful consideration of how microbial communities and associated functions may respond to shifting environmental conditions resulting from human activity and climate variability.</t>
  </si>
  <si>
    <t>[Geyer, Kevin M.; Altrichter, Adam E.; Barrett, J. E.] Virginia Polytech Inst &amp; State Univ, Dept Biol Sci, Blacksburg, VA 24061 USA; [Van Horn, David J.; Takacs-Vesbach, Cristina D.] Univ New Mexico, Dept Biol, Albuquerque, NM 87131 USA; [Gooseff, Michael N.] Penn State Univ, Dept Civil &amp; Environm Engn, University Pk, PA 16802 USA</t>
  </si>
  <si>
    <t>Virginia Polytechnic Institute &amp; State University; University of New Mexico; Pennsylvania Commonwealth System of Higher Education (PCSHE); Pennsylvania State University; Pennsylvania State University - University Park</t>
  </si>
  <si>
    <t>Geyer, KM (corresponding author), Virginia Polytech Inst &amp; State Univ, Dept Biol Sci, Blacksburg, VA 24061 USA.</t>
  </si>
  <si>
    <t>geyerkev@vt.edu</t>
  </si>
  <si>
    <t>Gooseff, Michael N/N-6087-2015; Barrett, John/D-5851-2016</t>
  </si>
  <si>
    <t>Gooseff, Michael N/0000-0003-4322-8315; Altrichter, Adam/0000-0002-8201-0346; Barrett, John/0000-0002-7610-0505; Geyer, Kevin/0000-0002-5218-2745</t>
  </si>
  <si>
    <t>National Science Foundation's Office of Polar Programs [1027284, 0838922]; Directorate For Geosciences; Division Of Polar Programs [0838922] Funding Source: National Science Foundation; Directorate For Geosciences; Office of Polar Programs (OPP) [0838850, 1115245] Funding Source: National Science Foundation; Division Of Environmental Biology; Direct For Biological Sciences [1210570] Funding Source: National Science Foundation</t>
  </si>
  <si>
    <t>National Science Foundation's Office of Polar Programs(National Science Foundation (NSF)); Directorate For Geosciences; Division Of Polar Programs(National Science Foundation (NSF)NSF - Directorate for Geosciences (GEO)); Directorate For Geosciences; Office of Polar Programs (OPP)(National Science Foundation (NSF)NSF - Directorate for Geosciences (GEO)); Division Of Environmental Biology; Direct For Biological Sciences(National Science Foundation (NSF)NSF - Directorate for Biological Sciences (BIO))</t>
  </si>
  <si>
    <t>Many individuals played instrumental roles in various stages of this research. In particular, we would like to thank the Crary Laboratory staff at McMurdo Station, as well as Raytheon Company, Inc. and Petroleum Helicopters, Inc. for their logistical support. We also thank Dr. Charles Lee for advice in project development, as well as Bobbie Niederlehner and several Virginia Tech collaborators for their contributions towards data acquisition and analysis. This work was supported by the National Science Foundation's Office of Polar Programs (grants #1027284 and 0838922).</t>
  </si>
  <si>
    <t>10.1890/ES13-00048.1</t>
  </si>
  <si>
    <t>257JT</t>
  </si>
  <si>
    <t>WOS:000327380400010</t>
  </si>
  <si>
    <t>Tavares, S; Xavier, JC; Phillips, RA; Pereira, ME; Pardal, MA</t>
  </si>
  <si>
    <t>Tavares, S.; Xavier, J. C.; Phillips, R. A.; Pereira, M. E.; Pardal, M. A.</t>
  </si>
  <si>
    <t>Influence of age, sex and breeding status on mercury accumulation patterns in the wandering albatross Diomedea exulans</t>
  </si>
  <si>
    <t>ENVIRONMENTAL POLLUTION</t>
  </si>
  <si>
    <t>Trace metals; Pollution; Bioaccumulation; Seabird</t>
  </si>
  <si>
    <t>SKUAS CATHARACTA-SKUA; METAL CONCENTRATIONS; TROPHIC POSITION; MOLT; SEABIRDS; FEATHERS; BIRDS; DIET; STRATEGIES; CADMIUM</t>
  </si>
  <si>
    <t>Although mercury bio-amplifies through the food chain and accumulates in top predators, mercury concentrations in tissues of the wandering albatross are greater than in any other vertebrate, including closely related species. In order to explore the alternative explanations for this pattern, we measured total mercury concentrations in feathers, plasma and blood cells of wandering albatrosses of known age, sex and breeding status sampled at South Georgia. Mercury concentrations were low in feathers and blood components of chicks, and higher in the feathers of young pre-breeders than in feathers or blood of older pre-breeders and breeding adults. There was no effect of sex on mercury concentrations in the feathers of pre-breeders or breeding adults, whereas levels were significantly higher in blood cells of breeding females than males. The high feather mercury concentrations of young pre-breeders compared with older birds suggest an increase in moult frequency as birds approach maturity. (C) 2013 Elsevier Ltd. All rights reserved.</t>
  </si>
  <si>
    <t>[Tavares, S.; Pardal, M. A.] Univ Coimbra, Dept Life Sci, CFE, P-3001401 Coimbra, Portugal; [Xavier, J. C.; Phillips, R. A.] British Antarctic Survey, Nat Environm Res Council, Cambridge CB3 0ET, England; [Xavier, J. C.] Univ Coimbra, Dept Life Sci, IMAR Inst Marine Res, P-3004517 Coimbra, Portugal; [Pereira, M. E.] Univ Aveiro, Dept Chem, CESAM Ctr Environm &amp; Marine Studies, P-3810193 Aveiro, Portugal</t>
  </si>
  <si>
    <t>Universidade de Coimbra; UK Research &amp; Innovation (UKRI); Natural Environment Research Council (NERC); NERC British Antarctic Survey; Universidade de Coimbra; Universidade de Aveiro</t>
  </si>
  <si>
    <t>Tavares, S (corresponding author), Univ Coimbra, Dept Life Sci, CFE, POB 3046, P-3001401 Coimbra, Portugal.</t>
  </si>
  <si>
    <t>stavares@student.uc.pt</t>
  </si>
  <si>
    <t>Pereira, Eduarda C/A-5907-2012; Xavier, José/KFB-6739-2024; Tavares, Silvia/M-5198-2013; Pardal, Miguel Angelo/C-3984-2009</t>
  </si>
  <si>
    <t>Tavares, Silvia/0000-0002-5789-1014; Pereira, Eduarda/0000-0002-6046-5243; /0000-0002-9621-6660; Pardal, Miguel Angelo/0000-0001-6048-7007</t>
  </si>
  <si>
    <t>Portuguese Foundation for the Science and Technology (FCT) [SFRH/BD/48908/2008]; European Social Fund; Portuguese Government National Funds; project POLAR; Fundação para a Ciência e a Tecnologia [SFRH/BD/48908/2008] Funding Source: FCT; Natural Environment Research Council [bas0100025] Funding Source: researchfish; NERC [bas0100025] Funding Source: UKRI</t>
  </si>
  <si>
    <t>Portuguese Foundation for the Science and Technology (FCT)(Fundacao para a Ciencia e a Tecnologia (FCT)); European Social Fund(European Social Fund (ESF)); Portuguese Government National Funds; project POLAR; Fundação para a Ciência e a Tecnologia(Fundacao para a Ciencia e a Tecnologia (FCT)); Natural Environment Research Council(UK Research &amp; Innovation (UKRI)Natural Environment Research Council (NERC)); NERC(UK Research &amp; Innovation (UKRI)Natural Environment Research Council (NERC))</t>
  </si>
  <si>
    <t>This work was supported by the Portuguese Foundation for the Science and Technology (FCT) through a PhD grant to Silvia Tavares (SFRH/BD/48908/2008),co-funded by the European Social Fund and Portuguese Government National Funds, and through the project POLAR. This paper represents a contribution to the British Antarctic Survey Ecosystems Programme, the national program PROPOLAR and the international programs of ICED and SCAR AnT-ERA.</t>
  </si>
  <si>
    <t>0269-7491</t>
  </si>
  <si>
    <t>1873-6424</t>
  </si>
  <si>
    <t>ENVIRON POLLUT</t>
  </si>
  <si>
    <t>Environ. Pollut.</t>
  </si>
  <si>
    <t>10.1016/j.envpol.2013.06.032</t>
  </si>
  <si>
    <t>210CW</t>
  </si>
  <si>
    <t>WOS:000323807900039</t>
  </si>
  <si>
    <t>Lam, MM; Chisham, G; Freeman, MP</t>
  </si>
  <si>
    <t>Lam, M. M.; Chisham, G.; Freeman, M. P.</t>
  </si>
  <si>
    <t>The interplanetary magnetic field influences mid-latitude surface atmospheric pressure</t>
  </si>
  <si>
    <t>solar variability; global surface pressure; global atmospheric electric circuit; atmospheric Rossby waves</t>
  </si>
  <si>
    <t>SOLAR-ACTIVITY; DISTRIBUTIONS; CLIMATE; IMPACT; WIND</t>
  </si>
  <si>
    <t>The existence of a meteorological response in the polar regions to fluctuations in the interplanetary magnetic field (IMF) component B-y is well established. More controversially, there is evidence to suggest that this Sun-weather coupling occurs via the global atmospheric electric circuit. Consequently, it has been assumed that the effect is maximized at high latitudes and is negligible at low and mid-latitudes, because the perturbation by the IMF is concentrated in the polar regions. We demonstrate a previously unrecognized influence of the IMF B-y on mid-latitude surface pressure. The difference between the mean surface pressures during times of high positive and high negative IMF B-y possesses a statistically significant mid-latitude wave structure similar to atmospheric Rossby waves. Our results show that a mechanism that is known to produce atmospheric responses to the IMF in the polar regions is also able to modulate pre-existing weather patterns at mid-latitudes. We suggest the mechanism for this from conventional meteorology. The amplitude of the effect is comparable to typical initial analysis uncertainties in ensemble numerical weather prediction. Thus, a relatively localized small-amplitude solar influence on the upper atmosphere could have an important effect, via the nonlinear evolution of atmospheric dynamics, on critical atmospheric processes.</t>
  </si>
  <si>
    <t>[Lam, M. M.; Chisham, G.; Freeman, M. P.] British Antarctic Survey, Cambridge CB3 0ET, England</t>
  </si>
  <si>
    <t>Lam, MM (corresponding author), British Antarctic Survey, Madingley Rd, Cambridge CB3 0ET, England.</t>
  </si>
  <si>
    <t>mml@bas.ac.uk</t>
  </si>
  <si>
    <t>Freeman, Mervyn/E-5687-2019</t>
  </si>
  <si>
    <t>Freeman, Mervyn/0000-0002-8653-8279</t>
  </si>
  <si>
    <t>UK Natural Environmental Research Council (NERC) [NE/I024852/1]; Natural Environment Research Council [bas0100023, bas0100026, NE/I024852/1] Funding Source: researchfish; NERC [bas0100023, NE/I024852/1, bas0100026] Funding Source: UKRI</t>
  </si>
  <si>
    <t>UK Natural Environmental Research Council (NERC)(UK Research &amp; Innovation (UKRI)Natural Environment Research Council (NERC)); Natural Environment Research Council(UK Research &amp; Innovation (UKRI)Natural Environment Research Council (NERC)); NERC(UK Research &amp; Innovation (UKRI)Natural Environment Research Council (NERC))</t>
  </si>
  <si>
    <t>NCEP Reanalysis data were provided by the NOAA/OAR/ESRL PSD, Boulder, Colorado, USA, from their website www.esrl.noaa.gov/psd/. The OMNI data were obtained from the GSFC/SPDF OMNIWeb interface at http://omniweb.gsfc.nasa.gov. We thank Christian Franzke (British Antarctic Survey) for introducing us to global field significance testing and Cosma Shalizi (Carnegie Mellon University) for discussions on entropy. The software used to produce plots of ionospheric potential was written and kindly provided by Ellen Cousins (nee Pettigrew) at the High Altitude Observatory (NCAR), Boulder, Colorado. The authors acknowledge support by the UK Natural Environmental Research Council (NERC) grant NE/I024852/1.</t>
  </si>
  <si>
    <t>10.1088/1748-9326/8/4/045001</t>
  </si>
  <si>
    <t>WOS:000329604900065</t>
  </si>
  <si>
    <t>Stanish, LF; Bagshaw, EA; McKnight, DM; Fountain, AG; Tranter, M</t>
  </si>
  <si>
    <t>Stanish, L. F.; Bagshaw, E. A.; McKnight, D. M.; Fountain, A. G.; Tranter, M.</t>
  </si>
  <si>
    <t>Environmental factors influencing diatom communities in Antarctic cryoconite holes</t>
  </si>
  <si>
    <t>diatoms; cryoconite holes; dry valley glaciers</t>
  </si>
  <si>
    <t>MCMURDO DRY VALLEYS; SOUTHERN VICTORIA LAND; TAYLOR VALLEY; MELTWATER STREAMS; CANADA GLACIER; BIOGEOCHEMISTRY; BACILLARIOPHYTA; BIODIVERSITY; EVOLUTION; ISLAND</t>
  </si>
  <si>
    <t>Cryoconite holes are ice-bound habitats that can act as refuges for aquatic and terrestrial microorganisms on glacier surfaces. In the McMurdo Dry Valleys of Antarctica, these holes are often capped by an ice lid that prevents the exchange of material and gases with the surrounding atmosphere and aquatic environment. Diatoms have been documented in cryoconite holes, and recent findings suggest that these habitats may harbour a distinctive diatom flora compared to the surrounding aquatic environments. In this study, we examined diatom community composition in cryoconite holes and environmental correlates across three glaciers in Taylor Valley, Antarctica. The diatom communities were dominated by two genera, Muelleria and Diadesmis, both of which had high viability and could have been seeded from the surrounding ephemeral streams. The location of the cryoconite hole within the valley was a key determinant of community composition. A diatom species richness gradient was observed that corresponded to distance inland from the coast and co-varied with species richness in streams within the same lake basin. Cryoconite holes that were adjacent to streams with higher diversity displayed greater species richness. However, physical factors, such as the ability to withstand freeze-thaw conditions and to colonize coarse sediments, acted as additional selective filters and influenced diatom diversity, viability and community composition.</t>
  </si>
  <si>
    <t>[Stanish, L. F.; McKnight, D. M.] Univ Colorado, Inst Arctic &amp; Alpine Res, Boulder, CO 80309 USA; [Bagshaw, E. A.; Tranter, M.] Univ Bristol, Sch Geog Sci, Bristol Glaciol Ctr, Bristol BS8 1SS, Avon, England; [Fountain, A. G.] Portland State Univ, Dept Geol, Portland, OR 97207 USA</t>
  </si>
  <si>
    <t>University of Colorado System; University of Colorado Boulder; University of Bristol; Portland State University</t>
  </si>
  <si>
    <t>Stanish, LF (corresponding author), Univ Colorado, Inst Arctic &amp; Alpine Res, Boulder, CO 80309 USA.</t>
  </si>
  <si>
    <t>MCKNIGHT, DIANE/0000-0002-4171-1533; Bagshaw, Elizabeth/0000-0001-8392-1750; Tranter, Martyn/0000-0003-2071-3094</t>
  </si>
  <si>
    <t>NSF [ANT-0423595, OPP-0096250]; NERC [NER/S/A/2005/13257]; PHI helicopters; Directorate For Geosciences; Office of Polar Programs (OPP) [1115245] Funding Source: National Science Foundation</t>
  </si>
  <si>
    <t>NSF(National Science Foundation (NSF)); NERC(UK Research &amp; Innovation (UKRI)Natural Environment Research Council (NERC)); PHI helicopters; Directorate For Geosciences; Office of Polar Programs (OPP)(National Science Foundation (NSF)NSF - Directorate for Geosciences (GEO))</t>
  </si>
  <si>
    <t>Research was funded by NSF grants ANT-0423595 and OPP-0096250 to the MCMLTER and NERC studentship NER/S/A/2005/13257 (EB). The support of the MCMLTER site team, RPSC personnel and PHI helicopters is gratefully acknowledged. Kathy Welch conducted major ion analyses, and Aneliya Sakaeva assisted in diatom counts. The comments of two anonymous reviewers improved the letter.</t>
  </si>
  <si>
    <t>10.1088/1748-9326/8/4/045006</t>
  </si>
  <si>
    <t>WOS:000329604900070</t>
  </si>
  <si>
    <t>McCoy, KD; Léger, E; Dietrich, M</t>
  </si>
  <si>
    <t>McCoy, Karen D.; Leger, Elsa; Dietrich, Muriel</t>
  </si>
  <si>
    <t>Host specialization in ticks and transmission of tick-borne diseases: a review</t>
  </si>
  <si>
    <t>FRONTIERS IN CELLULAR AND INFECTION MICROBIOLOGY</t>
  </si>
  <si>
    <t>adaptation; Argasidae; Boffelia burgdorferi sensu lato; community diversity; epidemiology; Ixodidae; population genetic structure; transmission</t>
  </si>
  <si>
    <t>POPULATION GENETIC-STRUCTURE; BOOPHILUS-MICROPLUS ACARI; IXODES-SCAPULARIS ACARI; WEST-NILE-VIRUS; SEABIRD TICK; EUROPEAN VECTOR; LYME-DISEASE; CATTLE TICK; ANTARCTIC PENINSULA; INFECTIOUS-DISEASE</t>
  </si>
  <si>
    <t>Determining patterns of host use, and the frequency at which these patterns change, are of key importance if we are to understand tick population dynamics, the evolution of tick biodiversity, and the circulation and evolution of associated pathogens. The question of whether ticks are typically host specialists or host generalists has been subject to much debate over the last half-century. Indeed, early research proposed that morphological diversity in ticks was linked to host specific adaptations and that most ticks were specialists. Later work disputed this idea and suggested that ticks are largely limited by biogeographic conditions and tend to use all locally available host species. The work presented in this review suggests that the actual answer likely lies somewhere between these two extremes. Although recent observational studies support the view that phylogenetically diverse host species share ticks when found on similar ecological ranges, theory on host range evolution predicts that host specialization should evolve in ticks given their life history characteristics. Contemporary work employing population genetic tools to examine host-associated population structure in several tick systems support this prediction and show that simple species records are not enough to determine whether a parasite is a true host generalist; host specialization does evolve in ticks at local scales, but may not always lead to speciation. Ticks therefore seem to follow a pattern of being global generalists, local specialists. Given this, the notion of host range needs to be modified from an evolutionary perspective, where one simply counts the number of hosts used across the geographic distribution, to a more ecological view, where one considers host use at a local scale, if we are to better understand the circulation of tick-borne pathogens and exposure risks for humans and livestock.</t>
  </si>
  <si>
    <t>[McCoy, Karen D.; Leger, Elsa] Ctr IRD, MiVEGEC, Mixed Res Unit CNRS IRD UM1 UM2 5290, F-34394 Montpellier, France; [McCoy, Karen D.] Carleton Univ, Dept Biol, Ottawa, ON K1S 5B6, Canada; [Dietrich, Muriel] GIP CYROI, Ctr Rech &amp; Veille Malad Emergentes Ocean Indien, St Clotilde, Reunion, France; [Dietrich, Muriel] Univ La Reunion, Dept Biol, St Denis, Reunion, France</t>
  </si>
  <si>
    <t>Institut de Recherche pour le Developpement (IRD); Universite de Montpellier; Carleton University; University of La Reunion</t>
  </si>
  <si>
    <t>McCoy, KD (corresponding author), Ctr IRD, MiVEGEC UMR CNRS IRD UM1 UM2 5290, 911 Ave Agropolis,BP 64501, F-34394 Montpellier, France.</t>
  </si>
  <si>
    <t>karen.mccoy@ird.fr</t>
  </si>
  <si>
    <t>dietrich, muriel/A-6430-2015; McCoy, Karen D/F-7061-2012</t>
  </si>
  <si>
    <t>McCoy, Karen D/0000-0002-8972-3808; Dietrich, Muriel/0000-0002-2665-7970</t>
  </si>
  <si>
    <t>French Polar Institute (IPEV) [333]; Bureau des Ressources Genetiques [53]; Agence Nationale de Recherche [ANR-06-JCJC-0095-01, ANR-11-agro-001-04]; Agence Nationale de la Recherche (ANR) [ANR-06-JCJC-0095] Funding Source: Agence Nationale de la Recherche (ANR)</t>
  </si>
  <si>
    <t>French Polar Institute (IPEV); Bureau des Ressources Genetiques; Agence Nationale de Recherche(Agence Nationale de la Recherche (ANR)); Agence Nationale de la Recherche (ANR)(Agence Nationale de la Recherche (ANR))</t>
  </si>
  <si>
    <t>We would like to thank A. Pedersen, T. Boulinier, R. T. Barrett, T. Tveraa, E Kempf, D. Duneau, E. Gomez-Diaz, and C. Chevillon for assistance with different aspects of the presented work. M. R. Forbes and the two reviewers provided insightful suggestions for improving the manuscript. We also acknowledge helpful discussions with members of the working group Tiques et Maladies a Tiques of the GDR Reseau Ecologique des Interactions Durables (France). H. G. Gilchrist and M. R. Forbes are thanked for support during the sabbatical stay of Karen D. McCoy. The work presented in this review was supported by the French Polar Institute (IPEV, Programme no 333), the Bureau des Ressources Genetiques (project no. 53) and the Agence Nationale de Recherche (ANR-06-JCJC-0095-01 and ANR-11-agro-001-04). Permits to collect/export ticks were granted by the Norwegian Animal Research Authority and the Icelandic Institute of Natural History.</t>
  </si>
  <si>
    <t>2235-2988</t>
  </si>
  <si>
    <t>FRONT CELL INFECT MI</t>
  </si>
  <si>
    <t>Front. Cell. Infect. Microbiol.</t>
  </si>
  <si>
    <t>10.3389/fcimb.2013.00057</t>
  </si>
  <si>
    <t>Immunology; Microbiology</t>
  </si>
  <si>
    <t>269UC</t>
  </si>
  <si>
    <t>WOS:000328266500003</t>
  </si>
  <si>
    <t>Sinclair, BJ; Ferguson, LV; Salehipour-shirazi, G; MacMillan, HA</t>
  </si>
  <si>
    <t>Sinclair, Brent J.; Ferguson, Laura V.; Salehipour-shirazi, Golnaz; MacMillan, Heath A.</t>
  </si>
  <si>
    <t>Cross-tolerance and Cross-talk in the Cold: Relating Low Temperatures to Desiccation and Immune Stress in Insects</t>
  </si>
  <si>
    <t>INTEGRATIVE AND COMPARATIVE BIOLOGY</t>
  </si>
  <si>
    <t>GOLDENROD GALL FLY; EUROSTA-SOLIDAGINIS DIPTERA; ANTARCTIC MIDGE; CRYOPROTECTIVE DEHYDRATION; DROUGHT ACCLIMATION; WATER CONSERVATION; FOLSOMIA-CANDIDA; FREEZE TOLERANCE; ION HOMEOSTASIS; CLIMATE-CHANGE</t>
  </si>
  <si>
    <t>Multiple stressors, both abiotic and biotic, often are experienced simultaneously by organisms in nature. Responses to these stressors may share signaling pathways (cross-talk) or protective mechanisms (cross-tolerance). Temperate and polar insects that must survive the winter experience low temperatures accompanied by additional abiotic stressors, such as low availability of water. Cold and desiccation have many similar effects at a cellular level, and we present evidence that the cellular mechanisms that protect against cold stress also protect against desiccation, and that the responses to cold and dehydration likely evolved as cross-tolerance. By contrast, there are several lines of evidence suggesting that low temperature stress elicits an upregulation of immune responses in insects (and vice versa). Because there is little mechanistic overlap between cold stress and immune stress at the cellular level, we suggest that this is cross-talk. Both cross-talk and cross-tolerance may be adaptive and likely evolved in response to synchronous stressors; however, we suggest that cross-talk and cross-tolerance may lead to different responses to changes in the timing and severity of multiple stress interactions in a changing world. We present a framework describing the potentially different responses of cross-tolerance and cross-talk to a changing environment and describe the nature of these impacts using interaction of cold-desiccation and cold-immunity in overwintering insects as an example.</t>
  </si>
  <si>
    <t>[Sinclair, Brent J.; Ferguson, Laura V.; Salehipour-shirazi, Golnaz; MacMillan, Heath A.] Univ Western Ontario, Dept Biol, London, ON, Canada</t>
  </si>
  <si>
    <t>Western University (University of Western Ontario)</t>
  </si>
  <si>
    <t>Sinclair, BJ (corresponding author), Univ Western Ontario, Dept Biol, London, ON, Canada.</t>
  </si>
  <si>
    <t>bsincla7@uwo.ca</t>
  </si>
  <si>
    <t>Sinclair, Brent J/C-6133-2012; MacMillan, Heath A/J-6943-2012</t>
  </si>
  <si>
    <t>Sinclair, Brent/0000-0002-8191-9910</t>
  </si>
  <si>
    <t>Natural Sciences and Engineering Research Council of Canada (NSERC); University of Otago (New Zealand); NSERC Canada Graduate Scholarship; Ontario Graduate Scholarship</t>
  </si>
  <si>
    <t>Natural Sciences and Engineering Research Council of Canada (NSERC)(Natural Sciences and Engineering Research Council of Canada (NSERC)); University of Otago (New Zealand); NSERC Canada Graduate Scholarship(Natural Sciences and Engineering Research Council of Canada (NSERC)); Ontario Graduate Scholarship(Ontario Graduate Scholarship)</t>
  </si>
  <si>
    <t>This work was supported by a Discovery Grant from the Natural Sciences and Engineering Research Council of Canada (NSERC), an Ontario Early Researcher Award, and a William Evans Visiting Fellowship from the University of Otago (New Zealand) to B.J.S.; an NSERC Canada Graduate Scholarship to H. A. M.; and an Ontario Graduate Scholarship to L.V.F.</t>
  </si>
  <si>
    <t>OXFORD UNIV PRESS INC</t>
  </si>
  <si>
    <t>CARY</t>
  </si>
  <si>
    <t>JOURNALS DEPT, 2001 EVANS RD, CARY, NC 27513 USA</t>
  </si>
  <si>
    <t>1540-7063</t>
  </si>
  <si>
    <t>1557-7023</t>
  </si>
  <si>
    <t>INTEGR COMP BIOL</t>
  </si>
  <si>
    <t>Integr. Comp. Biol.</t>
  </si>
  <si>
    <t>10.1093/icb/ict004</t>
  </si>
  <si>
    <t>223TO</t>
  </si>
  <si>
    <t>WOS:000324833500002</t>
  </si>
  <si>
    <t>Sokolova, IM</t>
  </si>
  <si>
    <t>Sokolova, Inna M.</t>
  </si>
  <si>
    <t>Energy-Limited Tolerance to Stress as a Conceptual Framework to Integrate the Effects of Multiple Stressors</t>
  </si>
  <si>
    <t>TEMPERATURE-DEPENDENT BIOGEOGRAPHY; METABOLIC-RATE DEPRESSION; LUGWORM ARENICOLA-MARINA; COD GADUS-MORHUA; THERMAL TOLERANCE; ANTARCTIC BIVALVE; CRASSOSTREA-GIGAS; OXYGEN LIMITATION; OXIDATIVE STRESS; ENVIRONMENTAL-STRESS</t>
  </si>
  <si>
    <t>Integrating the effects of multiple stressors and predicting their consequences for the species' survival and distribution is an important problem in ecological physiology. This review applies the concept of energy-limited tolerance to stress to develop bioenergetic markers that can assist in integrating the effects of multiple stressors and distinguishing between the moderate stress compatible with long-term survival of populations and bioenergetically unsustainable extreme stress. These markers reflect the progressive decline of the aerobic scope of an organism (defined as the fraction of the energy flux and metabolic power supporting this flux available after the basal maintenance costs of an organism are met) with increasing levels of the environmental stress. During the exposure to moderate stress (i.e., in the pejus range of the environmental conditions), the aerobic scope is positive but reduced compared with the optimum conditions. The reduction of the metabolic scope can be due to the (1) elevated costs of basal metabolism, (2) activation of the mechanisms for protection and damage repair, (3) reduced assimilation of food, and/or (4) stress-induced impacts on the aerobic pathways producing ATP. This leads to suboptimal growth and reproductive rates in the pejus range of environmental conditions and is commonly observed in food-limited and energy-limited wild populations. The tolerance windows of the organisms are delimited by the pessimum range(s) of environmental conditions in which the aerobic scope of the organism disappears (so that all available energy and metabolic capacity are used in support of basal metabolism), energy resources are depleted, and partial anaerobiosis and/or metabolic rate depression set in. The habitats where environmental conditions remain in the pessimum zone long enough to prevent consistent growth and reproduction often coincide with the species' distributional limits. Thus, focus on the bioenergetic effects of environmental stressors and their immediate consequences for fitness provides a suitable framework for integrating physiology and functional ecology and can assist in understanding the driving forces and limitations of environmental adaptation and improving assessment of ecological risk as well as environmental management in field populations facing multiple stressors.</t>
  </si>
  <si>
    <t>Univ N Carolina, Dept Biol, Charlotte, NC 28223 USA</t>
  </si>
  <si>
    <t>University of North Carolina; University of North Carolina Charlotte</t>
  </si>
  <si>
    <t>Sokolova, IM (corresponding author), Univ N Carolina, Dept Biol, Charlotte, NC 28223 USA.</t>
  </si>
  <si>
    <t>isokolov@uncc.edu</t>
  </si>
  <si>
    <t>Sokolova, Inna M./B-4955-2009; Sokolova, Inna/AAE-4150-2019</t>
  </si>
  <si>
    <t>Sokolova, Inna M./0000-0002-2068-4302; Sokolova, Inna/0000-0002-2068-4302</t>
  </si>
  <si>
    <t>National Science Foundation [IOS-0951079, IBN-0347238]</t>
  </si>
  <si>
    <t>Supported by the National Science Foundation (IOS-0951079 and IBN-0347238).</t>
  </si>
  <si>
    <t>10.1093/icb/ict028</t>
  </si>
  <si>
    <t>WOS:000324833500006</t>
  </si>
  <si>
    <t>Joshi, MK; Rai, A; Pandey, AC</t>
  </si>
  <si>
    <t>Joshi, Manish K.; Rai, Archana; Pandey, A. C.</t>
  </si>
  <si>
    <t>Validation of TMPA and GPCP 1DD against the ground truth rain-gauge data for Indian region</t>
  </si>
  <si>
    <t>Indian monsoon; precipitation; validation; rain-gauge; satellite; TMPA; GPCP 1DD</t>
  </si>
  <si>
    <t>GLOBAL PRECIPITATION; SATELLITE; TRMM; DISTRIBUTIONS; RESOLUTION; PRODUCTS; AFRICA; CLOUD</t>
  </si>
  <si>
    <t>The satellite datasets, namely, the Tropical Rainfall Measuring Mission (TRMM) MultiSatellite Precipitation Analysis (TMPA) product, 3B42 version 6 and Global Precipitation Climatology Project (GPCP) one-degree-daily (1DD) from NASA Goddard Space Flight Center, have been validated against the ground truth' rain-gauge data from the India Meteorological Department for all-India during the period 1998-2007. The comparisons reveal that both the satellite datasets are good enough in representing the spatial rainfall distribution over India. The categorical statistics provides an insight in evaluating the satellite's ability and its accuracy in estimating the precipitation. The average bias along the heavy-rainfall regions (e.g. Western coast, Arunachal Pradesh, Sub-Himalayan West Bengal, Sikkim, and east Uttaranchal) for the TMPA (GPCP 1DD) is -8.03 (-8.29) mmd(-1), whereas the mean is 7.47 (6.97) mmd(-1), which signifies that the satellite datasets underestimate the Indian summer monsoon rainfall in sharp rainfall regions. Albeit, the TMPA excels over GPCP 1DD where the rainfall is mainly attributed to orography, yet both fail in capturing the extreme rainfall year, 2005. The satellite datasets do capture the intraseasonal oscillations as is evident from spectral analysis, whereas the empirical orthogonal function analysis of standardized daily and seasonal anomalies exemplifies that the satellite datasets also capture the dominant modes. Additionally, the active and the break spells calculated for the months of July and August for the satellite datasets are in agreement with the ones obtained for the rain-gauge.</t>
  </si>
  <si>
    <t>[Joshi, Manish K.; Rai, Archana; Pandey, A. C.] Univ Allahabad, Inst Interdisciplinary Studies, K Banerjee Ctr Atmospher &amp; Ocean Studies, Allahabad 211002, Uttar Pradesh, India</t>
  </si>
  <si>
    <t>University of Allahabad</t>
  </si>
  <si>
    <t>Joshi, MK (corresponding author), Univ Allahabad, Inst Interdisciplinary Studies, K Banerjee Ctr Atmospher &amp; Ocean Studies, Allahabad 211002, Uttar Pradesh, India.</t>
  </si>
  <si>
    <t>manishkumarjoshi@gmail.com; prof.avinashcpandey@gmail.com</t>
  </si>
  <si>
    <t>Joshi, Manish/B-2711-2012; Joshi, Manish K./T-8739-2019; Pandey, Arvind/AHC-6803-2022; Rai, Archana/AFR-1477-2022; PANDEY, AVINASH CHANDRA/B-4600-2014</t>
  </si>
  <si>
    <t>Joshi, Manish/0000-0001-6498-6962; Joshi, Manish K./0000-0001-6498-6962; PANDEY, AVINASH CHANDRA/0000-0003-0700-3856</t>
  </si>
  <si>
    <t>National Center of Antarctic and Ocean Research (NCAOR), Goa; Department of Science and Technology, New Delhi</t>
  </si>
  <si>
    <t>National Center of Antarctic and Ocean Research (NCAOR), Goa; Department of Science and Technology, New Delhi(Department of Science &amp; Technology (India))</t>
  </si>
  <si>
    <t>We are thankful to National Center of Antarctic and Ocean Research (NCAOR), Goa, and Department of Science and Technology, New Delhi, for the financial support. We thank IMD for providing the IMD data, NASA GSFC for providing the TMPA data on their website, and Joint Institute for the Study of Atmosphere and Ocean (JISAO) for endowing with GPCP 1DD data on their FTP site. Special thanks to Dr M. Rajeevan for his valuable input relating to the quality checks as well as on the interpolation technique of IMD used for preparing the gridded dataset.</t>
  </si>
  <si>
    <t>10.1002/joc.3612</t>
  </si>
  <si>
    <t>WOS:000325497400003</t>
  </si>
  <si>
    <t>Chenoli, SN; Turner, J; Abu Samah, A</t>
  </si>
  <si>
    <t>Chenoli, Sheeba Nettukandy; Turner, John; Abu Samah, Azizan</t>
  </si>
  <si>
    <t>A climatology of strong wind events at McMurdo station, Antarctica</t>
  </si>
  <si>
    <t>strong wind events; Antarctica; bimodal wind direction; interannual variability; mean sea level pressure; southern annular mode; wind speed</t>
  </si>
  <si>
    <t>TEMPORAL VARIABILITY; KOHNEN STATION; ROSS ISLAND; PREDICTION; CYCLOGENESIS; OSCILLATION; PLATEAU; REGION; FLOW</t>
  </si>
  <si>
    <t>The first climatology of strong wind events (SWEs) at McMurdo station, Antarctica based on the in situ observations and reanalysis fields is presented. SWEs occur throughout the year, but with a minimum during the summer. They are associated with negative mean sea level pressure (MSLP) and upper height anomalies across the Ross Sea/Ice Shelf, as well as positive temperature anomalies at the station. Wind directions during SWEs exhibit a bimodal distribution of 135-180 degrees and 45-90 degrees. This distribution occurs because of the interaction of the predominantly southerly flow with the orography of Black and White Island and Minna Bluff. The east-northeast flow is associated with winds that are deflected around the orography, while the more southerly events have sufficient energy to override the barriers. The bimodal wind distribution is most common during the winter season since the southerly flow is stronger as a result of deeper cyclonic systems. SWEs also occur when there are large, positive MSLP anomalies at McMurdo station as ridges of high pressure build from the interior and enhance the pressure gradient between the continental high and offshore lows. The interannual variability in the number of winter SWEs is large. Years with many SWEs are associated with a deep climatological low centred over the north eastern Ross Ice Shelf. Years with few winter SWEs have a weakened mid-tropospheric vortex over the Ross Ice Shelf. There are periods when the index of the El Nino-Southern Oscillation (ENSO) correlates with the number of SWEs. However, the links are not statistically significant in the longer term. A similar link was also observed between the Southern Annular Mode (SAM) and the interannual variability in the number of SWEs. The relationship was found to be stronger when the phase of ENSO and the SAM were the same.</t>
  </si>
  <si>
    <t>[Chenoli, Sheeba Nettukandy; Turner, John; Abu Samah, Azizan] Univ Malaya, Inst Postgrad Studies, Natl Antarctic Res Ctr, Kuala Lumpur, Malaysia; [Turner, John] British Antarctic Survey, Cambridge CB3 0ET, England</t>
  </si>
  <si>
    <t>Universiti Malaya; UK Research &amp; Innovation (UKRI); Natural Environment Research Council (NERC); NERC British Antarctic Survey</t>
  </si>
  <si>
    <t>Chenoli, SN (corresponding author), Univ Malaya, Inst Postgrad Studies, Natl Antarctic Res Ctr, Kuala Lumpur, Malaysia.</t>
  </si>
  <si>
    <t>sheeba@um.edu.my</t>
  </si>
  <si>
    <t>ABU SAMAH, AZIZAN HJ/B-8295-2010; Chenoli, Sheeba Nettukandy/G-6726-2012</t>
  </si>
  <si>
    <t>Turner, John/0000-0002-6111-5122</t>
  </si>
  <si>
    <t>Malaysian Antarctic Research Program, Academy of Sciences, Malaysia; NERC [bas0100023] Funding Source: UKRI; Natural Environment Research Council [bas0100023] Funding Source: researchfish</t>
  </si>
  <si>
    <t>Malaysian Antarctic Research Program, Academy of Sciences, Malaysia; NERC(UK Research &amp; Innovation (UKRI)Natural Environment Research Council (NERC)); Natural Environment Research Council(UK Research &amp; Innovation (UKRI)Natural Environment Research Council (NERC))</t>
  </si>
  <si>
    <t>This study was funded by Malaysian Antarctic Research Program, Academy of Sciences, Malaysia. Authors would also like to thank University of Malaya, British Antarctic Survey and Antarctica New Zealand.</t>
  </si>
  <si>
    <t>10.1002/joc.3617</t>
  </si>
  <si>
    <t>WOS:000325497400005</t>
  </si>
  <si>
    <t>Baek, K; Choi, A; Kang, I; Lee, K; Cho, JC</t>
  </si>
  <si>
    <t>Baek, Kiwoon; Choi, Ahyoung; Kang, Ilnam; Lee, Kiyoung; Cho, Jang-Cheon</t>
  </si>
  <si>
    <t>Kordia antarctica sp nov., isolated from Antarctic seawater</t>
  </si>
  <si>
    <t>EMENDED DESCRIPTION; GEN. NOV.; SEQUENCE; BACTERIUM; DATABASE</t>
  </si>
  <si>
    <t>A Gram-staining-negative, chemoheterotrophic, yellow-pigmented, non-motile, flexirubin-negative, facultatively anaerobic bacterium, designated strain IMCC3317(T), was isolated from a coastal seawater sample from the Antarctic Penninsula. Optimal growth of strain IMCC3317(T) was observed at 20 degrees C, pH 8.0 and in the presence of 2-3% NaCl. Phylogenetic analysis, based on 16S rRNA gene sequences showed that strain IMCC3317T belonged to the genus Kordia and was closely related to Kordia algicida OT-1(T) (96.7 % sequence similarity) and Kordia periserrulae IMCC1412(T) (96.1 % sequence similarity). The major fatty acids were 10-methyl C16:0 and/or iso-C-16:1 omega 9c, iso-C-17:0 3-OH, iso-C-15:0 and anteiso-C-15:0. The G+C content of the genomic DNA was 35.1 mol%. The strain contained menaquinone-6 (MK-6) as the respiratory quinone. The polar lipids detected in the strain were phosphatidylethanolamine and unknown aminophospholipids, aminolipids and polar lipids. On the basis of phylogenetic distinction and differential phenotypic characteristics, it is suggested that strain IMCC3317(T) (=KCTC 32292(T)=NBRC 109401(T)) be assigned to the genus Kordia as the type strain of a novel species, for which the name Kordia antarctica sp. nov. is proposed.</t>
  </si>
  <si>
    <t>[Baek, Kiwoon; Choi, Ahyoung; Kang, Ilnam; Lee, Kiyoung; Cho, Jang-Cheon] Inha Univ, Div Biol &amp; Ocean Sci, Inchon 402751, South Korea</t>
  </si>
  <si>
    <t>Inha University</t>
  </si>
  <si>
    <t>Cho, JC (corresponding author), Inha Univ, Div Biol &amp; Ocean Sci, Inchon 402751, South Korea.</t>
  </si>
  <si>
    <t>chojc@inha.ac.kr</t>
  </si>
  <si>
    <t>Cho, Jang-Cheon/B-4676-2013; CHOI, AHYOUNG/T-5490-2019</t>
  </si>
  <si>
    <t>Cho, Jang-Cheon/0000-0002-0666-3791</t>
  </si>
  <si>
    <t>Polar Academic Program (PAP) of the Korea Polar Research Institute (KOPRI)</t>
  </si>
  <si>
    <t>This study was supported by the Polar Academic Program (PAP) of the Korea Polar Research Institute (KOPRI).</t>
  </si>
  <si>
    <t>10.1099/ijs.0.052738-0</t>
  </si>
  <si>
    <t>WOS:000327910200012</t>
  </si>
  <si>
    <t>Yau, S; Lauro, FM; Williams, TJ; DeMaere, MZ; Brown, MV; Rich, J; Gibson, JAE; Cavicchioli, R</t>
  </si>
  <si>
    <t>Yau, Sheree; Lauro, Federico M.; Williams, Timothy J.; DeMaere, Matthew Z.; Brown, Mark V.; Rich, John; Gibson, John A. E.; Cavicchioli, Ricardo</t>
  </si>
  <si>
    <t>Metagenomic insights into strategies of carbon conservation and unusual sulfur biogeochemistry in a hypersaline Antarctic lake</t>
  </si>
  <si>
    <t>metagenomics; Organic Lake; Antarctic microbial ecology; nutrient cycles; dimethylsulfide</t>
  </si>
  <si>
    <t>RIBOSOMAL-RNA GENE; CLIMATE-CHANGING GAS; VESTFOLD HILLS; DIMETHYL SULFIDE; ORGANIC LAKE; FLAVOBACTERIUM-GONDWANENSE; MICROBIAL DIVERSITY; SP. NOV.; DIMETHYLSULFONIOPROPIONATE LYASE; HALOMONAS-SUBGLACIESCOLA</t>
  </si>
  <si>
    <t>Organic Lake is a shallow, marine-derived hypersaline lake in the Vestfold Hills, Antarctica that has the highest reported concentration of dimethylsulfide (DMS) in a natural body of water. To determine the composition and functional potential of the microbial community and learn about the unusual sulfur chemistry in Organic Lake, shotgun metagenomics was performed on size-fractionated samples collected along a depth profile. Eucaryal phytoflagellates were the main photosynthetic organisms. Bacteria were dominated by the globally distributed heterotrophic taxa Marinobacter, Roseovarius and Psychroflexus. The dominance of heterotrophic degradation, coupled with low fixation potential, indicates possible net carbon loss. However, abundant marker genes for aerobic anoxygenic phototrophy, sulfur oxidation, rhodopsins and CO oxidation were also linked to the dominant heterotrophic bacteria, and indicate the use of photo-and lithoheterotrophy as mechanisms for conserving organic carbon. Similarly, a high genetic potential for the recycling of nitrogen compounds likely functions to retain fixed nitrogen in the lake. Dimethylsulfoniopropionate (DMSP) lyase genes were abundant, indicating that DMSP is a significant carbon and energy source. Unlike marine environments, DMSP demethylases were less abundant, indicating that DMSP cleavage is the likely source of high DMS concentration. DMSP cleavage, carbon mixotrophy (photoheterotrophy and lithoheterotrophy) and nitrogen remineralization by dominant Organic Lake bacteria are potentially important adaptations to nutrient constraints. In particular, carbon mixotrophy relieves the extent of carbon oxidation for energy production, allowing more carbon to be used for biosynthetic processes. The study sheds light on how the microbial community has adapted to this unique Antarctic lake environment.</t>
  </si>
  <si>
    <t>[Yau, Sheree; Lauro, Federico M.; Williams, Timothy J.; DeMaere, Matthew Z.; Brown, Mark V.; Cavicchioli, Ricardo] Univ New S Wales, Sch Biotechnol &amp; Biomol Sci, Sydney, NSW 2052, Australia; [Brown, Mark V.] Univ New S Wales, Evolut &amp; Ecol Res Ctr, Sydney, NSW 2052, Australia; [Gibson, John A. E.] Univ Tasmania, Inst Marine &amp; Antarctic Studies, Hobart, Tas, Australia</t>
  </si>
  <si>
    <t>University of New South Wales Sydney; University of New South Wales Sydney; University of Tasmania</t>
  </si>
  <si>
    <t>DeMaere, Matthew Zachariah/D-9002-2012; Lauro, Federico/X-2420-2019; Yau, Sheree/AAX-9078-2021; Cavicchioli, Ricardo/D-4341-2013</t>
  </si>
  <si>
    <t>DeMaere, Matthew Zachariah/0000-0002-7601-5108; Lauro, Federico/0000-0002-8373-1014; Yau, Sheree/0000-0003-1878-132X; Williams, Timothy/0000-0002-2738-3019; Cavicchioli, Ricardo/0000-0001-8989-6402</t>
  </si>
  <si>
    <t>Australian Research Council; Australian Antarctic Science program; Australian Government</t>
  </si>
  <si>
    <t>Australian Research Council(Australian Research Council); Australian Antarctic Science program; Australian Government(Australian Government)</t>
  </si>
  <si>
    <t>This work was supported by the Australian Research Council and the Australian Antarctic Science program and undertaken with the assistance of resources provided at the NCI National Facility systems at the Australian National University through the National Computational Merit Allocation Scheme supported by the Australian Government. We acknowledge the assistance from the J Craig Venter Institute, and the Gordon and Betty Moore Foundation. We thank John Bowman for providing unpublished rhodopsin sequence data. We acknowledge those involved in the formal review process for their positive views and insightful comments. We acknowledge all financial support and any other personal connections.</t>
  </si>
  <si>
    <t>10.1038/ismej.2013.69</t>
  </si>
  <si>
    <t>224FY</t>
  </si>
  <si>
    <t>WOS:000324869400007</t>
  </si>
  <si>
    <t>Ding, QH; Steig, EJ</t>
  </si>
  <si>
    <t>Ding, Qinghua; Steig, Eric J.</t>
  </si>
  <si>
    <t>Temperature Change on the Antarctic Peninsula Linked to the Tropical Pacific</t>
  </si>
  <si>
    <t>Antarctica; Southern Hemisphere; Tropics; Teleconnections; General circulation models; Trends</t>
  </si>
  <si>
    <t>SOUTHERN-HEMISPHERE CIRCULATION; SEA-ICE; ANNULAR MODE; CLIMATE VARIABILITY; SURFACE; ENSO; TRENDS; OCEAN; TELECONNECTIONS; AMUNDSEN</t>
  </si>
  <si>
    <t>Significant summer warming over the eastern Antarctic Peninsula in the last 50 years has been attributed to a strengthening of the circumpolar westerlies, widely believed to be anthropogenic in origin. On the western side of the peninsula, significant warming has occurred mainly in austral winter and has been attributed to the reduction of sea ice. The authors show that austral fall is the only season in which spatially extensive warming has occurred on the Antarctic Peninsula. This is accompanied by a significant reduction of sea ice cover off the west coast. In winter and spring, warming is mainly observed on the west side of the peninsula. The most important large-scale forcing of the significant widespread warming trend in fall is the extratropical Rossby wave train associated with tropical Pacific sea surface temperature anomalies. Winter and spring warming on the western peninsula reflects the persistence of sea ice anomalies arising from the tropically forced atmospheric circulation changes in austral fall.</t>
  </si>
  <si>
    <t>[Ding, Qinghua] Univ Washington, Dept Earth &amp; Space Sci, Seattle, WA 98195 USA; [Ding, Qinghua] Univ Washington, Quaternary Res Ctr, Seattle, WA 98195 USA</t>
  </si>
  <si>
    <t>Ding, QH (corresponding author), Univ Washington, Dept Earth &amp; Space Sci, 4000 15th Av NE, Seattle, WA 98195 USA.</t>
  </si>
  <si>
    <t>qinghua@uw.edu</t>
  </si>
  <si>
    <t>ding, qinghua/G-1186-2011; /G-9088-2015</t>
  </si>
  <si>
    <t>/0000-0002-8191-5549</t>
  </si>
  <si>
    <t>U.S. National Science Foundation [OPP-0837988]; Office of Polar Programs (OPP); Directorate For Geosciences [0944348] Funding Source: National Science Foundation; Office of Polar Programs (OPP); Directorate For Geosciences [0837988] Funding Source: National Science Foundation</t>
  </si>
  <si>
    <t>Q.D. and E.J.S. were supported by the U.S. National Science Foundation, Grant OPP-0837988. We thank G. Hoffman for providing the code for ECHAM4.6.</t>
  </si>
  <si>
    <t>10.1175/JCLI-D-12-00729.1</t>
  </si>
  <si>
    <t>222TH</t>
  </si>
  <si>
    <t>WOS:000324753900015</t>
  </si>
  <si>
    <t>Latif, M; Martin, T; Park, W</t>
  </si>
  <si>
    <t>Latif, Mojib; Martin, Torge; Park, Wonsun</t>
  </si>
  <si>
    <t>Southern Ocean Sector Centennial Climate Variability and Recent Decadal Trends</t>
  </si>
  <si>
    <t>Atmosphere-ocean interaction; Climate variability; Decadal variability</t>
  </si>
  <si>
    <t>WEDDELL POLYNYA; ANNULAR MODE; DEEP; CIRCULATION; PACIFIC; HEAT; TEMPERATURES; OSCILLATION; MODULATION; CONVECTION</t>
  </si>
  <si>
    <t>Evidence is presented for the notion that some contribution to the recent decadal trends observed in the Southern Hemisphere, including the lack of a strong Southern Ocean surface warming, may have originated from longer-term internal centennial variability originating in the Southern Ocean. The existence of such centennial variability is supported by the instrumental sea surface temperatures (SSTs), a multimillennial reconstruction of Tasmanian summer temperatures from tree rings, and a millennial control integration of the Kiel Climate Model (KCM). The model variability was previously shown to be linked to changes in Weddell Sea deep convection. During phases of deep convection the surface Southern Ocean warms, the abyssal Southern Ocean cools, Antarctic sea ice extent retreats, and the low-level atmospheric circulation over the Southern Ocean weakens. After the halt of deep convection the surface Southern Ocean cools, the abyssal Southern Ocean warms, Antarctic sea ice expands, and the low-level atmospheric circulation over the Southern Ocean intensifies, consistent with what has been observed during the recent decades. A strong sensitivity of the time scale to model formulation is noted. In the KCM, the centennial variability is associated with global-average surface air temperature (SAT) changes of the order of a few tenths of a degree per century. The model results thus suggest that internal centennial variability originating in the Southern Ocean should be considered in addition to other internal variability and external forcing when discussing the climate of the twentieth century and projecting that of the twenty-first century.</t>
  </si>
  <si>
    <t>[Latif, Mojib; Park, Wonsun] Helmholtz Ctr Ocean Res Kiel, Kiel, Germany; [Latif, Mojib] Univ Kiel, Kiel, Germany; [Martin, Torge] Univ Washington, Appl Phys Lab, Polar Sci Ctr, Seattle, WA 98105 USA</t>
  </si>
  <si>
    <t>Helmholtz Association; GEOMAR Helmholtz Center for Ocean Research Kiel; University of Kiel; University of Washington; University of Washington Seattle</t>
  </si>
  <si>
    <t>Latif, M (corresponding author), GEOMAR Helmholtz Ctr Ocean Res Kiel, Res Div Ocean Circulat &amp; Climate Dynam, Dusternbrooker Weg 20, D-24105 Kiel, Germany.</t>
  </si>
  <si>
    <t>mlatif@geomar.de</t>
  </si>
  <si>
    <t>Martin, Torge/H-2613-2017; Park, Wonsun/J-8097-2012; Latif, Mojib/C-2428-2016</t>
  </si>
  <si>
    <t>Park, Wonsun/0000-0002-6345-8428; Martin, Torge/0000-0002-0882-8780; Latif, Mojib/0000-0003-1079-5604</t>
  </si>
  <si>
    <t>German Ministry for Research and Technology (BMBF); European Union [212643]</t>
  </si>
  <si>
    <t>German Ministry for Research and Technology (BMBF)(Federal Ministry of Education &amp; Research (BMBF)); European Union(European Union (EU))</t>
  </si>
  <si>
    <t>The climate model integrations were performed at the Kiel University Computing Centre. NODC WOA98 data were provided by the NOAA/OAR/ESRL PSD, Boulder, Colorado, from their website (http://www.esrl.noaa.gov/psd/). This work was supported by the projects Nordatlantik and RACE of the German Ministry for Research and Technology (BMBF) and European Union's Seventh Framework Programme (FP7/2007-2013) under Grant Agreement 212643 [Thermohaline Overturning at Risk (THOR)].</t>
  </si>
  <si>
    <t>10.1175/JCLI-D-12-00281.1</t>
  </si>
  <si>
    <t>WOS:000324753900029</t>
  </si>
  <si>
    <t>Jullion, L; Garabato, ACN; Meredith, MP; Holland, PR; Courtois, P; King, BA</t>
  </si>
  <si>
    <t>Jullion, Loic; Garabato, Alberto C. Naveira; Meredith, Michael P.; Holland, Paul R.; Courtois, Peggy; King, Brian A.</t>
  </si>
  <si>
    <t>Decadal Freshening of the Antarctic Bottom Water Exported from the Weddell Sea</t>
  </si>
  <si>
    <t>South Atlantic Ocean; Southern Ocean; Ocean circulation; Abyssal circulation; Bottom currents; bottom water; Trends</t>
  </si>
  <si>
    <t>B ICE SHELF; STANDARD SEAWATER; SOUTHERN-OCEAN; DRAKE PASSAGE; DEEP-WATER; LARSEN; DISINTEGRATION; CIRCULATION; COLLAPSE; ABYSSAL</t>
  </si>
  <si>
    <t>Recent decadal changes in Southern Hemisphere climate have driven strong responses from the cryosphere. Concurrently, there has been a marked freshening of the shelf and bottom waters across a wide sector of the Southern Ocean, hypothesized to be caused by accelerated glacial melt in response to a greater flux of warm waters from the Antarctic Circumpolar Current onto the shelves of West Antarctica. However, the circumpolar pattern of changes has been incomplete: no decadal freshening in the deep layers of the Atlantic sector has been observed. In this study, the authors document a significant freshening of the Antarctic Bottom Water exported from the Weddell Sea, which is the source for the abyssal layer of the Atlantic overturning circulation, and trace its possible origin to atmospheric-forced changes in the ice shelves and sea ice on the eastern flank of the Antarctic Peninsula that include an anthropogenic component. These findings suggest that the expansive and relatively cool Weddell gyre does not insulate the bottom water formation regions in the Atlantic sector from the ongoing changes in climatic forcing over the Antarctic region.</t>
  </si>
  <si>
    <t>[Jullion, Loic; Garabato, Alberto C. Naveira; Courtois, Peggy] Univ Southampton, Natl Oceanog Ctr, Southampton, Hants, England; [Meredith, Michael P.; Holland, Paul R.] British Antarctic Survey, Cambridge CB3 0ET, England; [Meredith, Michael P.] Scottish Assoc Marine Sci, Oban, Argyll, Scotland; [King, Brian A.] Natl Oceanog Ctr, Southampton, Hants, England</t>
  </si>
  <si>
    <t>University of Southampton; NERC National Oceanography Centre; UK Research &amp; Innovation (UKRI); Natural Environment Research Council (NERC); NERC British Antarctic Survey; UHI Millennium Institute; NERC National Oceanography Centre</t>
  </si>
  <si>
    <t>Jullion, L (corresponding author), Florida State Univ, Inst Geophys Fluid Dynam, Tallahassee, FL 32306 USA.</t>
  </si>
  <si>
    <t>l.jullion@fsu.edu</t>
  </si>
  <si>
    <t>Garabato, Alberto Naveira/AAQ-1114-2020; Holland, Paul R/G-2796-2012; KIng, Brian/KDN-7191-2024; Jullion, Loic/B-3304-2011</t>
  </si>
  <si>
    <t>Garabato, Alberto Naveira/0000-0001-6071-605X; Meredith, Michael/0000-0002-7342-7756; Jullion, Loic/0000-0001-6269-6750</t>
  </si>
  <si>
    <t>National Environmental Research Council [NE/E01366X/1]; NERC [bas0100028, NE/E013341/1, NE/E01366X/1] Funding Source: UKRI; Natural Environment Research Council [noc010012, NE/E013341/1, NE/E01366X/1, bas0100028] Funding Source: researchfish</t>
  </si>
  <si>
    <t>National Environmental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</si>
  <si>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We thank the National Environmental Research Council for financial support of the Antarctic Deep Rates of Export project (NE/E01366X/1). The SR1b section is a joint effort between the National Oceanography Centre, Southampton (NOCS), and the British Antarctic Survey (BAS) in Cambridge, United Kingdom. Researchers and students from other institutions have also made invaluable contributions to the cruises. The measurements could not have been achieved without the willing cooperation and support of the planning and operations groups at NOCS and BAS. We are grateful to two anonymous reviewers for useful comments, which contributed to improving the quality of the paper. Finally, we gratefully acknowledge the outstanding contribution of the Masters, officers, and crew of RRS James Clark Ross and RRS James Cook.</t>
  </si>
  <si>
    <t>10.1175/JCLI-D-12-00765.1</t>
  </si>
  <si>
    <t>WOS:000325269800023</t>
  </si>
  <si>
    <t>Rafter, PA; DiFiore, PJ; Sigman, DM</t>
  </si>
  <si>
    <t>Rafter, Patrick A.; DiFiore, Peter J.; Sigman, Daniel M.</t>
  </si>
  <si>
    <t>Coupled nitrate nitrogen and oxygen isotopes and organic matter remineralization in the Southern and Pacific Oceans</t>
  </si>
  <si>
    <t>nitrate; isotopes; nitrogen; oxygen; Antarctic; Pacific</t>
  </si>
  <si>
    <t>MERIDIONAL OVERTURNING CIRCULATION; TROPICAL NORTH PACIFIC; EQUATORIAL UNDERCURRENT; MARINE-PHYTOPLANKTON; DINITROGEN FIXATION; DENITRIFIER METHOD; FRESH-WATER; ZONAL JETS; FRACTIONATION; SEAWATER</t>
  </si>
  <si>
    <t>The difference between nitrate N-15 and O-18, or (15-18), is sensitive to organic matter remineralization and tracks the modification of nitrate as it passes from the deep Pacific Ocean, through the Southern Ocean surface, and into the intermediate-depth Pacific. Circumpolar Deep Water (CDW) is upwelled with a nitrate (15-18) of +3.0 and appears unaltered by nitrate assimilation in the Antarctic surface. However, within Subantarctic Mode Water (SAMW)the primary conduit of deep-sea nutrients to the lower latitudesnitrate N-15 and O-18 are both higher than CDW, while nitrate (15-18) is as low as +1.5. The lower SAMW nitrate (15-18) results from the production of low N-15 organic matter during partial assimilation of the surface nitrate pool followed by its sinking and remineralization back to nitrate, lowering the N-15 of thermocline nitrate more than its O-18. As SAMW flows toward the lower latitudes, nitrate (15-18) is expected and observed to increase because complete surface ocean nitrate consumption produces sinking nitrogen with a N-15 similar to that of the nitrate supplied from below such that remineralization lowers the O-18 of nitrate, but not its N-15. Nitrate (15-18) is also used to estimate a surprisingly high low latitude sinking nitrogen N-15 of approximate to 9.0, suggesting a major effect of (NO3-)-N-14 loss by tropical denitrification on middepth nitrate basin-wide. The remineralization of this high sinking nitrogen N-15 increases nitrate (15-18) as deep as the southward-moving Pacific Deep Water, which supplies CDW. This relatively high (15-18) is then lowered to the observed CDW value by the remineralization of Southern Ocean sinking nitrogen with a low N-15.</t>
  </si>
  <si>
    <t>[Rafter, Patrick A.; DiFiore, Peter J.; Sigman, Daniel M.] Princeton Univ, Dept Geosci, Princeton, NJ 08540 USA</t>
  </si>
  <si>
    <t>Princeton University</t>
  </si>
  <si>
    <t>Rafter, PA (corresponding author), Princeton Univ, Dept Geosci, Guyot Hall, Princeton, NJ 08540 USA.</t>
  </si>
  <si>
    <t>prafter@princeton.edu</t>
  </si>
  <si>
    <t>Rafter, Patrick A/I-3301-2012; Sigman, Daniel M./A-2649-2008; Sigman, Daniel M./IYJ-2613-2023</t>
  </si>
  <si>
    <t>Sigman, Daniel M./0000-0002-7923-1973;</t>
  </si>
  <si>
    <t>US NSF [OCE-0447570, ANT-0453680, OCE-1060947, OCE-0960802]; Grand Challenges Program at Princeton University; NSF; NOAA; Division Of Ocean Sciences; Directorate For Geosciences [1060947] Funding Source: National Science Foundation</t>
  </si>
  <si>
    <t>US NSF(National Science Foundation (NSF)); Grand Challenges Program at Princeton University(Princeton University); NSF(National Science Foundation (NSF)); NOAA(National Oceanic Atmospheric Admin (NOAA) - USA); Division Of Ocean Sciences; Directorate For Geosciences(National Science Foundation (NSF)NSF - Directorate for Geosciences (GEO))</t>
  </si>
  <si>
    <t>Funding sources included US NSF grants OCE-0447570, ANT-0453680, OCE-1060947, and OCE-0960802 and funding from the Grand Challenges Program at Princeton University. Sampling and measurements of nutrients and CFCs were performed by the U.S. CLIVAR and CO2 Repeat Hydrography Program, which is funded by NSF and NOAA. We also thank D. Richter and A. Thurber for acquiring the Chilean Margin samples and L. Nicholson and J. Kim for sample preparation. The manuscript benefited from discussions with S. Fawcett, F. Fripiat, J. Granger, and two anonymous reviewers. All figures were made using Ocean Data View [Schlitzer, 2012].</t>
  </si>
  <si>
    <t>10.1002/jgrc.20316</t>
  </si>
  <si>
    <t>WOS:000327380100003</t>
  </si>
  <si>
    <t>Signorini, SR; Mannino, A; Najjar, RG; Friedrichs, MAM; Cai, WJ; Salisbury, J; Wang, ZA; Thomas, H; Shadwick, E</t>
  </si>
  <si>
    <t>Signorini, Sergio R.; Mannino, Antonio; Najjar, Raymond G., Jr.; Friedrichs, Marjorie A. M.; Cai, Wei-Jun; Salisbury, Joe; Wang, Zhaohui Aleck; Thomas, Helmuth; Shadwick, Elizabeth</t>
  </si>
  <si>
    <t>Surface ocean pCO2 seasonality and sea-air CO2 flux estimates for the North American east coast</t>
  </si>
  <si>
    <t>coastal carbon; sea-air CO2 fluxes; North American east coast</t>
  </si>
  <si>
    <t>CONTINENTAL-SHELF; INORGANIC CARBON; UNITED-STATES; SCOTIAN SHELF; GULF; VARIABILITY; WATER; DIOXIDE; ESTUARINE; TRANSPORT</t>
  </si>
  <si>
    <t>Underway and in situ observations of surface ocean pCO(2), combined with satellite data, were used to develop pCO(2) regional algorithms to analyze the seasonal and interannual variability of surface ocean pCO(2) and sea-air CO2 flux for five physically and biologically distinct regions of the eastern North American continental shelf: the South Atlantic Bight (SAB), the Mid-Atlantic Bight (MAB), the Gulf of Maine (GoM), Nantucket Shoals and Georges Bank (NS+GB), and the Scotian Shelf (SS). Temperature and dissolved inorganic carbon variability are the most influential factors driving the seasonality of pCO(2). Estimates of the sea-air CO2 flux were derived from the available pCO(2) data, as well as from the pCO(2) reconstructed by the algorithm. Two different gas exchange parameterizations were used. The SS, GB+NS, MAB, and SAB regions are net sinks of atmospheric CO2 while the GoM is a weak source. The estimates vary depending on the use of surface ocean pCO(2) from the data or algorithm, as well as with the use of the two different gas exchange parameterizations. Most of the regional estimates are in general agreement with previous studies when the range of uncertainty and interannual variability are taken into account. According to the algorithm, the average annual uptake of atmospheric CO2 by eastern North American continental shelf waters is found to be between -3.4 and -5.4 Tg C yr(-1) (areal average of -0.7 to -1.0 mol CO2 m(-2) yr(-1)) over the period 2003-2010.</t>
  </si>
  <si>
    <t>[Signorini, Sergio R.] Sci Applicat Int Corp, Washington, DC USA; [Mannino, Antonio] NASA, Goddard Space Flight Ctr, Ocean Ecol Lab, Greenbelt, MD 20771 USA; [Najjar, Raymond G., Jr.] The Pennsylvania, Dept Meteorol, University Pk, PA USA; [Friedrichs, Marjorie A. M.] Coll William &amp; Mary, Virginia Inst Marine Sci, Gloucester Point, VA USA; [Cai, Wei-Jun] Univ Delaware, Sch Marine Sci &amp; Policy, Newark, DE USA; [Salisbury, Joe] Univ New Hampshire, Inst Study Earth Oceans &amp; Space, Durham, NH 03824 USA; [Wang, Zhaohui Aleck] Woods Hole Oceanog Inst, Dept Marine Chem &amp; Geochem, Woods Hole, MA 02543 USA; [Thomas, Helmuth] Univ Halifax, Dept Oceanog, Halifax, NS, Canada; [Shadwick, Elizabeth] Univ Tasmania, Antarctic Climate &amp; Ecosyst Cooperat Res Ctr, Hobart, Tas, Australia</t>
  </si>
  <si>
    <t>Science Applications International Corporation (SAIC); National Aeronautics &amp; Space Administration (NASA); NASA Goddard Space Flight Center; William &amp; Mary; Virginia Institute of Marine Science; University of Delaware; University System Of New Hampshire; University of New Hampshire; Woods Hole Oceanographic Institution; University of Tasmania; Antarctic Climate &amp; Ecosystems Cooperative Research Centre (ACE CRC)</t>
  </si>
  <si>
    <t>Signorini, SR (corresponding author), NASA, Goddard Space Flight Ctr, Code 616-2,Bldg 28-Rm W168,8800 Greenbelt Rd, Greenbelt, MD 20771 USA.</t>
  </si>
  <si>
    <t>sergio.signorini@nasa.gov</t>
  </si>
  <si>
    <t>Mannino, Antonio/I-3633-2014; Cai, Wei-Jun/C-1361-2013</t>
  </si>
  <si>
    <t>Cai, Wei-Jun/0000-0003-3606-8325; Friedrichs, Marjorie/0000-0003-2828-7595; Shadwick, Elizabeth/0000-0003-4008-3333</t>
  </si>
  <si>
    <t>NASA Ocean Biology and Biogeochemistry program</t>
  </si>
  <si>
    <t>NASA Ocean Biology and Biogeochemistry program(National Aeronautics &amp; Space Administration (NASA))</t>
  </si>
  <si>
    <t>We wish to acknowledge the NASA Ocean Biology and Biogeochemistry program for providing funds for this project. We also want to acknowledge Daniel Tomaso for providing the compiled climatologic data sets for sea surface salinity and mixed layer depth, and Environment Canada for making available the wind data from Sable Island.</t>
  </si>
  <si>
    <t>10.1002/jgrc.20369</t>
  </si>
  <si>
    <t>Bronze, Green Published, Green Accepted</t>
  </si>
  <si>
    <t>WOS:000327380100044</t>
  </si>
  <si>
    <t>Graham, RM; De Boer, AM</t>
  </si>
  <si>
    <t>Graham, Robert M.; De Boer, Agatha M.</t>
  </si>
  <si>
    <t>The Dynamical Subtropical Front</t>
  </si>
  <si>
    <t>subtropical front; Agulhas Leakage; Southern Ocean; wind stress curl; sea surface temperature; sea surface height</t>
  </si>
  <si>
    <t>SOUTHERN-OCEAN FRONTS; INDIAN-OCEAN; AGULHAS LEAKAGE; SYSTEM; CIRCULATION; TOPOGRAPHY; ZONATION; JETS</t>
  </si>
  <si>
    <t>The Southern Ocean Subtropical Front (STF) is thought to play a key role in the global climate system. Theory suggests that the latitude of the STF regulates the volume of saline Agulhas Leakage into the Atlantic Ocean from the Indian. Here we use satellite sea surface temperature (SST) and sea surface height (SSH) data to study the physical characteristics of the STF water mass boundary. We find that the strong currents in this region do not align with the surface water mass boundary. Therefore, we provide a new climatology for these currents which we define as the Dynamical STF (DSTF). The DSTF is the eastward extension of the western boundary current in each basin and is characterized by strong SST and SSH gradients and no seasonal cycle. At the center of each basin it merges with the Sub-Antarctic Front. On the eastern side of basins, the STF surface water mass boundary coincides with a separate region of multiple SST fronts. We call this the Subtropical Frontal Zone (STFZ). The fronts in the STFZ have a large seasonal cycle and no SSH signature. Despite lying close to the same water mass boundary, the DSTF and STFZ are completely unrelated. We therefore suggest the term STF only be used when referring to the surface water mass boundary. When studying the strong currents on the western side of basins the term DSTF is more relevant and, similarly, the term STFZ better describes the region of enhanced SST gradients towards the east.</t>
  </si>
  <si>
    <t>[Graham, Robert M.; De Boer, Agatha M.] Stockholm Univ, Dept Geol Sci, SE-10691 Stockholm, Sweden; [Graham, Robert M.; De Boer, Agatha M.] Stockholm Univ, Bolin Ctr Climate Res, SE-10691 Stockholm, Sweden</t>
  </si>
  <si>
    <t>Stockholm University; Stockholm University</t>
  </si>
  <si>
    <t>Graham, RM (corresponding author), Stockholm Univ, Dept Geol Sci, SE-10691 Stockholm, Sweden.</t>
  </si>
  <si>
    <t>robert.graham@geo.su.se</t>
  </si>
  <si>
    <t>Graham, Robert M./0000-0003-0008-1886</t>
  </si>
  <si>
    <t>Cnes</t>
  </si>
  <si>
    <t>Cnes(Centre National D'etudes Spatiales)</t>
  </si>
  <si>
    <t>The altimeter products were produced by Ssalto/Duacs and distributed by Aviso, with support from Cnes (http://www.aviso.oceanobs.com/duacs/). We would like to thank the Editor and three anonymous reviewers for their helpful comments on this manuscript.</t>
  </si>
  <si>
    <t>10.1002/jgrc.20408</t>
  </si>
  <si>
    <t>WOS:000327380100058</t>
  </si>
  <si>
    <t>Cougnon, EA; Galton-Fenzi, BK; Meijers, AJS; Legrésy, B</t>
  </si>
  <si>
    <t>Cougnon, E. A.; Galton-Fenzi, B. K.; Meijers, A. J. S.; Legresy, B.</t>
  </si>
  <si>
    <t>Modeling interannual dense shelf water export in the region of the Mertz Glacier Tongue (1992-2007)</t>
  </si>
  <si>
    <t>dense shelf water; Mertz glacier tongue; Antarctic bottom water; numerical modeling</t>
  </si>
  <si>
    <t>SEA-ICE; EAST ANTARCTICA; ADELIE LAND; MASS-BALANCE; BOTTOM WATER; CIRCULATION; VARIABILITY; EXCHANGE; BEHAVIOR; POLYNYA</t>
  </si>
  <si>
    <t>Ocean observations around the Australian-Antarctic basin show the importance of coastal latent heat polynyas near the Mertz Glacier Tongue (MGT) to the formation of Dense Shelf Water (DSW) and associated Antarctic Bottom Water (AABW). Here, we use a regional ocean/ice shelf model to investigate the interannual variability of the export of DSW from the Adelie (west of the MGT) and the Mertz (east of the MGT) depressions from 1992 to 2007. The variability in the model is driven by changes in observed surface heat and salt fluxes. The model simulates an annual mean export of DSW through the Adelie sill of about 0.070.06 Sv. From 1992 to 1998, the export of DSW through the Adelie (Mertz) sills peaked at 0.14 Sv (0.29 Sv) during July to November. During periods of mean to strong polynya activity (defined by the surface ocean heat loss), DSW formed in the Adelie depression can spread into the Mertz depression via the cavity under the MGT. An additional simulation, where ocean/ice shelf thermodynamics have been disabled, highlights the fact that models without ocean/ice shelf interaction processes will significantly overestimate rates of DSW export. The melt rates of the MGT are 1.20.4 m yr(-1) during periods of average to strong polynya activity and can increase to 3.81.5 m/yr during periods of sustained weak polynya activity, due to the increased presence of relatively warmer water interacting with the base of the ice shelf. The increased melting of the MGT during a weak polynya state can cause further freshening of the DSW and ultimately limits the production of AABW.</t>
  </si>
  <si>
    <t>[Cougnon, E. A.] Univ Tasmania, CSIRO UTAS Quantitat Marine Sci PhD Program, Inst Marine &amp; Antarctic Studies, Hobart, Tas 7001, Australia; [Cougnon, E. A.] Commonwealth Sci &amp; Ind Res Org, Marine &amp; Atmospher Res, Hobart, Tas, Australia; [Cougnon, E. A.; Galton-Fenzi, B. K.; Legresy, B.] Univ Tasmania, Antarctic Climate &amp; Ecosyst Cooperat Res Ctr, Hobart, Tas 7001, Australia; [Galton-Fenzi, B. K.] Australian Antarctic Div, Kingston, Tas, Australia; [Meijers, A. J. S.] British Antarctic Survey, Cambridge CB3 0ET, England; [Legresy, B.] CNES CNRS UPS IRD, UMR5566, Lab Etud Geophys &amp; Oceanog Spatiales, Toulouse, France</t>
  </si>
  <si>
    <t>University of Tasmania; Commonwealth Scientific &amp; Industrial Research Organisation (CSIRO); Commonwealth Scientific &amp; Industrial Research Organisation (CSIRO); University of Tasmania; Antarctic Climate &amp; Ecosystems Cooperative Research Centre (ACE CRC); Australian Antarctic Division; UK Research &amp; Innovation (UKRI); Natural Environment Research Council (NERC); NERC British Antarctic Survey; Centre National de la Recherche Scientifique (CNRS); CNRS - National Institute for Earth Sciences &amp; Astronomy (INSU); Universite de Toulouse; Universite Toulouse III - Paul Sabatier; Institut de Recherche pour le Developpement (IRD); Laboratoire d'Etudes en Geophysique et oceanographie spatiales</t>
  </si>
  <si>
    <t>Cougnon, EA (corresponding author), Univ Tasmania, CSIRO UTAS Quantitat Marine Sci PhD Program, Inst Marine &amp; Antarctic Studies, Private Bag 129, Hobart, Tas 7001, Australia.</t>
  </si>
  <si>
    <t>eva.cougnon@utas.edu.au</t>
  </si>
  <si>
    <t>Cougnon, Eva/C-4110-2014; legresy, benoit/K-6673-2018</t>
  </si>
  <si>
    <t>Cougnon, Eva/0000-0002-8691-5935; legresy, benoit/0000-0002-1909-1630; Galton-Fenzi, Benjamin Keith/0000-0003-1404-4103</t>
  </si>
  <si>
    <t>Australian Government's Cooperative Research Centres Program through the Antarctic Climate &amp; Ecosystems Cooperative Research Centre (ACE CRC); CNRS through the Laboratoire d'Etude en Geophysique et Oceanographie Spatiale (LEGOS), France; CRACICE project; NERC [bas0100028] Funding Source: UKRI; Natural Environment Research Council [bas0100028] Funding Source: researchfish</t>
  </si>
  <si>
    <t>Australian Government's Cooperative Research Centres Program through the Antarctic Climate &amp; Ecosystems Cooperative Research Centre (ACE CRC)(Australian GovernmentDepartment of Industry, Innovation and ScienceCooperative Research Centres (CRC) Programme); CNRS through the Laboratoire d'Etude en Geophysique et Oceanographie Spatiale (LEGOS), France; CRACICE project; NERC(UK Research &amp; Innovation (UKRI)Natural Environment Research Council (NERC)); Natural Environment Research Council(UK Research &amp; Innovation (UKRI)Natural Environment Research Council (NERC))</t>
  </si>
  <si>
    <t>This work was supported by the Australian Government's Cooperative Research Centres Program through the Antarctic Climate &amp; Ecosystems Cooperative Research Centre (ACE CRC) and by CNRS through the Laboratoire d'Etude en Geophysique et Oceanographie Spatiale (LEGOS), France and the CRACICE project. Computing hours were provided by both the Tasmanian Partnership for Advanced Computing and the Australian National Computing Infrastructure under grant m68. The ROMS code was kindly provided by The ROMS/TOMS Group under the MIT/X License. We thank Simon Marsland (CSIRO, Australia) and Steve Rintoul (CSIRO, Australia), for helpful discussions during the development of the simulation. We also thank Lars Smedsrud (Geophysical Institute, University of Bergen), Scott Springer (Earth &amp; Space Research, Seattle), and an anonymous reviewer for their constructive comments on the manuscript during the reviewing process.</t>
  </si>
  <si>
    <t>10.1002/2013JC008790</t>
  </si>
  <si>
    <t>Green Published, Green Accepted, Bronze</t>
  </si>
  <si>
    <t>WOS:000327380100070</t>
  </si>
  <si>
    <t>Horne, RB; Kersten, T; Glauert, SA; Meredith, NP; Boscher, D; Sicard-Piet, A; Thorne, RM; Li, W</t>
  </si>
  <si>
    <t>Horne, Richard B.; Kersten, Tobias; Glauert, Sarah A.; Meredith, Nigel P.; Boscher, Daniel; Sicard-Piet, Angelica; Thorne, Richard M.; Li, Wen</t>
  </si>
  <si>
    <t>A new diffusion matrix for whistler mode chorus waves</t>
  </si>
  <si>
    <t>chorus; diffusion</t>
  </si>
  <si>
    <t>OUTER RADIATION BELT; RELATIVISTIC ELECTRON MICROBURSTS; VLF CHORUS; RESONANT DIFFUSION; MAGNETOSPHERE; ACCELERATION; EMISSIONS; PRECIPITATION; ENERGIZATION; PROPAGATION</t>
  </si>
  <si>
    <t>Global models of the Van Allen radiation belts usually include resonant wave-particle interactions as a diffusion process, but there is a large uncertainty over the diffusion rates. Here we present a new diffusion matrix for whistler mode chorus waves that can be used in such models. Data from seven satellites are used to construct 3536 power spectra for upper and lower band chorus for 1.5L10 MLT, magnetic latitude 0 degrees|(m)|60 degrees and five levels of K-p. Five density models are also constructed from the data. Gaussian functions are fitted to the spectra and capture typically 90% of the wave power. The frequency maxima of the power spectra vary with L and are typically lower than that used previously. Lower band chorus diffusion increases with geomagnetic activity and is largest between 21:00 and 12:00 MLT. Energy diffusion extends to a few megaelectron volts at large pitch angles &gt;60 degrees and at high energies exceeds pitch angle diffusion at the loss cone. Most electron diffusion occurs close to the geomagnetic equator (&lt;12 degrees). Pitch angle diffusion rates for lower band chorus increase with L and are significant at L=8 even for low levels of geomagnetic activity, while upper band chorus is restricted to mainly L&lt;6. The combined drift and bounce averaged diffusion rates for upper and lower band chorus extend from a few kiloelectron volts near the loss cone up to several megaelectron volts at large pitch angles indicating loss at low energies and net acceleration at high energies.</t>
  </si>
  <si>
    <t>[Horne, Richard B.; Kersten, Tobias; Glauert, Sarah A.; Meredith, Nigel P.] British Antarctic Survey, Cambridge CB3 0ET, England; [Boscher, Daniel; Sicard-Piet, Angelica] French Aerosp Lab, Toulouse, France; [Thorne, Richard M.; Li, Wen] Univ Calif Los Angeles, Dept Atmospher &amp; Ocean Sci, Los Angeles, CA USA</t>
  </si>
  <si>
    <t>UK Research &amp; Innovation (UKRI); Natural Environment Research Council (NERC); NERC British Antarctic Survey; University of California System; University of California Los Angeles</t>
  </si>
  <si>
    <t>Thorne, RM (corresponding author), British Antarctic Survey, Nat Environm Res Council, Madingley Rd, Cambridge CB3 0ET, England.</t>
  </si>
  <si>
    <t>R.Horne@bas.ac.uk</t>
  </si>
  <si>
    <t>Horne, Richard B/U-3764-2019; Meredith, Nigel P/C-5806-2018; Li, Wen/F-3722-2011</t>
  </si>
  <si>
    <t>Horne, Richard B/0000-0002-0412-6407; Meredith, Nigel/0000-0001-5032-3463; Sicard, Angelica/0000-0001-7810-1432</t>
  </si>
  <si>
    <t>European Union [262468, 284520]; Natural Environment Research Council; NASA [NNX11AR64G]; NASA [NNX11AR64G, 137204] Funding Source: Federal RePORTER; NERC [bas0100023] Funding Source: UKRI; Natural Environment Research Council [bas0100023] Funding Source: researchfish</t>
  </si>
  <si>
    <t>European Union(European Union (EU)); Natural Environment Research Council(UK Research &amp; Innovation (UKRI)Natural Environment Research Council (NERC)); NASA(National Aeronautics &amp; Space Administration (NASA)); NASA(National Aeronautics &amp; Space Administration (NASA)); NERC(UK Research &amp; Innovation (UKRI)Natural Environment Research Council (NERC)); Natural Environment Research Council(UK Research &amp; Innovation (UKRI)Natural Environment Research Council (NERC))</t>
  </si>
  <si>
    <t>We thank the NSSDC Omniweb for providing the Kp indices used in this paper. The research leading to these results has received funding from the European Union Seventh Framework Programme (FP7/2007-2013) under grant agreements 262468 (SPACECAST) and 284520 (MAARBLE). We also acknowledge financial support from the Natural Environment Research Council and NASA grant NNX11AR64G, and the International Space Science Institute (ISSI), Bern, Switzerland, for 2 one week meetings in 2011 and 2013.</t>
  </si>
  <si>
    <t>10.1002/jgra.50594</t>
  </si>
  <si>
    <t>WOS:000330180600029</t>
  </si>
  <si>
    <t>Posch, JL; Engebretson, MJ; Witte, AJ; Murr, DL; Lessard, MR; Johnsen, MG; Singer, HJ; Hartinger, MD</t>
  </si>
  <si>
    <t>Posch, J. L.; Engebretson, M. J.; Witte, A. J.; Murr, D. L.; Lessard, M. R.; Johnsen, M. G.; Singer, H. J.; Hartinger, M. D.</t>
  </si>
  <si>
    <t>Simultaneous traveling convection vortex events and Pc1 wave bursts at cusp latitudes observed in Arctic Canada and Svalbard</t>
  </si>
  <si>
    <t>bow shock; traveling convection vortices; ion foreshock; electromagnetic ion cyclotron waves; proton aurora</t>
  </si>
  <si>
    <t>MAGNETIC IMPULSIVE EVENTS; FLUX-TRANSFER EVENTS; HOT FLOW ANOMALIES; SOLAR-WIND; OCCURRENCE STATISTICS; MAGNETOMETER ARRAY; VORTICES; SIGNATURES; MAGNETOSPHERE; PULSATIONS</t>
  </si>
  <si>
    <t>Traveling convection vortices (TCVs), which appear in ground magnetometer records at near-cusp latitudes as solitary similar to 5 mHz pulses, are a signature of dynamical processes in the ion foreshock upstream of the Earth's bow shock that can stimulate transient compressions of the dayside magnetosphere. These compressions can also increase the growth rate of electromagnetic ion cyclotron (EMIC) waves, which appear in ground records at these same latitudes as bursts of Pc1 pulsations. In this study we have identified TCVs and simultaneous Pc1 burst events in two regions, Eastern Arctic Canada and Svalbard, using a combination of fluxgate magnetometers and search coil magnetometers in each region. By looking for the presence of TCVs and Pc1 bursts in two different sequences, we have found that the distribution of Pc1 bursts was more tightly clustered near local noon than that of TCV events, that neither TCVs nor Pc1 bursts were always associated with the other, and even when they occurred simultaneously their amplitudes showed little correlation. Magnetometer data from GOES-12 were also used to characterize the strength of the magnetic compressions at geosynchronous orbit near the magnetic equator. Compressions &gt;2 nT at GOES-12 occurred during 57% of the Canadian TCV events, but during similar to 85% of the simultaneous TCV/Pc1 burst events. There was again little evident correlation between TCV and GOES-12 compression amplitudes. We have also documented unusually low EMIC wave activity during this deep solar minimum interval, and we attribute the low occurrence percentage of combined events in this study to this minimum.</t>
  </si>
  <si>
    <t>[Posch, J. L.; Engebretson, M. J.; Witte, A. J.; Murr, D. L.] Augsburg Coll, Dept Phys, Minneapolis, MN 55454 USA; [Lessard, M. R.] Univ New Hampshire, Ctr Space Sci, Durham, NH 03824 USA; [Johnsen, M. G.] Univ Tromso, Tromso Geophys Observ, Tromso, Norway; [Singer, H. J.] NOAA, Space Weather Predict Ctr, Boulder, CO USA; [Hartinger, M. D.] Univ Michigan, Dept Atmospher Ocean &amp; Space Sci, Ann Arbor, MI 48109 USA</t>
  </si>
  <si>
    <t>Augsburg University; University System Of New Hampshire; University of New Hampshire; UiT The Arctic University of Tromso; National Oceanic Atmospheric Admin (NOAA) - USA; University of Michigan System; University of Michigan</t>
  </si>
  <si>
    <t>Posch, JL (corresponding author), Augsburg Coll, Dept Phys, 2211 Riverside Ave, Minneapolis, MN 55454 USA.</t>
  </si>
  <si>
    <t>posch@augsburg.edu</t>
  </si>
  <si>
    <t>Hartinger, Michael/H-9088-2012</t>
  </si>
  <si>
    <t>Hartinger, Michael/0000-0002-2643-2202</t>
  </si>
  <si>
    <t>NSF [ATM-0827903, ANT-0838917, ANT-0840133, ARC-0806196, ANT-0839938, ANT-0838910, ARC-0806338, AGS-1230398]; Norwegian Research Council; Directorate For Geosciences; Div Atmospheric &amp; Geospace Sciences [0827903, 1202267] Funding Source: National Science Foundation; Office of Polar Programs (OPP); Directorate For Geosciences [1141987] Funding Source: National Science Foundation; Office of Polar Programs (OPP); Directorate For Geosciences [1142045] Funding Source: National Science Foundation</t>
  </si>
  <si>
    <t>NSF(National Science Foundation (NSF)); Norwegian Research Council(Research Council of Norway); Directorate For Geosciences; Div Atmospheric &amp; Geospace Sciences(National Science Foundation (NSF)NSF - Directorate for Geosciences (GEO)); Office of Polar Programs (OPP); Directorate For Geosciences(National Science Foundation (NSF)NSF - Directorate for Geosciences (GEO)); Office of Polar Programs (OPP); Directorate For Geosciences(National Science Foundation (NSF)NSF - Directorate for Geosciences (GEO))</t>
  </si>
  <si>
    <t>This research was supported by NSF grants ATM-0827903, ANT-0838917, ANT-0840133, and ARC-0806196 to Augsburg College, and grants ANT-0839938, ANT-0838910, and ARC-0806338 to the University of New Hampshire. Work by M.D.H. was supported by NSF grant AGS-1230398. The identification of events at Svalbard was performed while M.J.E. was a visitor at the University of Oslo, supported by a grant from the Norwegian Research Council. The Magnetometer Array for Cusp and Cleft Studies (MACCS), Arctic Canada, is operated by Augsburg College. Search coil magnetometers at Iqaluit, Sondrestromfjord, South Pole, Antarctic AGOs, and four sites in Svalbard are operated jointly by Augsburg College and the University of New Hampshire. We thank the institutes who maintain the IMAGE Magnetometer Array. HOR is owned and operated by the Institute of Geophysics of the Polish Academy of Science and NAL and LYR by the Tromso Geophysical Observatory at the University of Tromso, Norway. GOES satellite data are supplied by the Space Weather Prediction Center, NOAA, Boulder, CO. The OMNI data are supplied by OMNIWeb Plus, Space Physics Data Facility, NASA/Goddard Space Flight Center, Greenbelt, MD. We thank Harald Frey for helpful discussions.</t>
  </si>
  <si>
    <t>10.1002/jgra.50604</t>
  </si>
  <si>
    <t>WOS:000330180600033</t>
  </si>
  <si>
    <t>Milan, SE; Grocott, A; de Larquier, S; Lester, M; Yeoman, TK; Freeman, MP; Chisham, G</t>
  </si>
  <si>
    <t>Milan, S. E.; Grocott, A.; de Larquier, S.; Lester, M.; Yeoman, T. K.; Freeman, M. P.; Chisham, G.</t>
  </si>
  <si>
    <t>Traveling ionospheric disturbances in the Weddell Sea Anomaly associated with geomagnetic activity</t>
  </si>
  <si>
    <t>ionosphere; anomaly; waves; SuperDARN</t>
  </si>
  <si>
    <t>ATMOSPHERIC GRAVITY-WAVES; HF RADARS; SUPERDARN</t>
  </si>
  <si>
    <t>We present observations from the Falkland Islands Super Dual Auroral Radar Network radar of the propagation of HF radio waves via the Weddell Sea Ionospheric Anomaly (WSA), a region of enhanced austral summer nighttime ionospheric electron densities covering the southern Pacific and South Americas region. This anomaly is thought to be produced by uplift of the ionosphere by prevailing equatorward thermospheric winds. Of particular interest are perturbations of the WSA-supported propagation, which suggest that during periods of geomagnetic disturbance, the ionospheric layer can be lowered by several tens of kilometers and subsequently recover over a period of 1 to 2h. Perturbations can appear singly or as a train of two to three events. We discuss possible causes of the perturbations and conclude that they are associated with equatorward propagating large-scale atmospheric waves produced by magnetospheric energy deposition in the auroral or subauroral ionosphere. Changes in high/middle latitude electrodynamics during geomagnetic storms may also account for the perturbations, but further modeling is required to fully understand their cause.</t>
  </si>
  <si>
    <t>[Milan, S. E.; Grocott, A.; Lester, M.; Yeoman, T. K.] Univ Leicester, Dept Phys &amp; Astron, Leicester LE1 7RH, Leics, England; [Grocott, A.] Natl Inst Polar Res, Tokyo, Japan; [de Larquier, S.] Virginia Tech, SuperDARN HF Radar Grp, Blacksburg, VA USA; [Freeman, M. P.; Chisham, G.] British Antarctic Survey, Cambridge CB3 0ET, England</t>
  </si>
  <si>
    <t>University of Leicester; Research Organization of Information &amp; Systems (ROIS); National Institute of Polar Research (NIPR) - Japan; Virginia Polytechnic Institute &amp; State University; UK Research &amp; Innovation (UKRI); Natural Environment Research Council (NERC); NERC British Antarctic Survey</t>
  </si>
  <si>
    <t>Milan, SE (corresponding author), Univ Leicester, Dept Phys &amp; Astron, Univ Rd, Leicester LE1 7RH, Leics, England.</t>
  </si>
  <si>
    <t>steve.milan@ion.le.ac.uk</t>
  </si>
  <si>
    <t>Grocott, Adrian/A-9576-2011; Yeoman, Timothy k/L-9105-2014; Lester, Mark/C-9657-2016; Freeman, Mervyn/E-5687-2019</t>
  </si>
  <si>
    <t>Yeoman, Timothy k/0000-0002-8434-4825; Grocott, Adrian/0000-0002-6489-095X; Milan, Steve/0000-0001-5050-9604; Freeman, Mervyn/0000-0002-8653-8279</t>
  </si>
  <si>
    <t>Natural Environment Research Council (NERC), UK [NE/G019665/1]; United States National Science Foundation [AGS-0946900]; national scientific funding agency of Australia; national scientific funding agency of Canada; national scientific funding agency of China; national scientific funding agency of France; national scientific funding agency of Japan; national scientific funding agency of South Africa; national scientific funding agency of United Kingdom; national scientific funding agency of United States of America; NERC [NE/G018707/1, bas0100023, NE/G019665/1] Funding Source: UKRI; STFC [ST/H002480/1] Funding Source: UKRI; Natural Environment Research Council [NE/G018707/1, bas0100023, NE/G019665/1] Funding Source: researchfish; Science and Technology Facilities Council [ST/H002480/1] Funding Source: researchfish</t>
  </si>
  <si>
    <t>Natural Environment Research Council (NERC), UK(UK Research &amp; Innovation (UKRI)Natural Environment Research Council (NERC)); United States National Science Foundation(National Science Foundation (NSF)); national scientific funding agency of Australia; national scientific funding agency of Canada; national scientific funding agency of China; national scientific funding agency of France; national scientific funding agency of Japan; national scientific funding agency of South Africa; national scientific funding agency of United Kingdom; national scientific funding agency of United States of America; NERC(UK Research &amp; Innovation (UKRI)Natural Environment Research Council (NERC)); STFC(UK Research &amp; Innovation (UKRI)Science &amp; Technology Facilities Council (STFC)); Natural Environment Research Council(UK Research &amp; Innovation (UKRI)Natural Environment Research Council (NERC)); Science and Technology Facilities Council(UK Research &amp; Innovation (UKRI)Science &amp; Technology Facilities Council (STFC))</t>
  </si>
  <si>
    <t>S.E.M., A.G., M.L., T.K.Y., M.P.F., G.C., and the Falkland Islands radar were supported by the Natural Environment Research Council (NERC), UK, grant NE/G019665/1. S.d.L. was supported by the United States National Science Foundation under grant AGS-0946900 to Virginia Tech. The authors acknowledge the use of SuperDARN data. SuperDARN is a collection of radars funded by national scientific funding agencies of Australia, Canada, China, France, Japan, South Africa, the United Kingdom, and the United States of America.</t>
  </si>
  <si>
    <t>10.1002/jgra.50566</t>
  </si>
  <si>
    <t>Green Accepted, Green Published</t>
  </si>
  <si>
    <t>WOS:000330180600055</t>
  </si>
  <si>
    <t>Bertoni, FCP; Raulin, JP; Gavilán, HR; Kaufmann, P; Rodriguez, R; Clilverd, M; Cardenas, JS; Fernandez, G</t>
  </si>
  <si>
    <t>Perin Bertoni, Fernando Celso; Raulin, Jean-Pierre; Gavilan, Hernan Rivero; Kaufmann, Pierre; Rodriguez, Rodolfo; Clilverd, Mark; Cardenas, Jorge Samanes; Fernandez, German</t>
  </si>
  <si>
    <t>Lower ionosphere monitoring by the South America VLF Network (SAVNET): C region occurrence and atmospheric temperature variability</t>
  </si>
  <si>
    <t>Ionosphere; VLF technique; Solar monitoring; Upper and lower atmosphere interaction</t>
  </si>
  <si>
    <t>PHASE; LAYER; IONIZATION; FREQUENCY; SUNRISE</t>
  </si>
  <si>
    <t>Daily profiles of phase measurements as observed on fixed VLF paths generally show a transient phase advance, followed by a phase delay, for about 90min after sunrise hours. This is indicative of a reflecting ionospheric C region developing along the terminator line at an altitude below the normal D region. The suggested occurrence of a C region is consistent with rocket measurements made in the 1960s, showing a maximum of the electron density between 64 and 68km, and by radio sounding in the 1980s. In order to correctly describe the properties of the phase effect associated with the presence of a C region, it is important to understand the subionospheric propagation characteristics of the VLF paths. In this paper, we analyze the variations presented by the temporal properties of the VLF narrowband phase effect and determined a parameter associated with the appearance of the C region at sunrise hours observed by receivers from the South America VLF Network. Periodic patterns emerge from the parameter curves. Two distinct temporal behavior regimes can be identified: one exhibiting slow variations between March and October, and another one exhibiting faster variations between October and March. Solar illumination conditions and the geometrical configuration of the VLF paths relative to the sunrise terminator partly explain the slow variation regime. During periods of faster variations, we have observed good association with atmospheric temperature variability found in the measurements of the Thermosphere Ionosphere Mesosphere Energetics and Dynamics and Sounding of the Atmosphere using Broadband Emission Radiometry satellite instrument, which we assume to be related to the winter anomaly atmospheric phenomenon. However, when comparing the parameter time series with temperature curves, no direct one-to-one correspondence was found for transient events.</t>
  </si>
  <si>
    <t>[Perin Bertoni, Fernando Celso; Raulin, Jean-Pierre; Gavilan, Hernan Rivero; Kaufmann, Pierre; Cardenas, Jorge Samanes] Univ Presbiteriana Mackenzie, CRAAM, Escola Engn Eletr, BR-01302907 Sao Paulo, Brazil; [Gavilan, Hernan Rivero] Inst Nacl Pesquisas Espaciais, Minist Ciencia &amp; Tecnol, Sao Paulo, Brazil; [Rodriguez, Rodolfo] Univ Piura, Piura, Peru; [Clilverd, Mark] British Antarctic Survey, Div Phys Sci, Cambridge CB3 0ET, England; [Fernandez, German] Complejo Astron El Leoncito CASLEO, San Juan, PR, Argentina</t>
  </si>
  <si>
    <t>Instituto Nacional de Pesquisas Espaciais (INPE); Universidad de Piura; UK Research &amp; Innovation (UKRI); Natural Environment Research Council (NERC); NERC British Antarctic Survey</t>
  </si>
  <si>
    <t>Bertoni, FCP (corresponding author), Univ Presbiteriana Mackenzie, CRAAM, Escola Engn Eletr, BR-01302907 Sao Paulo, Brazil.</t>
  </si>
  <si>
    <t>fbertoni@craam.mackenzie.br</t>
  </si>
  <si>
    <t>Raulin, Jean-Pierre/A-4109-2015; Rodriguez, Rodolfo/GXH-3933-2022</t>
  </si>
  <si>
    <t>Raulin, Jean-Pierre/0000-0002-7501-3231; Samanes, Jorge/0000-0002-7349-2187; rodriguez, rodolfo/0000-0002-5415-7404</t>
  </si>
  <si>
    <t>Fundacao de Amparo a Pesquisa do Estado de Sao Paulo (FAPESP) [2006/02979-0]; Conselho Nacional de Pesquisas (CNPq) [482000/2011-2]; Centre National de la Recherche Scientifique (CNRS); MackPesquisa Foundation; CNPq; FAPESP [2007/05630-1, 2008/05644]; CNPq [305655/2010-8]; NERC [bas0100023] Funding Source: UKRI; Natural Environment Research Council [bas0100023] Funding Source: researchfish; Fundacao de Amparo a Pesquisa do Estado de Sao Paulo (FAPESP) [06/02979-0, 07/05630-1] Funding Source: FAPESP</t>
  </si>
  <si>
    <t>Fundacao de Amparo a Pesquisa do Estado de Sao Paulo (FAPESP)(Fundacao de Amparo a Pesquisa do Estado de Sao Paulo (FAPESP)); Conselho Nacional de Pesquisas (CNPq)(Conselho Nacional de Desenvolvimento Cientifico e Tecnologico (CNPQ)); Centre National de la Recherche Scientifique (CNRS)(Centre National de la Recherche Scientifique (CNRS)); MackPesquisa Foundation; CNPq(Conselho Nacional de Desenvolvimento Cientifico e Tecnologico (CNPQ)); FAPESP(Fundacao de Amparo a Pesquisa do Estado de Sao Paulo (FAPESP)); CNPq(Conselho Nacional de Desenvolvimento Cientifico e Tecnologico (CNPQ)); NERC(UK Research &amp; Innovation (UKRI)Natural Environment Research Council (NERC)); Natural Environment Research Council(UK Research &amp; Innovation (UKRI)Natural Environment Research Council (NERC)); Fundacao de Amparo a Pesquisa do Estado de Sao Paulo (FAPESP)(Fundacao de Amparo a Pesquisa do Estado de Sao Paulo (FAPESP))</t>
  </si>
  <si>
    <t>The SAVNET project has been partially funded by Fundacao de Amparo a Pesquisa do Estado de Sao Paulo (FAPESP, contract 2006/02979-0), Conselho Nacional de Pesquisas (CNPq, contract 482000/2011-2), Centre National de la Recherche Scientifique (CNRS), and MackPesquisa Foundation. H.R.G. acknowledges the support of funding agency CNPq. F.C.P.B. thanks FAPESP (contracts 2007/05630-1 and 2008/05644). J.P.R. thanks CNPq (contract 305655/2010-8). The authors thank James M. Russell and Martin G. Mlynczak for valuable scientific discussions and for providing the TIMED-SABER data used in this work.</t>
  </si>
  <si>
    <t>10.1002/jgra.50559</t>
  </si>
  <si>
    <t>WOS:000330180600061</t>
  </si>
  <si>
    <t>Cresswell-Moorcock, K; Rodger, CJ; Kero, A; Collier, AB; Clilverd, MA; Häggström, I; Pitkänen, T</t>
  </si>
  <si>
    <t>Cresswell-Moorcock, Kathy; Rodger, Craig J.; Kero, Antti; Collier, Andrew B.; Clilverd, Mark A.; Haggstrom, Ingemar; Pitkanen, Timo</t>
  </si>
  <si>
    <t>A reexamination of latitudinal limits of substorm-produced energetic electron precipitation</t>
  </si>
  <si>
    <t>substorms; electron precipitation; latitudinal limits; POES observations</t>
  </si>
  <si>
    <t>MAGNETOSPHERIC SUBSTORMS; INJECTION; EVOLUTION; DYNAMICS</t>
  </si>
  <si>
    <t>The primary sources of energetic electron precipitation (EEP) which affect altitudes &lt;100km (&gt;30keV) are expected to be from the radiation belts and during substorms. EEP from the radiation belts should be restricted to locations between L=1.5 and 8, while substorm-produced EEP is expected to range from L=4 to 9.5 during quiet geomagnetic conditions. Therefore, one would not expect any significant D region impact due to electron precipitation at geomagnetic latitudes beyond about L=10. In this study we report on large unexpectedly high-latitude D region ionization enhancements, detected by an incoherent scatter radar at L approximate to 16, which appear to be caused by electron precipitation from substorms. We go on to reexamine the latitudinal limits of substorm-produced EEP using data from multiple low-Earth orbiting spacecraft, and demonstrate that the precipitation stretches many hundreds of kilometers poleward of the previously suggested limits. We find that a typical substorm will produce significant EEP over the International Geomagnetic Reference Field L shell range L=4.60.2-14.51.2, peaking at L=6-7. However, there is significant variability from event to event; in contrast to the median case, the strongest 25% of substorms have significant EEP in the range spanning L=4.10.1-20.72.2, while the weakest 25% of substorms have significant EEP in the range spanning L=5.5 +/- 0.1-10.1 +/- 0.7. We also examine the occurrence probability of very large substorms, focusing on those events which appear to be able to disable geostationary satellites when they are located near midnight magnetic local time. On average, these large substorms occur approximately one to six times per year, a significant rate, given the potential impact on satellites.</t>
  </si>
  <si>
    <t>[Cresswell-Moorcock, Kathy; Rodger, Craig J.] Univ Otago, Dept Phys, Dunedin 9016, New Zealand; [Kero, Antti] Univ Oulu, Sodankyla Geophys Observ, Sodankyla, Finland; [Collier, Andrew B.] SANSA Space Sci, Hermanus, South Africa; [Clilverd, Mark A.] British Antarctic Survey NERC, Cambridge, England; [Haggstrom, Ingemar] EISCAT Sci Assoc, Kiruna, Sweden; [Pitkanen, Timo] Univ Oulu, Dept Phys, FIN-90570 Oulu, Finland</t>
  </si>
  <si>
    <t>University of Otago; University of Oulu; UK Research &amp; Innovation (UKRI); Natural Environment Research Council (NERC); NERC British Antarctic Survey; University of Oulu</t>
  </si>
  <si>
    <t>Rodger, CJ (corresponding author), Univ Otago, Dept Phys, Dunedin 9016, New Zealand.</t>
  </si>
  <si>
    <t>Pitkänen, Timo/AGO-2897-2022; Rodger, Craig/A-1501-2011; Collier, Andrew B/H-3752-2011</t>
  </si>
  <si>
    <t>Haggstrom, Ingemar/0000-0003-1070-6915; Rodger, Craig J./0000-0002-6770-2707</t>
  </si>
  <si>
    <t>New Zealand Marsden Fund; Finnish Academy [134439]; Vaisala Foundation; China (CRIRP); Finland (SA); Germany (DFG); Japan (NIPR); Japan (STEL); Norway (NFR); Sweden (VR); UK (NERC); NERC [bas0100023, eiscat01001] Funding Source: UKRI; Natural Environment Research Council [bas0100023, eiscat01001] Funding Source: researchfish; Academy of Finland (AKA) [134439] Funding Source: Academy of Finland (AKA)</t>
  </si>
  <si>
    <t>New Zealand Marsden Fund(Royal Society of New ZealandMarsden Fund (NZ)); Finnish Academy(Research Council of Finland); Vaisala Foundation; China (CRIRP); Finland (SA); Germany (DFG)(German Research Foundation (DFG)); Japan (NIPR); Japan (STEL); Norway (NFR)(Research Council of Norway); Sweden (VR)(Swedish Research Council); UK (NERC)(UK Research &amp; Innovation (UKRI)Natural Environment Research Council (NERC)); NERC(UK Research &amp; Innovation (UKRI)Natural Environment Research Council (NERC)); Natural Environment Research Council(UK Research &amp; Innovation (UKRI)Natural Environment Research Council (NERC)); Academy of Finland (AKA)(Research Council of Finland)</t>
  </si>
  <si>
    <t>K.C.M. and C.J.R. were partly supported by the New Zealand Marsden Fund, while A.K. was supported by Finnish Academy project 134439 and T.P. was supported by the Vaisala Foundation. The authors would like to thank the researchers and engineers of NOAA's Space Environment Centre for the provision of the data and the operation of the SEM-2 instrument carried onboard these spacecraft. For the SuperMAG substorm lists, we gratefully acknowledge the following: Intermagnet; USGS, Jeffrey J. Love; Danish Meteorological Institute; CARISMA, Ian Mann; CANMOS; the S-RAMP Database, K. Yumoto, and K. Shiokawa; the SPIDR database; AARI, Oleg Troshichev; the MACCS program, M. Engebretson, Geomagnetism Unit of the Geological Survey of Canada; GIMA; MEASURE, UCLA IGPP, and Florida Institute of Technology; SAMBA, Eftyhia Zesta; 210 Chain, K. Yumoto; SAMNET, Farideh Honary; the institutes that maintain the IMAGE magnetometer array, Eija Tanskanen; PENGUIN; AUTUMN, Martin Conners; Greenland magnetometers operated by DTU Space; South Pole and McMurdo Magnetometer, Louis J. Lanzarotti and Alan T. Weatherwax; ICESTAR; RAPIDMAG; PENGUIn; British Artarctic Survey; McMac, Peter Chi; BGS, Susan Macmillan; Pushkov Institute of Terrestrial Magnetism, Ionosphere and Radio Wave Propagation (IZMIRAN); SuperMAG, Jesper W. Gjerloev. EISCAT is an international association supported by research organizations in China (CRIRP), Finland (SA), Germany (DFG, till end 2011), Japan (NIPR and STEL), Norway (NFR), Sweden (VR), and the UK (NERC).</t>
  </si>
  <si>
    <t>10.1002/jgra.50598</t>
  </si>
  <si>
    <t>WOS:000330180600062</t>
  </si>
  <si>
    <t>Everatt, MJ; Bale, JS; Convey, P; Worland, MR; Hayward, SAL</t>
  </si>
  <si>
    <t>Everatt, M. J.; Bale, J. S.; Convey, P.; Worland, M. R.; Hayward, S. A. L.</t>
  </si>
  <si>
    <t>The effect of acclimation temperature on thermal activity thresholds in polar terrestrial invertebrates</t>
  </si>
  <si>
    <t>JOURNAL OF INSECT PHYSIOLOGY</t>
  </si>
  <si>
    <t>Climate warming; Supercooling point; Collembola; Mite; Chill coma; Heat coma</t>
  </si>
  <si>
    <t>CLIMATE-CHANGE; DROSOPHILA-MELANOGASTER; CRYPTOPYGUS-ANTARCTICUS; LOCOMOTION PERFORMANCE; PHENOTYPIC PLASTICITY; ARCTIC COLLEMBOLAN; COLD TOLERANCE; CHILL-COMA; MITE; RESPONSES</t>
  </si>
  <si>
    <t>In the Maritime Antarctic and High Arctic, soil microhabitat temperatures throughout the year typically range between -10 and +5 degrees C. However, on occasion, they can exceed 20 degrees C, and these instances are likely to increase and intensify as a result of climate warming. Remaining active under both cool and warm conditions is therefore important for polar terrestrial invertebrates if they are to forage, reproduce and maximise their fitness. In the current study, lower and upper thermal activity thresholds were investigated in the polar Collembola, Megaphorura arctica and Oyptopygus antarcticus, and the mite, Alaskozetes antarcticus. Specifically, the effect of acclimation on these traits was explored. Sub-zero activity was exhibited in all three species, at temperatures as low as -4.6 degrees C in A. antarcticus. At high temperatures, all three species had capacity for activity above 30 degrees C and were most active at 25 degrees C. This indicates a comparable spread of temperatures across which activity can occur to that seen in temperate and tropical species, but with the activity window shifted towards lower temperatures. In all three species following one month acclimation at -2 degrees C, chill coma (=the temperature at which movement and activity cease) and the critical thermal minimum (=low temperature at which coordination is no longer shown) occurred at lower temperatures than for individuals maintained at +4 degrees C (except for the CTmin of M. arctica). Individuals acclimated at +9 degrees C conversely showed little change in their chill coma or CTmin. A similar trend was demonstrated for the heat coma and critical thermal maximum (CTmax) of all species. Following one month at 2 degrees C, the heat coma and CTmax were reduced as compared with +4 degrees C reared individuals, whereas the heat coma and CTmax of individuals acclimated at +9 degrees C showed little adjustment. The data obtained suggest these invertebrates are able to take maximum advantage of the short growing season and have some capacity, in spite of limited plasticity at high temperatures, to cope with climate change. (C) 2013 Elsevier Ltd. All rights reserved.</t>
  </si>
  <si>
    <t>[Everatt, M. J.; Bale, J. S.; Hayward, S. A. L.] Univ Birmingham, Sch Biosci, Birmingham B15 2TT, W Midlands, England; [Convey, P.; Worland, M. R.] British Antarctic Survey, Nat Environm Res Council, Cambridge CB3 0ET, England; [Convey, P.] Univ Malaya, Natl Antarctic Res Ctr, Kuala Lumpur 50603, Malaysia</t>
  </si>
  <si>
    <t>mxe746@bham.ac.uk</t>
  </si>
  <si>
    <t>Natural Environment Research Council [RRBN15266]; British Antarctic Survey; University of Birmingham; NERC [bas0100025] Funding Source: UKRI; Natural Environment Research Council [bas0100025] Funding Source: researchfish</t>
  </si>
  <si>
    <t>Natural Environment Research Council(UK Research &amp; Innovation (UKRI)Natural Environment Research Council (NERC)); British Antarctic Survey; University of Birmingham; NERC(UK Research &amp; Innovation (UKRI)Natural Environment Research Council (NERC)); Natural Environment Research Council(UK Research &amp; Innovation (UKRI)Natural Environment Research Council (NERC))</t>
  </si>
  <si>
    <t>MJE was funded by the Natural Environment Research Council (RRBN15266) and was supported by the British Antarctic Survey and the University of Birmingham. Fieldwork at Rothera was supported by the NERC AFI Collaborative Gearing Scheme (CGS-73). We thank J. Terblanche and an anonymous reviewer for constructive comments on an earlier version. This paper contributes to the BAS 'Polar Science for Planet Earth' and SCAR 'Evolution and Biodiversity in Antarctica' research programmes.</t>
  </si>
  <si>
    <t>0022-1910</t>
  </si>
  <si>
    <t>1879-1611</t>
  </si>
  <si>
    <t>J INSECT PHYSIOL</t>
  </si>
  <si>
    <t>J. Insect Physiol.</t>
  </si>
  <si>
    <t>10.1016/j.jinsphys.2013.08.003</t>
  </si>
  <si>
    <t>Entomology; Physiology; Zoology</t>
  </si>
  <si>
    <t>238AC</t>
  </si>
  <si>
    <t>WOS:000325911800010</t>
  </si>
  <si>
    <t>Livingstone, SJ; Cofaigh, CO; Stokes, CR; Hillenbrand, CD; Vieli, A; Jamieson, SSR</t>
  </si>
  <si>
    <t>Livingstone, Stephen J.; Cofaigh, Colm O.; Stokes, Chris R.; Hillenbrand, Claus-Dieter; Vieli, Andreas; Jamieson, Stewart S. R.</t>
  </si>
  <si>
    <t>Glacial geomorphology of Marguerite Bay Palaeo-Ice stream, western Antarctic Peninsula</t>
  </si>
  <si>
    <t>marine; palaeo-ice stream; glacial geomorphology; Antarctica; bedform variability; geology</t>
  </si>
  <si>
    <t>CONTINENTAL-SLOPE; SEDIMENTARY PROCESSES; SHEET; RETREAT; SHELF; FLOW; MORPHOLOGY; GREENLAND; HOLOCENE; SEA</t>
  </si>
  <si>
    <t>This paper presents a glacial geomorphological map of over 17,000 landforms on the bed of a major palaeo-ice stream in Marguerite Bay, western Antarctic Peninsula. The map was compiled using various geophysical datasets from multiple marine research cruises. Eight glacial landform types are identified: mega-scale glacial lineations, crag-and-tails, whalebacks, gouged, grooved and streamlined bedrock, grounding-zone wedges, subglacial meltwater channels, gullies and channels, and iceberg scours. The map represents one of the most complete marine ice-stream signatures available for scrutiny, and these data hold much potential for reconstructing former ice sheet dynamics, testing numerical ice sheet models, and understanding the formation of subglacial bedforms beneath ice streams. In particular, they record a complex bedform signature of palaeo-ice stream flow and retreat since the last glacial maximum, characterised by considerable spatial variability and strongly influenced by the underlying geology. The map is presented at a scale of 1: 750,000, designed to be printed at A2 size, and encompasses an area of 128,420km(2).</t>
  </si>
  <si>
    <t>[Livingstone, Stephen J.] Univ Sheffield, Dept Geog, Sheffield S10 2TN, S Yorkshire, England; [Cofaigh, Colm O.] Univ Durham, Dept Geog, Durham, England; [Stokes, Chris R.; Vieli, Andreas; Jamieson, Stewart S. R.] Univ Durham, Durham DH1 3LE, England; [Hillenbrand, Claus-Dieter] British Antarctic Survey, Cambridge CB3 0ET, England</t>
  </si>
  <si>
    <t>University of Sheffield; Durham University; Durham University; UK Research &amp; Innovation (UKRI); Natural Environment Research Council (NERC); NERC British Antarctic Survey</t>
  </si>
  <si>
    <t>Livingstone, SJ (corresponding author), Univ Sheffield, Dept Geog, Sheffield S10 2TN, S Yorkshire, England.</t>
  </si>
  <si>
    <t>s.j.livingstone@sheffield.ac.uk</t>
  </si>
  <si>
    <t>Jamieson, Stewart S.R./B-8330-2013; Vieli, Andreas/A-6767-2011; Stokes, Chris/A-1957-2011</t>
  </si>
  <si>
    <t>Jamieson, Stewart S.R./0000-0002-9036-2317; Livingstone, Stephen/0000-0002-7240-5037; Stokes, Chris/0000-0003-3355-1573; Vieli, Andreas/0000-0002-2870-5921</t>
  </si>
  <si>
    <t>NERC [NE/G015430/1]; Natural Environment Research Council [NE/G018677/1, NE/G015430/1, bas0100027, NE/J018333/1] Funding Source: researchfish; NERC [bas0100027, NE/G015430/1, NE/G018677/1, NE/J018333/1] Funding Source: UKRI</t>
  </si>
  <si>
    <t>This work was funded by a NERC standard grant NE/G015430/1. The data is available upon request from the lead author. The authors gratefully acknowledge the comments of two anonymous reviewers that helped improve the paper.</t>
  </si>
  <si>
    <t>10.1080/17445647.2013.829411</t>
  </si>
  <si>
    <t>WOS:000325090600011</t>
  </si>
  <si>
    <t>Trevisiol, A; Bergamasco, A; Montagna, P; Sprovieri, M; Taviani, M</t>
  </si>
  <si>
    <t>Trevisiol, A.; Bergamasco, A.; Montagna, P.; Sprovieri, M.; Taviani, M.</t>
  </si>
  <si>
    <t>Antarctic seawater temperature evaluation based on stable isotope measurements on Adamussium colbecki shells: kinetic effects vs. isotopic equilibrium</t>
  </si>
  <si>
    <t>43rd Joint International Liege Colloquium on Ocean Dynamics / Geotraces-Bonus-GoodHope Meeting</t>
  </si>
  <si>
    <t>MAY 02-06, 2011</t>
  </si>
  <si>
    <t>Liege, BELGIUM</t>
  </si>
  <si>
    <t>Adamussium colbecki; Bivalve; Ross Sea; Antarctic Shelf waters; Stable isotopes; Growth rate; Temperature proxy</t>
  </si>
  <si>
    <t>ROSS SEA; MYTILUS-EDULIS; GROWTH-RATES; BIOLOGICAL CARBONATES; SCALLOP; CALCITE; ARCHIVE; OCEAN; CORALS; RATIOS</t>
  </si>
  <si>
    <t>A year-long controlled growth experiment of 60 specimens of the Antarctic bivalve Adamussium colbecki was conducted in Terra Nova Bay (Ross Sea) to evaluate its reliability as a suitable archive of water mass properties. Nine shells were sub-sampled for stable oxygen and carbon isotope analysis to study the inter and intra specimen variations. Slow-growing A. colbecki precipitate their calcitic shells close to the expected oxygen and carbon isotopic equilibrium, whereas the fast-growing individuals are strongly influenced by biogenetic and kinetic effects. The equation of Kim and O'Neil (1997) is considered a fair approximation for the delta O-18-temperature relationship in slow-growing individuals. The reconstructed temperature is closer to the mean experimental summer temperature than the annual one. This fact is interpreted as reflecting a possible winter decrease of shell growth, the salinity variation and the corrections for negative temperature on calibrating the delta O-18-temperature relationship. Our results support the hypothesis that A. colbecki might represent a good archive for encoding Antarctic Shelf water summer temperature information. Further improvements in adopting A. colbecki as a paleotemperature archive will require the evaluation of the seasonal variability in shell growth rate through culturing slow-growing A. colbecki individuals at near-freezing temperatures to calibrate a species-specific delta O-18-temperature equation. (c) 2012 Elsevier B.V. All rights reserved.</t>
  </si>
  <si>
    <t>[Trevisiol, A.] Univ Siena, Dept Earth Sci, I-53100 Siena, Italy; [Bergamasco, A.] CNR, Inst Marine Sci, I-30122 Venice, Italy; [Montagna, P.; Taviani, M.] CNR, Inst Marine Sci, I-40129 Bologna, Italy; [Montagna, P.] Columbia Univ, Lamont Doherty Earth Observ, Palisades, NY 10964 USA; [Montagna, P.] Lab Sci Climat &amp; Environm, F-91198 Gif Sur Yvette, France; [Sprovieri, M.] CNR, Inst Coastal Marine Environm, I-91021 Torretta Granitola, TP, Italy; [Taviani, M.] Woods Hole Oceanog Inst, Woods Hole, MA 02543 USA</t>
  </si>
  <si>
    <t>University of Siena; Consiglio Nazionale delle Ricerche (CNR); Istituto di Scienze Marine (ISMAR-CNR); Consiglio Nazionale delle Ricerche (CNR); Istituto di Scienze Marine (ISMAR-CNR); Columbia University; CEA; Centre National de la Recherche Scientifique (CNRS); Universite Paris Saclay; Consiglio Nazionale delle Ricerche (CNR); Woods Hole Oceanographic Institution</t>
  </si>
  <si>
    <t>Trevisiol, A (corresponding author), Univ Siena, Dept Earth Sci, Via Laterina 8, I-53100 Siena, Italy.</t>
  </si>
  <si>
    <t>arianna.trevisiol@gmail.com</t>
  </si>
  <si>
    <t>Trevisiol, Arianna/AHE-5296-2022; Montagna, Paolo/H-9632-2015; Sprovieri, Mario/AAY-1021-2020; Taviani, Marco/AAF-2168-2020; CNR, Ismar/P-1247-2014</t>
  </si>
  <si>
    <t>Trevisiol, Arianna/0000-0001-6798-5041; Montagna, Paolo/0000-0001-5598-2214; Taviani, Marco/0000-0003-0414-4274; Bergamasco, Alessandro/0000-0003-3138-8418; SPROVIERI, MARIO/0000-0002-7192-5014; CNR, Ismar/0000-0001-5351-1486</t>
  </si>
  <si>
    <t>10.1016/j.jmarsys.2012.10.012</t>
  </si>
  <si>
    <t>223DT</t>
  </si>
  <si>
    <t>WOS:000324785000005</t>
  </si>
  <si>
    <t>Zika, JD; Sijp, WP; England, MH</t>
  </si>
  <si>
    <t>Zika, Jan D.; Sijp, Willem P.; England, Matthew H.</t>
  </si>
  <si>
    <t>Vertical Heat Transport by Ocean Circulation and the Role of Mechanical and Haline Forcing</t>
  </si>
  <si>
    <t>Meridional overturning circulation; Upwelling; downwelling; Density currents; Thermohaline circulation; Thermodynamics; Coordinate systems</t>
  </si>
  <si>
    <t>WORLD OCEAN; WATER; ATLANTIC</t>
  </si>
  <si>
    <t>Vertical transport of heat by ocean circulation is investigated using a coupled climate model and novel thermodynamic methods. Using a streamfunction in temperature-depth coordinates, cells are identified by whether they are thermally direct (flux heat upward) or indirect (flux heat downward). These cells are then projected into geographical and other thermodynamic coordinates. Three cells are identified in the model: a thermally direct cell coincident with Antarctic Bottom Water, a thermally indirect deep cell coincident with the upper limb of the meridional overturning circulation, and a thermally direct shallow cell coincident with the subtropical gyres at the surface. The mechanisms maintaining the thermally indirect deep cell are investigated. Sinking water within the deep cell is more saline than that which upwells, because of the coupling between the upper limb and the subtropical gyres in a broader thermohaline circulation. Despite the higher salinity of its sinking water, the deep cell transports buoyancy downward, requiring a source of mechanical energy. Experiments run to steady state with increasing Southern Hemisphere westerlies show an increasing thermally indirect circulation. These results suggest that heat can be pumped downward by the upper limb of the meridional overturning circulation through a combination of salinity gain in the subtropics and the mechanical forcing provided by Southern Hemisphere westerly winds.</t>
  </si>
  <si>
    <t>[Zika, Jan D.; Sijp, Willem P.; England, Matthew H.] Univ New S Wales, ARC Ctr Excellence Climate Syst Sci, Sydney, NSW, Australia; [Zika, Jan D.] Univ Southampton, Natl Oceanog Ctr, Southampton SO14 3ZH, Hants, England</t>
  </si>
  <si>
    <t>ARC Centre of Excellence for Climate System Science; University of New South Wales Sydney; University of Southampton; NERC National Oceanography Centre</t>
  </si>
  <si>
    <t>Zika, JD (corresponding author), Univ Southampton, Natl Oceanog Ctr, European Way, Southampton SO14 3ZH, Hants, England.</t>
  </si>
  <si>
    <t>Sijp, Willem P/E-5988-2012; England, Matthew/A-7539-2011</t>
  </si>
  <si>
    <t>England, Matthew/0000-0001-9696-2930; Zika, Jan/0000-0003-3462-3559; Sijp, Willem/0000-0002-5971-3860</t>
  </si>
  <si>
    <t>Australian Research Council; National Environment Research Centre; NERC [NE/I020415/1] Funding Source: UKRI; Natural Environment Research Council [NE/I020415/1] Funding Source: researchfish</t>
  </si>
  <si>
    <t>Australian Research Council(Australian Research Council); National Environment Research Centre; NERC(UK Research &amp; Innovation (UKRI)Natural Environment Research Council (NERC)); Natural Environment Research Council(UK Research &amp; Innovation (UKRI)Natural Environment Research Council (NERC))</t>
  </si>
  <si>
    <t>This work was supported by the Australian Research Council. Jan Zika would like to acknowledge the support of a National Environment Research Centre Fellowship Grant. We thank Andy Hogg, Jonas Nycander, George Nurser, Jonathan Gregory, and an anonymous reviewer for providing helpful comments.</t>
  </si>
  <si>
    <t>10.1175/JPO-D-12-0179.1</t>
  </si>
  <si>
    <t>WOS:000325534400004</t>
  </si>
  <si>
    <t>Sloyan, BM; Wijffels, SE; Tilbrook, B; Katsumata, K; Murata, A; Macdonald, AM</t>
  </si>
  <si>
    <t>Sloyan, Bernadette M.; Wijffels, Susan E.; Tilbrook, Bronte; Katsumata, Katsuro; Murata, Akihiko; Macdonald, Alison M.</t>
  </si>
  <si>
    <t>Deep Ocean Changes near the Western Boundary of the South Pacific Ocean</t>
  </si>
  <si>
    <t>Circulation; Dynamics; Waves; oceanic</t>
  </si>
  <si>
    <t>ABYSSAL; WATER; SEA</t>
  </si>
  <si>
    <t>Repeated occupations of two hydrographic sections in the southwest Pacific basin from the 1990s to 2000s track property changes of Antarctic Bottom Water (AABW). The largest property changeswarming, freshening, increase in total carbon, and decrease in oxygenare found near the basin's deep western boundary between 50 degrees and 20 degrees S. The magnitude of the property changes decreases with increasing distance from the western boundary. At the deep western boundary, analysis of the relative importance of AABW ((n) &gt; 28.1 kg m(-3)) freshening, heating, or isopycnal heave suggests that the deep ocean stratification change is the result of both warming and freshening processes. The consistent deep ocean changes near the western boundary of the southwest Pacific basin dispel the notion that the deep ocean is quiescent. High-latitude climate variability is being directly transmitted into the deep southwest Pacific basin and the global deep ocean through dynamic deep western boundary currents.</t>
  </si>
  <si>
    <t>[Sloyan, Bernadette M.; Wijffels, Susan E.; Tilbrook, Bronte] CSIRO, Ctr Australian Weather &amp; Climate, Hobart, Tas, Australia; [Sloyan, Bernadette M.; Wijffels, Susan E.; Tilbrook, Bronte] CSIRO Wealth Ocean Natl Res Flagship, Hobart, Tas, Australia; [Katsumata, Katsuro; Murata, Akihiko] JAMSTEC, Res Inst Global Change, Yokosuka, Kanagawa, Japan; [Macdonald, Alison M.] Woods Hole Oceanog Inst, Woods Hole, MA 02543 USA</t>
  </si>
  <si>
    <t>Commonwealth Scientific &amp; Industrial Research Organisation (CSIRO); Commonwealth Scientific &amp; Industrial Research Organisation (CSIRO); Japan Agency for Marine-Earth Science &amp; Technology (JAMSTEC); Woods Hole Oceanographic Institution</t>
  </si>
  <si>
    <t>Sloyan, BM (corresponding author), CSIRO Marine &amp; Atmospher Res, GPO 1538, Hobart, Tas 7001, Australia.</t>
  </si>
  <si>
    <t>bernadette.sloyan@csiro.au</t>
  </si>
  <si>
    <t>Tilbrook, Bronte/W-4007-2019; Sloyan, Bernadette/N-8989-2014; Wijffels, Susan E/I-8215-2012; Katsumata, Katsuro/AAR-5034-2020</t>
  </si>
  <si>
    <t>Tilbrook, Bronte/0000-0001-9385-3827; Sloyan, Bernadette/0000-0003-0250-0167; Katsumata, Katsuro/0000-0002-4683-7610; Wijffels, Susan/0000-0002-4717-0811</t>
  </si>
  <si>
    <t>Australian Climate Change Science Program; Department of Climate Change and Energy Efficiency; CSIRO; NOAA [NA110AR4310063]</t>
  </si>
  <si>
    <t>Australian Climate Change Science Program; Department of Climate Change and Energy Efficiency; CSIRO(Commonwealth Scientific &amp; Industrial Research Organisation (CSIRO)); NOAA(National Oceanic Atmospheric Admin (NOAA) - USA)</t>
  </si>
  <si>
    <t>The observational data were collected by Australian, Japanese, and United States nationally funded programs that contribute to GO-SHIP (http://www.go-ship.org). We thank all scientific and ship personnel who enabled the collection of these data. BMS, SEW, and BT were supported by the Australian Climate Change Science Program, funded jointly by the Department of Climate Change and Energy Efficiency and CSIRO. Funding for AM was provided through NOAA Grant NA110AR4310063. The comments of two reviewers greatly improved the manuscript.</t>
  </si>
  <si>
    <t>10.1175/JPO-D-12-0182.1</t>
  </si>
  <si>
    <t>WOS:000325534400006</t>
  </si>
  <si>
    <t>Walker, RT; Holland, DM; Parizek, BR; Alley, RB; Nowicki, SMJ; Jenkins, A</t>
  </si>
  <si>
    <t>Walker, Ryan T.; Holland, David M.; Parizek, Byron R.; Alley, Richard B.; Nowicki, Sophie M. J.; Jenkins, Adrian</t>
  </si>
  <si>
    <t>Efficient Flowline Simulations of Ice Shelf-Ocean Interactions: Sensitivity Studies with a Fully Coupled Model</t>
  </si>
  <si>
    <t>Ice sheets; Ice shelves; Coupled models; Numerical analysis; modeling</t>
  </si>
  <si>
    <t>PINE ISLAND GLACIER; THERMOHALINE CIRCULATION; TURBULENT HEAT; MASS-TRANSFER; WEDDELL SEA; BENEATH; ENTRAINMENT; LEVEL; RADAR; BASE</t>
  </si>
  <si>
    <t>Thermodynamic flowline and plume models for the ice shelf-ocean system simplify the ice and ocean dynamics sufficiently to allow extensive exploration of parameters affecting ice-sheet stability while including key physical processes. Comparison between geophysically and laboratory-based treatments of ice-ocean interface thermodynamics shows reasonable agreement between calculated melt rates, except where steep basal slopes and relatively high ocean temperatures are present. Results are especially sensitive to the poorly known drag coefficient, highlighting the need for additional field experiments to constrain its value. These experiments also suggest that if the ice-ocean interface near the grounding line is steeper than some threshold, further steepening of the slope may drive higher entrainment that limits buoyancy, slowing the plume and reducing melting; if confirmed, this will provide a stabilizing feedback on ice sheets under some circumstances.</t>
  </si>
  <si>
    <t>[Walker, Ryan T.] Univ Maryland, Earth Syst Sci Interdisciplinary Ctr, College Pk, MD 20742 USA; [Walker, Ryan T.; Nowicki, Sophie M. J.] NASA, Goddard Space Flight Ctr, Cryospher Sci Lab, Greenbelt, MD 20771 USA; [Holland, David M.] NYU, Courant Inst Math Sci, New York, NY USA; [Parizek, Byron R.] Penn State Univ, Du Bois, PA USA; [Alley, Richard B.] Penn State Univ, University Pk, PA 16802 USA; [Jenkins, Adrian] British Antarctic Survey, Nat Environm Res Council, Cambridge CB3 0ET, England</t>
  </si>
  <si>
    <t>University System of Maryland; University of Maryland College Park; National Aeronautics &amp; Space Administration (NASA); NASA Goddard Space Flight Center; New York University; Pennsylvania Commonwealth System of Higher Education (PCSHE); Pennsylvania State University; Pennsylvania Commonwealth System of Higher Education (PCSHE); Pennsylvania State University; Pennsylvania State University - University Park; UK Research &amp; Innovation (UKRI); Natural Environment Research Council (NERC); NERC British Antarctic Survey</t>
  </si>
  <si>
    <t>Walker, RT (corresponding author), NASA, Goddard Space Flight Ctr, Code 615,8800 Greenbelt Rd, Greenbelt, MD 20771 USA.</t>
  </si>
  <si>
    <t>ryan.t.walker@nasa.gov</t>
  </si>
  <si>
    <t>NASA [NNX10I04G, NNX12AD03A]; NSF [0909335, 0424589, ARC-0806393, ANT-0732869, ANT-1043395]; NYU Abu Dhabi [G1204]; Office of Polar Programs (OPP); Directorate For Geosciences [0806393] Funding Source: National Science Foundation; Office of Polar Programs (OPP); Directorate For Geosciences [0909335] Funding Source: National Science Foundation; Natural Environment Research Council [bas0100028] Funding Source: researchfish; NERC [bas0100028] Funding Source: UKRI</t>
  </si>
  <si>
    <t>NASA(National Aeronautics &amp; Space Administration (NASA)); NSF(National Science Foundation (NSF)); NYU Abu Dhabi; Office of Polar Programs (OPP); Directorate For Geosciences(National Science Foundation (NSF)NSF - Directorate for Geosciences (GEO)); Office of Polar Programs (OPP); Directorate For Geosciences(National Science Foundation (NSF)NSF - Directorate for Geosciences (GEO)); Natural Environment Research Council(UK Research &amp; Innovation (UKRI)Natural Environment Research Council (NERC)); NERC(UK Research &amp; Innovation (UKRI)Natural Environment Research Council (NERC))</t>
  </si>
  <si>
    <t>RTW, BRP, and RBA were supported by NASA through Grant NNX10I04G. RTW was also supported by NASA Grant NNX12AD03A to ESSIC. BRP and RBA were also supported by NSF through Grant 0909335 and through Grant 0424589 to the Center for Remote Sensing of Ice Sheets (CReSIS). DMH was supported by NSF through Grants ARC-0806393, ANT-0732869, and ANT-1043395, and by NYU Abu Dhabi Grant G1204. We thank the editor and two anonymous reviewers for their contributions to an improved final manuscript.</t>
  </si>
  <si>
    <t>10.1175/JPO-D-13-037.1</t>
  </si>
  <si>
    <t>WOS:000325534400011</t>
  </si>
  <si>
    <t>Turney, C; Fogwill, C; Van Ommen, TD; Moy, AD; Etheridge, D; Rubino, M; Curran, MAJ; Rivera, A</t>
  </si>
  <si>
    <t>Turney, Chris; Fogwill, Chris; Van Ommen, Tas D.; Moy, Andrew D.; Etheridge, David; Rubino, Mauro; Curran, Mark A. J.; Rivera, Andres</t>
  </si>
  <si>
    <t>Late Pleistocene and early Holocene change in the Weddell Sea: a new climate record from the Patriot Hills, Ellsworth Mountains, West Antarctica</t>
  </si>
  <si>
    <t>Blue Ice Area; katabatic winds; Meridional Overturning Circulation; sea ice; Southern Annular Mode; West Antarctic Ice Sheet</t>
  </si>
  <si>
    <t>LAST GLACIAL MAXIMUM; DRONNING MAUD LAND; BLUE-ICE AREA; HORSESHOE VALLEY; ATMOSPHERIC CO2; MASS-BALANCE; CORE; TERMINATION; GREENLAND; SHEET</t>
  </si>
  <si>
    <t>The transition from the late Pleistocene to the Holocene (30 000-5000 years ago) was a period of considerable climate variability, which has been associated with changes in deep water formation and the intensity of the Meridional Overturning Circulation. Although numerous records exist across the North Atlantic region, few Antarctic ice core records have been obtained from the south. Here we exploit the potential of upwelling ancient ice - so-called blue ice areas (BIAs) - from the Patriot Hills in the Ellsworth Mountains to derive the first deuterium isotope record (D) from continental Antarctica south of the Weddell Sea. Gas analysis and glaciological considerations provide a first relative chronology. Inferred temperature trends from the Patriot Hills BIA and snow pit suggest changing climate influences during the transition between the last glacial period and Holocene. Under modern conditions, the interplay between the Antarctic high-pressure system and the Southern Annular Mode appears to play a significant role in controlling katabatic wind flow over the site while the BIA record suggests that greater sea ice extent during the last glacial period was a major control. Our results demonstrate the considerable potential of the Patriot Hills site for reconstructing past climate change in the south Atlantic region.</t>
  </si>
  <si>
    <t>[Turney, Chris; Fogwill, Chris] Univ New S Wales, Sch Biol Earth &amp; Environm Sci, Climate Change Res Ctr, Sydney, NSW 2052, Australia; [Van Ommen, Tas D.; Moy, Andrew D.; Curran, Mark A. J.] Australian Antarctic Div, Dept Environm, Kingston, Tas, Australia; [Van Ommen, Tas D.; Moy, Andrew D.; Curran, Mark A. J.] Univ Tasmania, Antarctic Climate &amp; Ecosyst Cooperat Res Ctr, Hobart, Tas, Australia; [Etheridge, David; Rubino, Mauro] CSIRO Marine &amp; Atmospher Res, Ctr Australian Weather &amp; Climate Res, Aspendale, Vic, Australia; [Rivera, Andres] Ctr Estudios Cient, Glaciol &amp; Climate Change Lab, Valdivia, Chile; [Rivera, Andres] Univ Chile, Dept Geog, Santiago, Chile</t>
  </si>
  <si>
    <t>University of New South Wales Sydney; Australian Antarctic Division; University of Tasmania; Antarctic Climate &amp; Ecosystems Cooperative Research Centre (ACE CRC); Commonwealth Scientific &amp; Industrial Research Organisation (CSIRO); Universidad de Chile</t>
  </si>
  <si>
    <t>Turney, C (corresponding author), Univ New S Wales, Sch Biol Earth &amp; Environm Sci, Climate Change Res Ctr, Sydney, NSW 2052, Australia.</t>
  </si>
  <si>
    <t>c.turney@unsw.edu.au</t>
  </si>
  <si>
    <t>Rubino, Mauro/Q-5578-2016; Etheridge, David M/B-7334-2013; Fogwill, Christopher/HPF-1150-2023; Fogwill, Chris/AAW-3502-2021; van Ommen, Tas/B-5020-2012; Turney, Chris/P-8701-2018</t>
  </si>
  <si>
    <t>Fogwill, Chris/0000-0002-6471-1106; Rubino, Mauro/0000-0002-8721-4508; van Ommen, Tas/0000-0002-2463-1718; Rivera, Andres/0000-0002-2779-4192; Moy, Andrew/0000-0002-7664-9960; Turney, Chris/0000-0001-6733-0993</t>
  </si>
  <si>
    <t>Australian Research Council [FL100100195]; CJF [FT120100004]; Linkage Project undertaken in collaboration with Antarctic Logistics and Expeditions (ALE) [LP120200724]; Australian Government Department of Industry, Innovation, Climate Change, Science, Research and Tertiary Education; Bureau of Meteorology; CSIRO; Australian Research Council [FT120100004, LP120200724] Funding Source: Australian Research Council</t>
  </si>
  <si>
    <t>Australian Research Council(Australian Research Council); CJF; Linkage Project undertaken in collaboration with Antarctic Logistics and Expeditions (ALE); Australian Government Department of Industry, Innovation, Climate Change, Science, Research and Tertiary Education(Australian Government); Bureau of Meteorology(Bureau of Meteorology - Australia); CSIRO(Commonwealth Scientific &amp; Industrial Research Organisation (CSIRO)); Australian Research Council(Australian Research Council)</t>
  </si>
  <si>
    <t>This work was funded through the Australian Research Council as part of CSMT's Laureate Fellowship (FL100100195), CJF Futures Fellowship (FT120100004) and a Linkage Project undertaken in collaboration with Antarctic Logistics and Expeditions (ALE) (LP120200724). Support was also provided by the Australian Government Department of Industry, Innovation, Climate Change, Science, Research and Tertiary Education, the Bureau of Meteorology and CSIRO through the Australian Climate Change Science Program. A. R. thanks the team of scientists and logistic supporters who collaborated with radar data acquisition at Patriot Hills. Many thanks to Paul Mayewski and Spruce Schoenemann who made many valuable comments on an earlier draft.</t>
  </si>
  <si>
    <t>10.1002/jqs.2668</t>
  </si>
  <si>
    <t>WOS:000328486500003</t>
  </si>
  <si>
    <t>Xavier, JC; Barbosa, A; Agustí, S; Alonso-Sáez, L; Alvito, P; Ameneiro, J; Avila, C; Baeta, A; Canário, J; Carmona, R; Catry, P; Ceia, F; Clark, MS; Cristobo, FJ; Cruz, B; Duarte, CM; Figuerola, B; Gili, JM; Gonçlves, AR; Gordillo, FJL; Granadeiro, JP; Guerreiro, M; Isla, E; Jiménez, C; López-González, PJ; Lourenço, S; Marques, JC; Moreira, E; Mota, AM; Nogueira, M; Núñez-Pons, L; Orejas, C; Paiva, VH; Palanques, A; Pearson, GA; Pedrós-Alió, C; Cantero, ALP; Power, DM; Ramos, JA; Rossi, S; Seco, J; Sañé, E; Serrao, EA; Taboada, S; Tavares, S; Teixidó, N; Vaqué, D; Valente, T; Vázquez, E; Vieira, RP; Viñegla, B</t>
  </si>
  <si>
    <t>Xavier, Jose C.; Barbosa, Andres; Agusti, Susana; Alonso-Saez, Laura; Alvito, Pedro; Ameneiro, Julia; Avila, Conxita; Baeta, Alexandra; Canario, Joao; Carmona, Raquel; Catry, Paulo; Ceia, Filipe; Clark, Melody S.; Cristobo, Francisco J.; Cruz, Bruno; Duarte, Carlos M.; Figuerola, Blanca; Gili, Josep-Maria; Goncalves, Ana R.; Gordillo, Francisco J. L.; Granadeiro, Jose P.; Guerreiro, Miguel; Isla, Enrique; Jimenez, Carlos; Lopez-Gonzalez, Pablo J.; Lourenco, Silvia; Marques, Joao C.; Moreira, Elena; Mota, Ana M.; Nogueira, Marta; Nunez-Pons, Laura; Orejas, Covadonga; Paiva, Vitor H.; Palanques, Albert; Pearson, Gareth A.; Pedros-Alio, Carlos; Cantero, Alvaro L. Pena; Power, Deborah M.; Ramos, Jaime A.; Rossi, Sergi; Seco, Jose; Sane, Elisabet; Serrao, Ester A.; Taboada, Sergi; Tavares, Silvia; Teixido, Nuria; Vaque, Dolors; Valente, Tiago; Vazquez, Elsa; Vieira, Rui P.; Vinegla, Benjamin</t>
  </si>
  <si>
    <t>Polar marine biolog science in Portugal and Spain: Recent advances and future perspectives</t>
  </si>
  <si>
    <t>Polar science; Arctic; Antarctic; Marine biology; Portugal; Spain</t>
  </si>
  <si>
    <t>CUCUMBER STAUROCUCUMIS LIOUVILLEI; DOWNWARD PARTICLE FLUXES; SHALLOW ANTARCTIC WATERS; SOUTH SHETLAND ISLANDS; KING-GEORGE ISLAND; SEASONAL-VARIATION; NATURAL-PRODUCTS; TRITERPENE GLYCOSIDES; INVERTEBRATE LARVAE; CARBONIC-ANHYDRASE</t>
  </si>
  <si>
    <t>Polar marine ecosystems have global ecological and economic importance because of their unique biodiversity and their major role in climate processes and commercial fisheries, among others. Portugal and Spain have been highly active in a wide range of disciplines in marine biology of the Antarctic and the Arctic. The main aim of this paper is to provide a synopsis of some of the results and initiatives undertaken by Portuguese and Spanish polar teams within the field of marine sciences, particularly on benthic and pelagic biodiversity (species diversity and abundance, including microbial, molecular, physiological and chemical mechanisms in polar organisms), conservation and ecology of top predators (particularly penguins, albatrosses and seals), and pollutants and evolution of marine organisms associated with major issues such as climate change, ocean acidification and UV radiation effects. Both countries have focused their polar research more in the Antarctic than in the Arctic. Portugal and Spain should encourage research groups to continue increasing their collaborations with other countries and develop multi-disciplinary research projects, as well as to maintain highly active memberships within major organizations, such as the Scientific Committee for Antarctic Research (SCAR), the International Arctic Science Council (IASC) and the Association of Polar Early Career Scientists (APECS), and in international research projects. (C) 2013 Elsevier B.V. All rights reserved.</t>
  </si>
  <si>
    <t>[Xavier, Jose C.; Alvito, Pedro; Baeta, Alexandra; Ceia, Filipe; Cruz, Bruno; Goncalves, Ana R.; Guerreiro, Miguel; Lourenco, Silvia; Marques, Joao C.; Paiva, Vitor H.; Ramos, Jaime A.; Seco, Jose; Valente, Tiago; Vieira, Rui P.] Univ Coimbra, Inst Marine Res IMAR CMA, Dept Life Sci, P-3001401 Coimbra, Portugal; [Xavier, Jose C.; Clark, Melody S.] British Antarctic Survey, NERC, Cambridge CB3 0ET, England; [Barbosa, Andres] Dept Ecol Evolutiva, Museo Nacl Ciencias Natur, CSIC, Madrid 28006, Spain; [Agusti, Susana; Duarte, Carlos M.] Inst Mediterraneo Estudios Avanzados, IMEDEA CSIC UIB, Mallorca 07190, Spain; [Agusti, Susana; Duarte, Carlos M.] Univ Western Australia, UWA Oceans Inst, Crawley 6009, Australia; [Agusti, Susana; Duarte, Carlos M.] Univ Western Australia, Sch Plant Biol, Crawley 6009, Australia; [Alonso-Saez, Laura; Gili, Josep-Maria; Isla, Enrique; Palanques, Albert; Pedros-Alio, Carlos; Sane, Elisabet; Teixido, Nuria; Vaque, Dolors] Inst Ciencias Mar CSIC, Barcelona 08003, Spain; [Ameneiro, Julia; Vazquez, Elsa] Univ Vigo, Dept Ecoloxia &amp; Bioloxia Anim, Fac Ciencias Mar, Vigo 36200, Spain; [Avila, Conxita; Figuerola, Blanca; Nunez-Pons, Laura; Rossi, Sergi] Univ Barcelona, Fac Biol, Dept Biol Anim Invertebrats, Barcelona 08028, Catalunya, Spain; [Avila, Conxita; Figuerola, Blanca] Biodivers Res Inst IrBIO, Barcelona 08028, Catalunya, Spain; [Canario, Joao; Nogueira, Marta] IPMA IP, P-1449006 Lisbon, Portugal; [Carmona, Raquel; Gordillo, Francisco J. L.; Jimenez, Carlos; Moreira, Elena] Univ Malaga, Dept Ecol, Malaga 29071, Spain; [Catry, Paulo] ISPA, EcoEthol Res Unit, P-1149041 Lisbon, Portugal; [Cristobo, Francisco J.] Ctr Oceanog Gijon, IEO, Gijon 33212, Asturias, Spain; [Granadeiro, Jose P.; Vieira, Rui P.] Univ Aveiro, CESAM, P-3810193 Aveiro, Portugal; [Lopez-Gonzalez, Pablo J.] Univ Seville, Dept Fisiol &amp; Zool, Fac Biol, E-41012 Seville, Spain; [Lourenco, Silvia] Univ Lisbon, Ctr Oceanog, Lab Maritimo Guia, Fac Ciencias, P-2750374 Cascais, Portugal; [Mota, Ana M.] Univ Tecn Lisboa, CQE, Inst Super Tecn, P-1049001 Lisbon, Portugal; [Orejas, Covadonga] Ctr Oceanog Baleares, Inst Espanol Oceanog, Palma De Mallorca 07015, Spain; [Pearson, Gareth A.; Power, Deborah M.; Serrao, Ester A.] Univ Algarve, Ctr Marine Sci CCMAR, P-8005139 Faro, Portugal; [Cantero, Alvaro L. Pena] Univ Valencia, Inst Cavanilles Biodiversidad &amp; Biol Evolutiva, Valencia 46980, Spain; [Rossi, Sergi] Ambientals Univ Autonoma Barcelona, Inst Ciencia Tecnologia, Cerdanyola Del Valles 08193, Spain; [Tavares, Silvia] Univ Coimbra, Ctr Funct Ecol, Dept Life Sci, P-3001401 Coimbra, Portugal; [Vieira, Rui P.] Univ Aveiro, Dept Biol, P-3810193 Aveiro, Portugal; [Vinegla, Benjamin] Univ Jaen, Dept Biol Anim Biol Vegetal &amp; Ecol, Jaen 23071, Spain</t>
  </si>
  <si>
    <t>Universidade de Coimbra; UK Research &amp; Innovation (UKRI); Natural Environment Research Council (NERC); NERC British Antarctic Survey; Consejo Superior de Investigaciones Cientificas (CSIC); CSIC - Museo Nacional de Ciencias Naturales (MNCN); Universitat de les Illes Balears; Consejo Superior de Investigaciones Cientificas (CSIC); ATTITUS Educacao; University of Western Australia; University of Western Australia; Consejo Superior de Investigaciones Cientificas (CSIC); CSIC - Centro Mediterraneo de Investigaciones Marinas y Ambientales (CMIMA); CSIC - Instituto de Ciencias del Mar (ICM); Universidade de Vigo; University of Barcelona; Instituto Portugues do Mar e da Atmosfera; Universidad de Malaga; Instituto Superior Psicologia Aplicada (ISPA); Spanish Institute of Oceanography; Universidade de Aveiro; University of Sevilla; Universidade de Lisboa; Universidade de Lisboa; Spanish Institute of Oceanography; Universidade do Algarve; University of Valencia; Universidade de Coimbra; Universidade de Aveiro; Universidad de Jaen</t>
  </si>
  <si>
    <t>Xavier, JC (corresponding author), Univ Coimbra, Inst Marine Res IMAR CMA, Dept Life Sci, P-3001401 Coimbra, Portugal.</t>
  </si>
  <si>
    <t>jccx@cantab.net</t>
  </si>
  <si>
    <t>Ramos, Jaime A./B-6616-2018; Taboada, Sergi/AAB-9390-2021; Marques, João Carlos/L-9478-2014; Serrao, Ester A/C-6686-2012; Figuerola, Blanca/C-6252-2015; Lourenço, sílvia/C-7744-2019; Agusti, Susana/G-2864-2017; Paiva, Vitor Hugo/GRX-9179-2022; Canário, João/O-7189-2019; Jimenez, Carlos/H-8435-2015; Lopez-González, Pablo J./Y-6440-2018; Vieira, Rui/R-6881-2019; Seco, José/AAS-4612-2020; Power, Deborah M/D-3333-2011; Gordillo, Francisco/H-8524-2015; Vázquez, Elsa/D-7082-2013; Xavier, José/KFB-6739-2024; Paiva, Vitor H./J-1092-2019; Cristobo, Javier/M-1949-2014; Cantero, Álvaro Luis Peña/F-7888-2016; Avila, Conxita/B-9466-2008; Carmona, Raquel/ABH-6936-2020; Granadeiro, José Pedro/E-8060-2011; Alonso-Saez, Laura/M-2744-2014; Canário, João/B-1193-2008; Orejas, Covadonga/B-1644-2012; Palanques, Albert/C-2661-2013; Guerreiro, Miguel/D-8651-2015; Barbosa, Tiago M./ABE-6789-2020; Mota, Ana/JBS-4609-2023; Duarte, Carlos M/A-7670-2013; Duarte Quesada, Carlos Manuel/ABD-6208-2021; Viñegla, Benjamin/A-4947-2012; Vieira, Rui Pedro/G-1738-2012; Ceia, Filipe R./A-2196-2012; Barbosa, Andrés/C-3208-2008; Viñegla, Benjamin/JAN-7306-2023; Pearson, Gareth A/J-3911-2013; sane, elisabet/AAT-4775-2020; Vaque, Dolors/H-6973-2018; Catry, Paulo/I-5408-2013; Tavares, Silvia/M-5198-2013; Clark, Melody/D-7371-2014; Nogueira, Marta/B-4079-2008; Mota, Ana Maria/K-2363-2012; Pedros-Alio, Carlos/H-1222-2011; Baeta, Alexandra/Q-6704-2018</t>
  </si>
  <si>
    <t>Ramos, Jaime A./0000-0002-9533-987X; Taboada, Sergi/0000-0003-1669-1152; Marques, João Carlos/0000-0001-8865-8189; Serrao, Ester A/0000-0003-1316-658X; Figuerola, Blanca/0000-0003-4731-9337; Lourenço, sílvia/0000-0003-4426-0894; Agusti, Susana/0000-0003-0536-7293; Canário, João/0000-0002-5190-446X; Lopez-González, Pablo J./0000-0002-7348-6270; Seco, José/0000-0002-7957-6488; Power, Deborah M/0000-0003-1366-0246; Gordillo, Francisco/0000-0003-1302-7213; Paiva, Vitor H./0000-0001-6368-9579; Avila, Conxita/0000-0002-5489-8376; Carmona, Raquel/0000-0002-9656-3195; Granadeiro, José Pedro/0000-0002-7207-3474; Canário, João/0000-0002-5190-446X; Guerreiro, Miguel/0000-0002-0735-9812; Barbosa, Tiago M./0000-0001-7071-2116; Duarte, Carlos M/0000-0002-1213-1361; Viñegla, Benjamin/0000-0002-3768-9118; Vieira, Rui Pedro/0000-0001-8491-2565; Ceia, Filipe R./0000-0002-5470-5183; Barbosa, Andrés/0000-0001-8434-3649; Pearson, Gareth A/0000-0002-0768-464X; , elisabet/0000-0001-5719-5468; Vaque, Dolors/0000-0002-0420-5914; Catry, Paulo/0000-0003-3000-0522; Orejas Saco del Valle, Covadonga/0000-0002-2580-1002; Palanques, Albert/0000-0003-2544-2342; Teixido, Nuria/0000-0001-9286-2852; Tavares, Silvia/0000-0002-5789-1014; Rossi, Sergio/0000-0003-4402-3418; Clark, Melody/0000-0002-3442-3824; Vazquez, Elsa/0000-0003-0782-4734; Nogueira, Marta/0000-0001-8462-3288; /0000-0002-9621-6660; Goncalves, Rita/0009-0005-9039-9581; Mota, Ana Maria/0000-0003-2999-5761; Pedros-Alio, Carlos/0000-0003-1009-4277; Isla, Enrique/0000-0003-4959-6936; Baeta, Alexandra/0000-0001-9898-9096; Pena Cantero, Alvaro/0000-0003-3056-6673; Lourenco, Silvia/0000-0002-0677-9006</t>
  </si>
  <si>
    <t>Portuguese and Spanish Ministries of Science; European Union; Fundacao para a Ciencia e a Tecnologia (Portugal); Portuguese Polar Program PROPOLAR; Spanish Ministerio de Ciencia e Innovacion [POL2006-06399, CGI2007-65453/ANT, CTM2010-17415/ANT CLG2007-28872-E/ANT BOREAL, REN2002-11565-E/ANT CASES-2003/4]; DURSI [2003ACES 00029]; Generalitat de Catalunya, TEMPANO [REN2001-0588/ANT]; ESEPAC [ANT97-0273]; ICEPOS [REN2002-04165-0O3-02/ANT]; ATOS [POL2006-00550/CTM]; Ministerio de Ciencia e Innovacion of Spain and the Fondo Europeo de Desarrollo Regional (FEDER), projects [CGL2007-64149/ANT, CTM2011-24007, REN2001-5004/ANT, CGL2004-01348, P012006-05175, CGL2007-60369, CTM2009-08154-E, CTM201124427]; European Development Regional Fund; Fundação para a Ciência e a Tecnologia [PRT/BD/154271/2022, PTDC/MAR/099366/2008] Funding Source: FCT; NERC [bas0100025] Funding Source: UKRI; Natural Environment Research Council [bas0100025] Funding Source: researchfish</t>
  </si>
  <si>
    <t>Portuguese and Spanish Ministries of Science; European Union(European Union (EU)); Fundacao para a Ciencia e a Tecnologia (Portugal)(Fundacao para a Ciencia e a Tecnologia (FCT)); Portuguese Polar Program PROPOLAR; Spanish Ministerio de Ciencia e Innovacion(Instituto de Salud Carlos IIISpanish Government); DURSI; Generalitat de Catalunya, TEMPANO(Generalitat de Catalunya); ESEPAC; ICEPOS; ATOS; Ministerio de Ciencia e Innovacion of Spain and the Fondo Europeo de Desarrollo Regional (FEDER), projects; European Development Regional Fund; Fundação para a Ciência e a Tecnologia(Fundacao para a Ciencia e a Tecnologia (FCT)); NERC(UK Research &amp; Innovation (UKRI)Natural Environment Research Council (NERC)); Natural Environment Research Council(UK Research &amp; Innovation (UKRI)Natural Environment Research Council (NERC))</t>
  </si>
  <si>
    <t>The research described here was mainly funded by the Portuguese and Spanish Ministries of Science and by the European Union. We would like to thank Angel Borja for their organization of the SIEBM conference in San Sebastian and all colleagues that were actively involved in conducting marine polar research in Portugal and Spain,. including those that reviewed drafts of the manuscript. We also acknowledge Ana Quartin and Sonia Mendes da Silva of the Polar Office of the Fundacao para a Ciencia e a Tecnologia, the captain and crew of the CCGS Amundsen for their help during cruises CASES and IPY-CFL, L. Fortier and D. Barber and all the scientists who participated and helped on board, W. Arntz for participating in cruises in the R/V Polarstern, RN Hesperides (Spain), and RN Jan Mayen (Univ. Tromso, Norway) and having access to experimental facilities at Svalbard University, and Christian Wiencke and the Alfred Wegener Institut for polar and marine research collaborative work. We also thank the logistic support of the Marine Technology Unit (CSIC), polar ship Las Palmas, polar ship Hesperides, Spanish Antarctic base Gabriel de Castilla, Spanish Antarctic base Juan Carlos I, Byers international Refuge, Argentinean Antarctic base Carlini, Spanish Polar Committee and the Argentinean Antarctic Institute. The work was supported by the Fundacao para a Ciencia e a Tecnologia (Portugal), iricluding its Ciencia program, by the Portuguese Polar Program PROPOLAR and by several grants, including the projects PTDC/MAR/099366/2008 and Pest-OE/MAR/UI0331/2011. Spanish polar research was funded by the Spanish Ministerio de Ciencia e Innovacion grants POL2006-06399, CGI2007-65453/ANT, CTM2010-17415/ANT CLG2007-28872-E/ANT BOREAL and REN2002-11565-E/ANT CASES-2003/4, grant 2003ACES 00029 from DURSI, Generalitat de Catalunya, TEMPANO (REN2001-0588/ANT) to Dolors Vague; ESEPAC (ANT97-0273) to Susana Agusti, ICEPOS (REN2002-04165-0O3-02/ANT), ATOS (2006-2009) POL2006-00550/CTM to Carlos M. Duarte; and Arctic Tipping Points (ATP, contract #226248) from the European Union to Paul F. Wassmann, BREDDIES Project (REN2001-2650/ANT), COUPLING Project (CTM2008-06343-0O2-02) sponsored by the Spanish Ministry of Science and Technology, Xunta de Galicia-FEDER (2010/87) by the Conselleria de Educacion, Xunta de Galicia (CTM2009-11128ANT) funded by the Ministerio de Ciencia e Innovacion of Spain and the Fondo Europeo de Desarrollo Regional (FEDER), projects CGL2007-64149/ANT and CTM2011-24007, projects REN2001-5004/ANT, CGL2004-01348, P012006-05175, CGL2007-60369, CTM2009-08154-E and CTM201124427 and the European Development Regional Fund (that contributed to the International Polar Year project Birdhealth and PINGUCLIM project).</t>
  </si>
  <si>
    <t>10.1016/j.seares.2013.05.013</t>
  </si>
  <si>
    <t>WOS:000327916900002</t>
  </si>
  <si>
    <t>Kim, SI; Kim, HC; Shin, JI; Hong, SG</t>
  </si>
  <si>
    <t>Kim, Sang-il; Kim, Hyun-cheol; Shin, Jung-il; Hong, Soon-gu</t>
  </si>
  <si>
    <t>Land-Cover Classification of Barton Peninsular around King Sejong station located in the Antarctic using KOMPSAT-2 Satellite Imagery</t>
  </si>
  <si>
    <t>KOREAN JOURNAL OF REMOTE SENSING</t>
  </si>
  <si>
    <t>Remote Sensing; King Sejong Station; KOMPSAT-2; Land-cover; classification</t>
  </si>
  <si>
    <t>Baton Peninsula, where Sejong station is located, mainly covered with snow and vegetation. Because this area is sensitive to climate change, monitoring of surface variation is important to understand climate change on the polar region. Due to the inaccessibility, the remote sensing is useful to continuously monitor the area. The objectives of this research are 1) map classification of land-cover types in the Barton Peninsular around King Sejong station and 2) grasp distribution of vegetation species in classified area. A KOMPSAT-2 multispectral satellite image was used to classify land-cover types and vegetation species. We performed classification with hierarchical procedure using KOMPSAT-2 satellite image and ground reference data, and the result is evaluated for accuracy as well. As the results, vegetation and non-vegetation were clearly classified although species shown lower accuracies within vegetation class.</t>
  </si>
  <si>
    <t>[Kim, Sang-il; Kim, Hyun-cheol; Shin, Jung-il; Hong, Soon-gu] KIOST, Korea Polar Res Inst, Seoul, South Korea</t>
  </si>
  <si>
    <t>Korea Polar Research Institute (KOPRI); Korea Institute of Ocean Science &amp; Technology (KIOST)</t>
  </si>
  <si>
    <t>Kim, SI (corresponding author), KIOST, Korea Polar Res Inst, Seoul, South Korea.</t>
  </si>
  <si>
    <t>kimhc@kopri.re.kr</t>
  </si>
  <si>
    <t>Kim, Hyun-Cheol/AAP-1250-2020; Shin, Jung-il/AAE-9658-2019</t>
  </si>
  <si>
    <t>Kim, Hyun-Cheol/0000-0002-6831-9291; Shin, Jung-il/0000-0002-6133-507X</t>
  </si>
  <si>
    <t>KOREAN SOC REMOTE SENSING</t>
  </si>
  <si>
    <t>KOREAN SOC REMOTE SENSING, SEOUL, 00000, SOUTH KOREA</t>
  </si>
  <si>
    <t>1225-6161</t>
  </si>
  <si>
    <t>2287-9307</t>
  </si>
  <si>
    <t>KOREAN J REMOTE SENS</t>
  </si>
  <si>
    <t>Korean J. Remote Sensing</t>
  </si>
  <si>
    <t>10.7780/kjrs.2013.29.5.9</t>
  </si>
  <si>
    <t>VA6SU</t>
  </si>
  <si>
    <t>WOS:000410224500009</t>
  </si>
  <si>
    <t>Jessopp, MJ; Cronin, M; Doyle, TK; Wilson, M; McQuatters-Gollop, A; Newton, S; Phillips, RA</t>
  </si>
  <si>
    <t>Jessopp, Mark J.; Cronin, Michelle; Doyle, Thomas K.; Wilson, Mark; McQuatters-Gollop, Abigail; Newton, Stephen; Phillips, Richard A.</t>
  </si>
  <si>
    <t>Transatlantic migration by post-breeding puffins: a strategy to exploit a temporarily abundant food resource?</t>
  </si>
  <si>
    <t>CAPELIN MALLOTUS-VILLOSUS; PLANKTON RECORDER DATA; FRATERCULA-ARCTICA; PROXIMATE COMPOSITION; NORTHWEST ATLANTIC; MOVEMENT PATTERNS; PELAGIC SEABIRD; PACIFIC-OCEAN; MARINE BIRDS; NEWFOUNDLAND</t>
  </si>
  <si>
    <t>The distribution of Atlantic puffins (Fratercula arctica) from Skellig Michael, south-west Ireland, was investigated using geolocation loggers between the 2010 and 2011 breeding seasons. All tracked birds travelled rapidly west into the North Atlantic at the end of the breeding season in August, with the majority undertaking transatlantic trips from Ireland to the Newfoundland-Labrador shelf. The furthest distance from the colony reached by each bird was not influenced by body mass or sex and was achieved in approximately 20 days. By October, all birds had moved back to the mid Atlantic where they remained resident until returning to the breeding colony. The most parsimonious explanation for the rapid, directed long-distance migration is that birds exploit the seasonally high abundance of prey [e.g., fish species such as capelin (Mallotus villosus) and sandlance (Ammodytes spp.)] off the Canadian coast, which is also utilised by large populations of North American seabirds at this time. Once the availability of this short-term prey resource has diminished, the tracked puffins moved back towards the north-east Atlantic. A relationship between relative abundance of puffins and zooplankton was found in all winter months, but after correcting for spatial autocorrelation, was only significant in November and January. Nevertheless, these results suggest a potential switch in diet from mainly fish during the breeding and early post-breeding periods to zooplankton over the remaining winter period. This study suggests that puffins from south-west Ireland have a long-distance migration strategy that is rare in breeding puffins from the UK and identifies a key non-breeding destination for puffins from Ireland. This has implications for the susceptibility of different breeding populations to the effects of possible climatic or oceanographic change.</t>
  </si>
  <si>
    <t>[Jessopp, Mark J.; Cronin, Michelle; Doyle, Thomas K.] Natl Univ Ireland Univ Coll Cork, Environm Res Inst, Coastal &amp; Marine Res Ctr, Cork, Ireland; [Wilson, Mark] Natl Univ Ireland Univ Coll Cork, Sch Biol Earth &amp; Environm Sci, Cork, Ireland; [McQuatters-Gollop, Abigail] Sir Alister Hardy Fdn Ocean Sci, Plymouth, Devon, England; [Newton, Stephen] Birdwatch Ireland, Kilcoole, Ireland; [Phillips, Richard A.] British Antarctic Survey, Nat Environm Res Council, Cambridge CB3 0ET, England</t>
  </si>
  <si>
    <t>University College Cork; University College Cork; UK Research &amp; Innovation (UKRI); Natural Environment Research Council (NERC); NERC British Antarctic Survey</t>
  </si>
  <si>
    <t>Jessopp, MJ (corresponding author), Natl Univ Ireland Univ Coll Cork, Environm Res Inst, Coastal &amp; Marine Res Ctr, Cork, Ireland.</t>
  </si>
  <si>
    <t>mjessopp@gmail.com</t>
  </si>
  <si>
    <t>Jessopp, Mark/AAI-4786-2020</t>
  </si>
  <si>
    <t>Jessopp, Mark/0000-0002-2692-3730; McQuatters-Gollop, Abigail/0000-0002-6043-9563; Doyle, Thomas/0000-0003-1616-5590</t>
  </si>
  <si>
    <t>Beaufort Marine Research Award under the Sea Change Strategy; Marine Institute; European Community [226675]; Beaufort Marine Research Award under the Strategy for Science Technology and Innovation; Natural Environment Research Council [bas0100025] Funding Source: researchfish; NERC [bas0100025] Funding Source: UKRI; Division Of Ocean Sciences; Directorate For Geosciences [1154661] Funding Source: National Science Foundation</t>
  </si>
  <si>
    <t>Beaufort Marine Research Award under the Sea Change Strategy; Marine Institute; European Community; Beaufort Marine Research Award under the Strategy for Science Technology and Innovation; Natural Environment Research Council(UK Research &amp; Innovation (UKRI)Natural Environment Research Council (NERC)); NERC(UK Research &amp; Innovation (UKRI)Natural Environment Research Council (NERC)); Division Of Ocean Sciences; Directorate For Geosciences(National Science Foundation (NSF)NSF - Directorate for Geosciences (GEO))</t>
  </si>
  <si>
    <t>We wish to thank Grellan Rourke from the Office of Public Works for facilitating access to accommodation on Skellig Michael, and Clare Heardman (NPWS) and Dave Thompson (National Trust) for assistance in the field. All puffin capture, handling and tagging procedures were reviewed and approved by the National Parks and Wildlife Service, and carried out under licence Numbers 26/2010 and C051/2011 issued by National Parks and Wildlife Service, Department of Environment, Heritage and Local Government. The study was funded by a Beaufort Marine Research Award provided under the Sea Change Strategy and the Strategy for Science Technology and Innovation (2006-2013), with the support of the Marine Institute, funded under the Marine Research Sub-Programme of the National Development Plan 2007-2013. Two authors also received funding from the European Community's Seventh Framework Programme (FP7/2007-2013) and Knowledge-based Sustainable Management for Europe's Seas (KnowSeas-, Grant agreement No. 226675). Comments from three anonymous reviewers greatly increased the quality of the manuscript, and their contribution is gratefully acknowledged.</t>
  </si>
  <si>
    <t>10.1007/s00227-013-2268-7</t>
  </si>
  <si>
    <t>224GP</t>
  </si>
  <si>
    <t>WOS:000324871300020</t>
  </si>
  <si>
    <t>Gohl, K; Uenzelmann-Neben, G; Larter, RD; Hillenbrand, CD; Hochmuth, K; Kalberg, T; Weigelt, E; Davy, B; Kuhn, G; Nitsche, FO</t>
  </si>
  <si>
    <t>Gohl, Karsten; Uenzelmann-Neben, Gabriele; Larter, Robert D.; Hillenbrand, Claus-Dieter; Hochmuth, Katharina; Kalberg, Thomas; Weigelt, Estella; Davy, Bryan; Kuhn, Gerhard; Nitsche, Frank O.</t>
  </si>
  <si>
    <t>Seismic stratigraphic record of the Amundsen Sea Embayment shelf from pre-glacial to recent times: Evidence for a dynamic West Antarctic ice sheet</t>
  </si>
  <si>
    <t>West Antarctic margin; seismic stratigraphy; ice sheet dynamics; Pine Island Bay</t>
  </si>
  <si>
    <t>PINE ISLAND BAY; MARIE-BYRD-LAND; OUTER CONTINENTAL-SHELF; GROUNDING-LINE RETREAT; LAST GLACIAL MAXIMUM; PACIFIC MARGIN; HISTORY; EVOLUTION; PENINSULA; GEOMETRY</t>
  </si>
  <si>
    <t>Studies of the sedimentary architecture and characteristics of the Antarctic continental margin provide clues about past ice sheet advance retreat cycles and help improve constraints for paleo-ice dynamic models since early glacial periods. A first seismostratigraphic analysis of the Amundsen Sea Embayment shelf and slope of West Antarctica reveals insights into the structural architecture of the continental margin and shows stages of sediment deposition, erosion and transport reflecting the history from pre-glacial times to early glaciation and to the late Pleistocene glacial interglacial cycles. The shelf geometry consists of a large pre- and syn-rift basin in the middle shelf region between basement cropping out on the inner shelf and buried basement ridge and highs on the outer shelf. A subordinate basin within the large basin on the mid-shelf may be associated with motion along an early West Antarctic Rift System branch. At least 4 km of pre-glacial strata have been eroded from the present inner shelf and coastal hinterland by glacial processes. Six major sedimentary units (ASS-1 to ASS-6) separated by five major erosional unconformities (ASS-u1 to ASS-u5) are distinguished from bottom to top. Unconformity ASS-u4 results from a major truncational event by glacial advance to the middle and outer shelf, which was followed by several episodes of glacial advance and retreat as observed from smaller-scale truncational unconformities within the units above ASS-u4. Some of the eroded sediments were deposited as a progradional wedge that extends the outer shelf by 25 to 65 km oceanward of the pre-glacial shelf-break. We compare the observed seismic characteristics with those of other Antarctic shelf sequences and assign an Early Cretaceous age to bottom sedimentary unit ASS-1, a Late Cretaceous to Oligocene age to unit ASS-2, an Early to Mid-Miocene age to unit ASS-3, a Mid-Miocene age to unit ASS-4, a Late Miocene to Early Pliocene age to unit ASS-5, and a Pliocene to Pleistocene age to the top unit ASS-6. Buried grounding zone wedges in the upper part of unit ASS-5 on the outer shelf suggest pronounced warming phases and ice sheet retreats during the early Pliocene as observed for the Ross Sea shelf and predicted by paleo-ice sheet models. Our data also reveal that on the middle and outer shelf the flow-path of the Pine Island-Thwaites paleo-ice stream system has remained stationary in the central Pine Island Trough since the earliest glacial advances, which is different from the Ross Sea shelf where glacial troughs shifted more dynamically. This study and its stratigraphic constraints will serve as a basis for future drilling operations required for an improved understanding of processes and mechanisms leading to change in the West Antarctic Ice Sheet, such as the contemporary thinning and grounding line retreat in the Amundsen Sea drainage sector. (C) 2013 Elsevier B.V. All rights reserved.</t>
  </si>
  <si>
    <t>[Gohl, Karsten; Uenzelmann-Neben, Gabriele; Hochmuth, Katharina; Kalberg, Thomas; Weigelt, Estella; Kuhn, Gerhard] Alfred Wegener Inst, Helmholtz Ctr Polar &amp; Marine Res, Dept Geosci, Sect Geophys, D-27568 Bremerhaven, Germany; [Larter, Robert D.; Hillenbrand, Claus-Dieter] British Antarctic Survey, Cambridge CB3 0ET, England; [Davy, Bryan] GNS Sci, Lower Hutt, New Zealand; [Nitsche, Frank O.] Lamont Doherty Earth Observ, Palisades, NY USA</t>
  </si>
  <si>
    <t>Helmholtz Association; Alfred Wegener Institute, Helmholtz Centre for Polar &amp; Marine Research; UK Research &amp; Innovation (UKRI); Natural Environment Research Council (NERC); NERC British Antarctic Survey; GNS Science - New Zealand; Columbia University</t>
  </si>
  <si>
    <t>Gohl, K (corresponding author), Alfred Wegener Inst, Helmholtz Ctr Polar &amp; Marine Res, Dept Geosci, Sect Geophys, Alten Hafen 26, D-27568 Bremerhaven, Germany.</t>
  </si>
  <si>
    <t>karsten.gohl@awi.de</t>
  </si>
  <si>
    <t>Uenzelmann-Neben, Gabriele/AAI-8618-2020; Davy, Bryan W/I-6769-2013; Nitsche, Frank O/A-9343-2009</t>
  </si>
  <si>
    <t>Uenzelmann-Neben, Gabriele/0000-0002-0115-5923; Davy, Bryan W/0000-0003-1926-1393; Nitsche, Frank O/0000-0002-4137-547X; Gohl, Karsten/0000-0002-9558-2116; Larter, Robert/0000-0002-8414-7389; Hochmuth, Katharina/0000-0003-2789-2179; Kuhn, Gerhard/0000-0001-6069-7485</t>
  </si>
  <si>
    <t>International Bureau of the German Federal Ministry of Education and Research (IB-BMBF) [01DR12043]; BAS IceSheets Programme; UK Natural Environment Research Council; Work Package 3.2 of the AWI research program PACES; NERC [bas0100027] Funding Source: UKRI; Natural Environment Research Council [bas0100027] Funding Source: researchfish</t>
  </si>
  <si>
    <t>International Bureau of the German Federal Ministry of Education and Research (IB-BMBF)(Federal Ministry of Education &amp; Research (BMBF)); BAS IceSheets Programme; UK Natural Environment Research Council(UK Research &amp; Innovation (UKRI)Natural Environment Research Council (NERC)); Work Package 3.2 of the AWI research program PACES; NERC(UK Research &amp; Innovation (UKRI)Natural Environment Research Council (NERC)); Natural Environment Research Council(UK Research &amp; Innovation (UKRI)Natural Environment Research Council (NERC))</t>
  </si>
  <si>
    <t>The authors are grateful for the support of the masters and crews of RV Polarstern during expeditions ANT-XXIII/4 (2006) and ANT-XXVI/3 (2010), and of RRS James Clark Ross during expedition JR141 (2006). We extend our gratitude to the seismic teams on board of both vessels, including staff of the British Geological Survey Marine Operations Group on JR141, for successful data acquisition. Geoff Shipton (Triton Imaging) and David Mucciarone (Stanford University) are gratefully acknowledged for their SEG-Y conversion of the native SCS data from the RV Nathaniel B. Palmer cruise NBP9902 (1999). We thank the German Instrument Pool for Amphibian Seismology (DEPAS), hosted by the Alfred Wegener Institute, for providing the ocean-bottom seismometers. We thank John B. Anderson of Rice University for giving permission to use the seismic line NBP9902-11 as well as the seismic image of the PD90-30 line from the Ross Sea shelf for Fig. 4c, and we thank Christopher Sorlien and the ROSSMAP group for providing a section of PD90-30 with interpreted horizons. A large part of this paper was drafted during a research visit of K.G. to GNS Science, New Zealand, funded by the International Bureau of the German Federal Ministry of Education and Research (IB-BMBF) through contract no. 01DR12043. The paper improved from the helpful review comments and suggestions by Julia We liner and John B. Anderson. R.D.L and C.D.H. were supported through the BAS IceSheets Programme which is funded by the UK Natural Environment Research Council. This study has primarily been funded through Work Package 3.2 of the AWI research program PACES.</t>
  </si>
  <si>
    <t>10.1016/j.margeo.2013.06.011</t>
  </si>
  <si>
    <t>WOS:000325600500010</t>
  </si>
  <si>
    <t>González-Wevar, CA; Saucede, T; Morley, SA; Chown, SL; Poulin, E</t>
  </si>
  <si>
    <t>Gonzalez-Wevar, C. A.; Saucede, T.; Morley, S. A.; Chown, S. L.; Poulin, E.</t>
  </si>
  <si>
    <t>Extinction and recolonization of maritime Antarctica in the limpet Nacella concinna (Strebel, 1908) during the last glacial cycle: toward a model of Quaternary biogeography in shallow Antarctic invertebrates</t>
  </si>
  <si>
    <t>approximate Bayesian computations; glacial refugia; maritime Antarctica; Mollusca; mtDNA; peri-Antarctic areas; private haplotype; South Georgia Island</t>
  </si>
  <si>
    <t>SOUTHERN-OCEAN; GENETIC-STRUCTURE; CLIMATE-CHANGE; BENTHIC INVERTEBRATES; PROMACHOCRINUS-KERGUELENSIS; MITOCHONDRIAL LINEAGES; EVOLUTIONARY ANALYSIS; POPULATION HISTORY; TIME DEPENDENCY; DNA-SEQUENCE</t>
  </si>
  <si>
    <t>Quaternary glaciations in Antarctica drastically modified geographical ranges and population sizes of marine benthic invertebrates and thus affected the amount and distribution of intraspecific genetic variation. Here, we present new genetic information in the Antarctic limpet Nacella concinna, a dominant Antarctic benthic species along shallow ice-free rocky ecosystems. We examined the patterns of genetic diversity and structure in this broadcast spawner along maritime Antarctica and from the peri-Antarctic island of South Georgia. Genetic analyses showed that N.concinna represents a single panmictic unit in maritime Antarctic. Low levels of genetic diversity characterized this population; its median-joining haplotype network revealed a typical star-like topology with a short genealogy and a dominant haplotype broadly distributed. As previously reported with nuclear markers, we detected significant genetic differentiation between South Georgia Island and maritime Antarctica populations. Higher levels of genetic diversity, a more expanded genealogy and the presence of more private haplotypes support the hypothesis of glacial persistence in this peri-Antarctic island. Bayesian Skyline plot and mismatch distribution analyses recognized an older demographic history in South Georgia. Approximate Bayesian computations did not support the persistence of N.concinna along maritime Antarctica during the last glacial period, but indicated the resilience of the species in peri-Antarctic refugia (South Georgia Island). We proposed a model of Quaternary Biogeography for Antarctic marine benthic invertebrates with shallow and narrow bathymetric ranges including (i) extinction of maritime Antarctic populations during glacial periods; (ii) persistence of populations in peri-Antarctic refugia; and (iii) recolonization of maritime Antarctica following the deglaciation process.</t>
  </si>
  <si>
    <t>[Gonzalez-Wevar, C. A.; Poulin, E.] Univ Chile, Fac Ciencias, Inst Ecol &amp; Biodiversidad, Dept Ciencias Ecol, Santiago, Chile; [Saucede, T.] Univ Bourgogne, CNRS, UMR 6282, F-21000 Dijon, France; [Morley, S. A.] British Antarctic Survey, Cambridge CB3 0ET, England; [Chown, S. L.] Monash Univ, Sch Prof Biol Sci, Clayton, Vic 3800, Australia</t>
  </si>
  <si>
    <t>Universidad de Chile; Universite de Bourgogne; Centre National de la Recherche Scientifique (CNRS); UK Research &amp; Innovation (UKRI); Natural Environment Research Council (NERC); NERC British Antarctic Survey; Monash University</t>
  </si>
  <si>
    <t>González-Wevar, CA (corresponding author), Univ Chile, Fac Ciencias, Inst Ecol &amp; Biodiversidad, Dept Ciencias Ecol, Las Palmeras 3425, Santiago, Chile.</t>
  </si>
  <si>
    <t>omeuno01@hotmail.com</t>
  </si>
  <si>
    <t>Poulin, Elie/C-2654-2012; Chown, Steven/ABD-7646-2021; González-Wevar, Claudio Alejandro/AAD-6513-2021; Chown, Steven/H-3347-2011</t>
  </si>
  <si>
    <t>Poulin, Elie/0000-0001-7736-0969; Chown, Steven/0000-0001-6069-5105</t>
  </si>
  <si>
    <t>Thesis projects INACH [B_01-07]; Conicyt [24090009, D-21060218]; Fondecyt Postdoctorate project [FNC3120075]; INACH Office Project [G_04-11]; Instituto de Ecologia y Biodiversidad, Universidad de Chile [P05-002 ICM, PFB 023]; INACH [02-02, 13-05]; ECOS [C06B02]; Biogeosciences laboratory (team BioME); ANR ANTFLOCKS [07-BLAN-0213-01]; Natural Environment Research Council (UK); NERC [dml011000, bas0100025] Funding Source: UKRI; Natural Environment Research Council [dml011000, bas0100025] Funding Source: researchfish</t>
  </si>
  <si>
    <t>Thesis projects INACH; Conicyt(Comision Nacional de Investigacion Cientifica y Tecnologica (CONICYT)); Fondecyt Postdoctorate project(Comision Nacional de Investigacion Cientifica y Tecnologica (CONICYT)CONICYT FONDECYT); INACH Office Project; Instituto de Ecologia y Biodiversidad, Universidad de Chile; INACH; ECOS; Biogeosciences laboratory (team BioME); ANR ANTFLOCKS(Agence Nationale de la Recherche (ANR)); Natural Environment Research Council (UK)(UK Research &amp; Innovation (UKRI)Natural Environment Research Council (NERC)); NERC(UK Research &amp; Innovation (UKRI)Natural Environment Research Council (NERC)); Natural Environment Research Council(UK Research &amp; Innovation (UKRI)Natural Environment Research Council (NERC))</t>
  </si>
  <si>
    <t>This study was supported by the following projects and institutions: Thesis projects INACH B_01-07 and Conicyt 24090009, Conicyt Ph.D grant D-21060218, Fondecyt Postdoctorate project FNC3120075 and INACH Office Project G_04-11 to C. G-W; Projects P05-002 ICM and PFB 023 (Instituto de Ecologia y Biodiversidad, Universidad de Chile), INACH 02-02, INACH 13-05 and ECOS C06B02 to E. P. and C. G-W. TS was supported by Biogeosciences laboratory (team BioME), ANR ANTFLOCKS (n 07-BLAN-0213-01) and is indebted to BAS (DKA Barnes) for access to field-work facilities. Natural Environment Research Council (UK) funding to The Adaptations and physiology work package of the British Antarctic Survey to SM. Many thanks to the International programmes, CAML, EBA-SCAR and PROSUL-Brazil for encouraging and supporting Antarctic research in Evolution.</t>
  </si>
  <si>
    <t>10.1111/mec.12465</t>
  </si>
  <si>
    <t>WOS:000325550000013</t>
  </si>
  <si>
    <t>Bindoff, NL; Hobbs, WR</t>
  </si>
  <si>
    <t>Bindoff, Nathaniel L.; Hobbs, William R.</t>
  </si>
  <si>
    <t>OCEANOGRAPHY Deep ocean freshening</t>
  </si>
  <si>
    <t>NATURE CLIMATE CHANGE</t>
  </si>
  <si>
    <t>SALINITIES</t>
  </si>
  <si>
    <t>[Bindoff, Nathaniel L.] Univ Tasmania, Antarctic Climate &amp; Ecosyst Cooperat Res Ctr, Sandy Bay, Tas 7005, Australia; [Bindoff, Nathaniel L.; Hobbs, William R.] Univ Tasmania, Sandy Bay, Tas 7005, Australia; [Bindoff, Nathaniel L.] CSIRO Marine &amp; Atmospher Res, Hobart, Tas 7000, Australia; [Hobbs, William R.] Univ New S Wales, ARC Ctr Excellence Climate Syst Sci, Randwick, NSW 2052, Australia</t>
  </si>
  <si>
    <t>Antarctic Climate &amp; Ecosystems Cooperative Research Centre (ACE CRC); University of Tasmania; University of Tasmania; Commonwealth Scientific &amp; Industrial Research Organisation (CSIRO); University of New South Wales Sydney</t>
  </si>
  <si>
    <t>Bindoff, NL (corresponding author), Univ Tasmania, Antarctic Climate &amp; Ecosyst Cooperat Res Ctr, Sandy Bay, Tas 7005, Australia.</t>
  </si>
  <si>
    <t>N.Bindoff@utas.edu.au; will.hobbs@utas.edu.au</t>
  </si>
  <si>
    <t>Bindoff, Nathaniel Lee/C-8050-2011; Hobbs, Will/P-8094-2019; Bindoff, Nathaniel Lee/IVV-0333-2023</t>
  </si>
  <si>
    <t>Bindoff, Nathaniel Lee/0000-0001-5662-9519; Hobbs, Will/0000-0002-2061-0899; Bindoff, Nathaniel Lee/0000-0001-5662-9519</t>
  </si>
  <si>
    <t>1758-678X</t>
  </si>
  <si>
    <t>1758-6798</t>
  </si>
  <si>
    <t>NAT CLIM CHANGE</t>
  </si>
  <si>
    <t>Nat. Clim. Chang.</t>
  </si>
  <si>
    <t>10.1038/nclimate2014</t>
  </si>
  <si>
    <t>Environmental Sciences; Environmental Studies; Meteorology &amp; Atmospheric Sciences</t>
  </si>
  <si>
    <t>249ZE</t>
  </si>
  <si>
    <t>WOS:000326818800008</t>
  </si>
  <si>
    <t>Möller, L; Sowers, T; Bock, M; Spahni, R; Behrens, M; Schmitt, J; Miller, H; Fischer, H</t>
  </si>
  <si>
    <t>Moeller, Lars; Sowers, Todd; Bock, Michael; Spahni, Renato; Behrens, Melanie; Schmitt, Jochen; Miller, Heinrich; Fischer, Hubertus</t>
  </si>
  <si>
    <t>Independent variations of CH4 emissions and isotopic composition over the past 160,000 years</t>
  </si>
  <si>
    <t>ATMOSPHERIC METHANE; MILLENNIAL-SCALE; CLIMATE; CO2; CARBON; GREENLAND; TEMPERATURE; VARIABILITY; RECORDS; BUDGET</t>
  </si>
  <si>
    <t>During the last glacial cycle, greenhouse gas concentrations fluctuated on decadal and longer timescales. Concentrations of methane, as measured in polar ice cores, show a close connection with Northern Hemisphere temperature variability, but the contribution of the various methane sources and sinks to changes in concentration is still a matter of debate. Here we assess changes in methane cycling over the past 160,000 years by measurements of the carbon isotopic composition delta C-13 of methane in Antarctic ice cores from Dronning Maud Land and Vostok. We find that variations in the delta C-13 of methane are not generally correlated with changes in atmospheric methane concentration, but instead more closely correlated to atmospheric CO2 concentrations. We interpret this to reflect a climatic and CO2-related control on the isotopic signature of methane source material, such as ecosystem shifts in the seasonally inundated tropical wetlands that produce methane. In contrast, relatively stable delta C-13 values occurred during intervals of large changes in the atmospheric loading of methane. We suggest that most methane sources-most notably tropical wetlands-must have responded simultaneously to climate changes across these periods.</t>
  </si>
  <si>
    <t>[Moeller, Lars; Behrens, Melanie; Miller, Heinrich; Fischer, Hubertus] Helmholtz Ctr Polar &amp; Marine Res, Alfred Wegener Inst, D-27568 Bremerhaven, Germany; [Moeller, Lars; Bock, Michael; Spahni, Renato; Schmitt, Jochen; Fischer, Hubertus] Univ Bern, Inst Phys, CH-3012 Bern, Switzerland; [Moeller, Lars; Bock, Michael; Spahni, Renato; Schmitt, Jochen; Fischer, Hubertus] Univ Bern, Oeschger Ctr Climate Change Res, CH-3012 Bern, Switzerland; [Sowers, Todd] Penn State Univ, University Pk, PA 16802 USA</t>
  </si>
  <si>
    <t>Helmholtz Association; Alfred Wegener Institute, Helmholtz Centre for Polar &amp; Marine Research; University of Bern; University of Bern; Pennsylvania Commonwealth System of Higher Education (PCSHE); Pennsylvania State University; Pennsylvania State University - University Park</t>
  </si>
  <si>
    <t>Fischer, H (corresponding author), Helmholtz Ctr Polar &amp; Marine Res, Alfred Wegener Inst, Alten Hafen 26, D-27568 Bremerhaven, Germany.</t>
  </si>
  <si>
    <t>hubertus.fischer@climate.unibe.ch</t>
  </si>
  <si>
    <t>Schmitt, Jochen/B-7893-2009; Fischer, Hubertus/A-1211-2014</t>
  </si>
  <si>
    <t>Schmitt, Jochen/0000-0003-4695-3029; Miller, Heinrich/0000-0003-1015-2828; Fischer, Hubertus/0000-0002-2787-4221; Moller, Lars/0000-0002-8880-5019; Behrens, Melanie/0000-0001-9275-4333</t>
  </si>
  <si>
    <t>European Research Council; Schweizerischer Nationalfonds; Deutsche Forschungsgemeinschaft; European Union's Seventh Framework programme [243908]; Directorate For Geosciences; Office of Polar Programs (OPP) [0944584] Funding Source: National Science Foundation</t>
  </si>
  <si>
    <t>European Research Council(European Research Council (ERC)); Schweizerischer Nationalfonds(Swiss National Science Foundation (SNSF)); Deutsche Forschungsgemeinschaft(German Research Foundation (DFG)); European Union's Seventh Framework programme(European Union (EU)); Directorate For Geosciences; Office of Polar Programs (OPP)(National Science Foundation (NSF)NSF - Directorate for Geosciences (GEO))</t>
  </si>
  <si>
    <t>This work is a contribution to the EPICA; a joint ESF/EC scientific programme, financially supported by the EC and by national contributions from Belgium, Denmark, France, Germany, Italy, The Netherlands, Norway, Sweden, Switzerland and the United Kingdom. This is EPICA publication no. 293. Financial support for this work has been provided in part by the European Research Council Advanced Grant MATRICs, Schweizerischer Nationalfonds and Deutsche Forschungsgemeinschaft, and is also a contribution to the European Union's Seventh Framework programme (FP7/2007-2013, grant no. 243908), 'Past4Future. Climate Change: Learning from the past climate'. This is Past4Future contribution no. 55. Financial support for T. S. was derived from NSF grants 09-44584 and 09-68391.</t>
  </si>
  <si>
    <t>10.1038/NGEO1922</t>
  </si>
  <si>
    <t>WOS:000325003700024</t>
  </si>
  <si>
    <t>Yamamoto, A; Mitchell, JW</t>
  </si>
  <si>
    <t>Yamamoto, Akira; Mitchell, John W.</t>
  </si>
  <si>
    <t>Search for Primary Antiparticles and Cosmological Antimatter with BESS</t>
  </si>
  <si>
    <t>NUCLEAR PHYSICS B-PROCEEDINGS SUPPLEMENTS</t>
  </si>
  <si>
    <t>4th International Conference on Particle and Fundamental Physics in Space</t>
  </si>
  <si>
    <t>NOV 05-07, 2012</t>
  </si>
  <si>
    <t>CERN, Geneva, SWITZERLAND</t>
  </si>
  <si>
    <t>CERN</t>
  </si>
  <si>
    <t>Cosmic ray; antiparticle; antimatter; early universe; superconducting spectrometer; BESS</t>
  </si>
  <si>
    <t>COSMIC-RAY ANTIPROTONS; BALLOON-BORNE EXPERIMENT; HELIUM SPECTRA; FLUX; ANTIHELIUM; PROTON; PROGRESS; PROPAGATION; LIMIT</t>
  </si>
  <si>
    <t>The Balloon-borne Experiment with a Superconducting Spectrometer (BESS) has performed precise measurements of low-energy cosmic-ray antiproton spectra to investigate signatures of exotic origins such as dark matter candidates or primordial black holes, and has searched for antimatter in cosmic rays that might reach Earth from antimatter domains formed in the early Universe. BESS carried out its second Antarctic flight, BESS-Polar II, during the 2007-2008 Austral Summer, and obtained over 4.7 billion cosmic-ray events from 24.5 days of observation during a solar-minimum period, when the sensitivity of the low-energy antiproton measurements to a possible primary source would be greatest. Here, we report the scientific results.</t>
  </si>
  <si>
    <t>[Yamamoto, Akira] High Energy Accelerator Res Org, KEK, Tsukuba, Ibaraki, Japan; [Mitchell, John W.] NASA, Goddard Space Flight Ctr, Greenbelt, MD 20771 USA</t>
  </si>
  <si>
    <t>High Energy Accelerator Research Organization (KEK); National Aeronautics &amp; Space Administration (NASA); NASA Goddard Space Flight Center</t>
  </si>
  <si>
    <t>Yamamoto, A (corresponding author), High Energy Accelerator Res Org, KEK, Tsukuba, Ibaraki, Japan.</t>
  </si>
  <si>
    <t>akira.yamamoto@kek.jp</t>
  </si>
  <si>
    <t>0920-5632</t>
  </si>
  <si>
    <t>1873-3832</t>
  </si>
  <si>
    <t>NUCL PHYS B-PROC SUP</t>
  </si>
  <si>
    <t>Nucl. Phys. B-Proc. Suppl.</t>
  </si>
  <si>
    <t>10.1016/j.nuclphysbps.2013.09.027</t>
  </si>
  <si>
    <t>Physics, Particles &amp; Fields</t>
  </si>
  <si>
    <t>Conference Proceedings Citation Index - Science (CPCI-S); Conference Proceedings Citation Index - Social Science &amp; Humanities (CPCI-SSH)</t>
  </si>
  <si>
    <t>293GI</t>
  </si>
  <si>
    <t>WOS:000329959000013</t>
  </si>
  <si>
    <t>Gorham, PW</t>
  </si>
  <si>
    <t>Gorham, Peter W.</t>
  </si>
  <si>
    <t>Particle Astrophysics in NASA's Long Duration Balloon Program</t>
  </si>
  <si>
    <t>particle astrophysics; scientific ballooning; cosmic rays</t>
  </si>
  <si>
    <t>A century after Viktor Hess' discovery of cosmic rays, balloon flights still play a central role in the investigation of cosmic rays over nearly their entire spectrum. We report on the current status of NASA balloon program for particle astrophysics, with particular emphasis on the very successful Antarctic long-duration balloon program, and new developments in the progress toward ultra-long duration balloons.</t>
  </si>
  <si>
    <t>Univ Hawaii Manoa, Dept Phys &amp; Astron, Honolulu, HI 96822 USA</t>
  </si>
  <si>
    <t>Gorham, PW (corresponding author), Univ Hawaii Manoa, Dept Phys &amp; Astron, 2505 Correa Rd, Honolulu, HI 96822 USA.</t>
  </si>
  <si>
    <t>gorham@phys.hawaii.edu</t>
  </si>
  <si>
    <t>Gorham, Peter/0000-0002-0923-9363</t>
  </si>
  <si>
    <t>10.1016/j.nuclphysbps.2013.09.012</t>
  </si>
  <si>
    <t>WOS:000329959000027</t>
  </si>
  <si>
    <t>Timmermann, R; Hellmer, HH</t>
  </si>
  <si>
    <t>Timmermann, Ralph; Hellmer, Hartmut H.</t>
  </si>
  <si>
    <t>Southern Ocean warming and increased ice shelf basal melting in the twenty-first and twenty-second centuries based on coupled ice-ocean finite-element modelling</t>
  </si>
  <si>
    <t>OCEAN DYNAMICS</t>
  </si>
  <si>
    <t>Southern Ocean; Ice shelves; Climate prediction</t>
  </si>
  <si>
    <t>PINE ISLAND GLACIER; SEA-ICE; CIRCULATION; ANTARCTICA</t>
  </si>
  <si>
    <t>We utilise a global finite-element sea ice-ocean model (FESOM), focused on the Antarctic marginal seas, to analyse projections of ice shelf basal melting in a warmer climate. Ice shelf-ocean interaction is described using a three-equation system with a diagnostic computation of temperature and salinity at the ice-ocean interface. A tetrahedral mesh with a minimumhorizontal resolution of 4 km and hybrid vertical coordinates is used. Ice shelf draft, cavity geometry, and global ocean bathymetry have been derived from the RTopo-1 data set. The model is forced with the atmospheric output from two climate models: (1) the Hadley Centre Climate Model (HadCM3) and (2) Max Planck Institute's ECHAM5/MPI-OM coupled climate model. Results from experiments forced with their twentieth century output are used to evaluate the modelled present-day ocean state. Sea ice coverage is largely realistic in both simulations; modelled ice shelf basal melt rates compare well with observations in both cases, but are consistently smaller for ECHAM5/MPI-OM. Projections for future ice shelf basal melting are computed using atmospheric output for the Intergovernmental Panel on Climate Change (IPCC) scenarios E1 and A1B. In simulations forced with ECHAM5 data, trends in ice shelf basal melting are small. In contrast, decreasing convection along the Antarctic coast in HadCM3 scenarios leads to a decreasing salinity on the continental shelf and to intrusions of warm deep water of open ocean origin. In the case of the Filchner-Ronne Ice Shelf (FRIS), this water reaches deep into the cavity, so that basal melting increases by a factor of 4 to 6 compared to the present value of about 90 Gt/year. By the middle of the twenty-second century, FRIS becomes the dominant contributor to total ice shelf basal mass loss in these simulations. Our results indicate that the surface freshwater fluxes on the continental shelves may be crucial for the future of especially the large cold water ice shelves in the Southern Ocean.</t>
  </si>
  <si>
    <t>[Timmermann, Ralph; Hellmer, Hartmut H.] Helmholtz Ctr Polar &amp; Marine Res, Alfred Wegener Inst, Bremerhaven, Germany</t>
  </si>
  <si>
    <t>Timmermann, R (corresponding author), Helmholtz Ctr Polar &amp; Marine Res, Alfred Wegener Inst, Bremerhaven, Germany.</t>
  </si>
  <si>
    <t>Ralph.Timmermann@awi.de</t>
  </si>
  <si>
    <t>Hellmer, Hartmut/0000-0002-9357-9853</t>
  </si>
  <si>
    <t>European Union [226375]</t>
  </si>
  <si>
    <t>European Union(European Union (EU))</t>
  </si>
  <si>
    <t>We would like to thank S.S. Jacobs, T. Payne, J. Rae, and M. Schroder for the enlightening discussions and W. Cohrs and D. Sidorenko for the technical help and support. Two anonymous reviewers deserve a big thank you for the careful reading and providing good advice and helpful comments. This work was supported by funding to the ice2sea programme from the European Union 7th Framework Programme, grant number 226375. This is ice2sea contribution number ice2sea134.</t>
  </si>
  <si>
    <t>1616-7341</t>
  </si>
  <si>
    <t>1616-7228</t>
  </si>
  <si>
    <t>OCEAN DYNAM</t>
  </si>
  <si>
    <t>Ocean Dyn.</t>
  </si>
  <si>
    <t>10.1007/s10236-013-0642-0</t>
  </si>
  <si>
    <t>239TT</t>
  </si>
  <si>
    <t>WOS:000326049200001</t>
  </si>
  <si>
    <t>Towards a global regionally varying allowance for sea-level rise</t>
  </si>
  <si>
    <t>Sea-level rise; Storm tide; Climate change; Climate projection</t>
  </si>
  <si>
    <t>CLIMATE-CHANGE; ECONOMICS</t>
  </si>
  <si>
    <t>Allowances have been developed for future rise of relative sea-level (i.e. sea level relative to the land) based on the projections of regional sea-level rise, its uncertainty, and the statistics of tides and storm surges (storm tides). An 'allowance' is, in this case, the vertical distance that an asset needs to be raised under a rising sea level, so that the present likelihood of flooding does not increase. This continues the work of Hunter (2012), which presented allowances based on global-average sea level and local storm tides. The inclusion of regional variations of sea-level rise (and its uncertainty) significantly increases the global spread of allowances. For the period 1990-2100 and the A1 FI emission scenario (which the world is broadly following at present), these range from negative allowances caused by land uplift (in the northern regions of North America and Europe) to the upper 5-percentile which is greater than about 1 m (e.g. on the eastern coastline of North America). (C) 2013 Elsevier Ltd. All rights reserved.</t>
  </si>
  <si>
    <t>1873-5258</t>
  </si>
  <si>
    <t>10.1016/j.oceaneng.2012.12.041</t>
  </si>
  <si>
    <t>208PH</t>
  </si>
  <si>
    <t>WOS:000323691100003</t>
  </si>
  <si>
    <t>Mori, N; Shimura, T; Yasuda, T; Mase, H</t>
  </si>
  <si>
    <t>Mori, Nobuhito; Shimura, Tomoya; Yasuda, Tomohiro; Mase, Hajime</t>
  </si>
  <si>
    <t>Multi-model climate projections of ocean surface variables under different climate scenarios-Future change of waves, sea level and wind</t>
  </si>
  <si>
    <t>Sea level rise; Ocean wave; Climate change; Statistical projection; CMIP3</t>
  </si>
  <si>
    <t>This study analyzes future changes in average upper ocean physics such as sea level rise, sea surface winds and ocean wave heights by using a climate data set combining IPCC (2007) results and the latest high-resolution atmospheric general circulation model results from the Meteorological Research Institute, Japan. Ocean wave height H-s is statistically projected by using multi-model ensemble method based on an empirical formula as a function of sea surface winds. The ensemble means and the standard deviations of upper ocean physics, which can be used in coastal and ocean engineering, are projected for the period between 2000 and 2100. The magnitude of the ratio of future changes in H-s to the value in the present climate is at most +/- 15%, which exceeds the projected changes in sea surface pressure and surface wind speed, U-10. A large uncertainty in the projected H can be observed around the Equator and in the Antarctic Ocean. The synoptic scale of atmospheric pressure distribution is found to be important for estimating and understanding the future changes in sea level rise, U-10 and H-s. (C) 2013 Elsevier Ltd. All rights reserved.</t>
  </si>
  <si>
    <t>[Mori, Nobuhito; Yasuda, Tomohiro; Mase, Hajime] Kyoto Univ, Disaster Prevent Res Inst, Uji, Kyoto 6110011, Japan; [Shimura, Tomoya] Kyoto Univ, Grad Sch Engn, Uji, Kyoto 6110011, Japan</t>
  </si>
  <si>
    <t>Kyoto University; Kyoto University</t>
  </si>
  <si>
    <t>Mori, N (corresponding author), Kyoto Univ, Disaster Prevent Res Inst, Uji, Kyoto 6110011, Japan.</t>
  </si>
  <si>
    <t>mori@oceanwave.jp</t>
  </si>
  <si>
    <t>Yasuda, Tomohiro/JCD-9608-2023; Mori, Nobuhito/B-8627-2008</t>
  </si>
  <si>
    <t>Yasuda, Tomohiro/0000-0002-1443-7989; Mori, Nobuhito/0000-0001-9082-3235; Shimura, Tomoya/0000-0001-8284-0668</t>
  </si>
  <si>
    <t>SOUSEI Program; Ministry of Education, Culture, Sports, Science and Technology (MEXT); Grants-in-Aid for Scientific Research [23246090] Funding Source: KAKEN</t>
  </si>
  <si>
    <t>SOUSEI Program; Ministry of Education, Culture, Sports, Science and Technology (MEXT)(Ministry of Education, Culture, Sports, Science and Technology, Japan (MEXT)); Grants-in-Aid for Scientific Research(Ministry of Education, Culture, Sports, Science and Technology, Japan (MEXT)Japan Society for the Promotion of ScienceGrants-in-Aid for Scientific Research (KAKENHI))</t>
  </si>
  <si>
    <t>The authors acknowledge World Climate Research Programme's CMIP3 project and the developers of the CGMs used in this study. This research was supported by the SOUSEI Program and the Kakenhi Grant-in-Aid of the Ministry of Education, Culture, Sports, Science and Technology (MEXT).</t>
  </si>
  <si>
    <t>10.1016/j.oceaneng.2013.02.016</t>
  </si>
  <si>
    <t>WOS:000323691100013</t>
  </si>
  <si>
    <t>Doble, MJ; Bidlot, JR</t>
  </si>
  <si>
    <t>Doble, Martin J.; Bidlot, Jean-Raymond</t>
  </si>
  <si>
    <t>Wave buoy measurements at the Antarctic sea ice edge compared with an enhanced ECMWF WAM: Progress towards global waves-in-ice modelling</t>
  </si>
  <si>
    <t>Sea ice; Waves</t>
  </si>
  <si>
    <t>OCEAN WAVES; ENERGY-TRANSFER; ATTENUATION; ZONE; SPECTRUM</t>
  </si>
  <si>
    <t>The breakup of pack ice in the Weddell Sea is examined with respect to a single wave buoy, frozen into the pack ice six months earlier, and the ECMWF WAM model. The pack ice broke up around the buoy on 14th September 2000 as large amplitude storm waves approached the ice edge at the buoy's location. The WAM model is modified to allow waves to propagate into the ice cover, in contrast to the operational scheme which sets wave energy to zero at ice concentrations over 30%. A simple, lookup-table-based, wave scattering attenuation scheme is then added and is combined with a sea ice drag attenuation parameterisation. WAM results at the location of the buoy are compared to the observations over a two-month period straddling the breakup. The modified WAM scheme generally reproduces the significant wave height, wave period and spectral characteristics measured by the buoy, though the model does not yet have any concept of floe breaking and re-freezing, assuming only that the ice cover is broken if the concentration is less than 80%. The simplistic nature of these modifications is designed to allow operational implementation, to eventually provide a global assessment of the wave-influenced ice zone. (C) 2013 Elsevier Ltd. All rights reserved.</t>
  </si>
  <si>
    <t>[Doble, Martin J.] Univ Paris 06, UMR 7093, LOV, Observ Oceanol, F-06234 Villefranche Sur Mer, France; [Bidlot, Jean-Raymond] European Ctr Medium Range Weather Forecasts, Reading RG2 9AX, Berks, England</t>
  </si>
  <si>
    <t>Centre National de la Recherche Scientifique (CNRS); CNRS - National Institute for Earth Sciences &amp; Astronomy (INSU); Sorbonne Universite; European Centre for Medium-Range Weather Forecasts (ECMWF)</t>
  </si>
  <si>
    <t>Doble, MJ (corresponding author), Univ Paris 06, UMR 7093, LOV, Observ Oceanol, F-06234 Villefranche Sur Mer, France.</t>
  </si>
  <si>
    <t>doble@obs-vlfr.fr</t>
  </si>
  <si>
    <t>Doble, Martin J/A-9915-2012</t>
  </si>
  <si>
    <t>Doble, Martin/0000-0001-8185-6510</t>
  </si>
  <si>
    <t>UK Natural Environment Research Council [GR3/12952]; Office of Naval Research Emerging Dynamics of the Marginal Ice Zone Departmental Research Initiative; European Union [265863]</t>
  </si>
  <si>
    <t>UK Natural Environment Research Council(UK Research &amp; Innovation (UKRI)Natural Environment Research Council (NERC)); Office of Naval Research Emerging Dynamics of the Marginal Ice Zone Departmental Research Initiative(Office of Naval Research); European Union(European Union (EU))</t>
  </si>
  <si>
    <t>We thank Alison Kohout (NIWA) for discussions regarding the attenuation coefficients in her model, and the Alfred Wegener Institut fur Polar- und Meeresforschung, Bremerhaven, for the opportunity to work from F/S Polarstern during the field experiment and thank the captain and crew for their kind cooperation. The field experiment was supported by the UK Natural Environment Research Council, under grant Short Timescale Motion of Pancake Ice, number GR3/12952. MJD was funded during the analysis and preparation of this paper by the Office of Naval Research Emerging Dynamics of the Marginal Ice Zone Departmental Research Initiative, and the Arctic Climate Change, Economy and Society (ACCESS) project, Grant number 265863 of the Oceans 2010 call of the European Union Seventh Framework Programme.</t>
  </si>
  <si>
    <t>10.1016/j.ocemod.2013.05.012</t>
  </si>
  <si>
    <t>209RF</t>
  </si>
  <si>
    <t>WOS:000323776800015</t>
  </si>
  <si>
    <t>Chambers, LE; Altwegg, R; Barbraud, C; Barnard, P; Beaumont, LJ; Crawford, RJM; Durant, JM; Hughes, L; Keatley, MR; Low, M; Morellato, PC; Poloczanska, ES; Ruoppolo, V; Vanstreels, RET; Woehler, EJ; Wolfaardt, AC</t>
  </si>
  <si>
    <t>Chambers, Lynda E.; Altwegg, Res; Barbraud, Christophe; Barnard, Phoebe; Beaumont, Linda J.; Crawford, Robert J. M.; Durant, Joel M.; Hughes, Lesley; Keatley, Marie R.; Low, Matt; Morellato, Patricia C.; Poloczanska, Elvira S.; Ruoppolo, Valeria; Vanstreels, Ralph E. T.; Woehler, Eric J.; Wolfaardt, Anton C.</t>
  </si>
  <si>
    <t>Phenological Changes in the Southern Hemisphere</t>
  </si>
  <si>
    <t>CLIMATE-CHANGE; BREEDING PHENOLOGY; REPRODUCTIVE SUCCESS; ECOLOGICAL RESEARCH; MIGRATION; MARINE; TERRESTRIAL; PENGUINS; BIRDS; OCEAN</t>
  </si>
  <si>
    <t>Current evidence of phenological responses to recent climate change is substantially biased towards northern hemisphere temperate regions. Given regional differences in climate change, shifts in phenology will not be uniform across the globe, and conclusions drawn from temperate systems in the northern hemisphere might not be applicable to other regions on the planet. We conduct the largest meta-analysis to date of phenological drivers and trends among southern hemisphere species, assessing 1208 long-term datasets from 89 studies on 347 species. Data were mostly from Australasia (Australia and New Zealand), South America and the Antarctic/subantarctic, and focused primarily on plants and birds. This meta-analysis shows an advance in the timing of spring events (with a strong Australian data bias), although substantial differences in trends were apparent among taxonomic groups and regions. When only statistically significant trends were considered, 82% of terrestrial datasets and 42% of marine datasets demonstrated an advance in phenology. Temperature was most frequently identified as the primary driver of phenological changes; however, in many studies it was the only climate variable considered. When precipitation was examined, it often played a key role but, in contrast with temperature, the direction of phenological shifts in response to precipitation variation was difficult to predict a priori. We discuss how phenological information can inform the adaptive capacity of species, their resilience, and constraints on autonomous adaptation. We also highlight serious weaknesses in past and current data collection and analyses at large regional scales (with very few studies in the tropics or from Africa) and dramatic taxonomic biases. If accurate predictions regarding the general effects of climate change on the biology of organisms are to be made, data collection policies focussing on targeting data-deficient regions and taxa need to be financially and logistically supported.</t>
  </si>
  <si>
    <t>[Chambers, Lynda E.] Ctr Australian Weather &amp; Climate Res, Melbourne, Vic, Australia; [Altwegg, Res; Barnard, Phoebe] South African Natl Biodivers Inst, Kirstenbosch Res Ctr, Cape Town, South Africa; [Barbraud, Christophe] CNRS, CEBC, UPR 1934, Villiers En Bois, France; [Beaumont, Linda J.; Hughes, Lesley] Macquarie Univ, Dept Biol Sci, Sydney, NSW 2109, Australia; [Crawford, Robert J. M.] Dept Environm Affairs &amp; Tourism, Cape Town, South Africa; [Durant, Joel M.] Univ Oslo, Ctr Ecol &amp; Evolutionary Synth, Dept Biosci, Oslo, Norway; [Keatley, Marie R.] Univ Melbourne, Dept Forest &amp; Ecosyst Sci, Creswick, Vic, Australia; [Low, Matt] Swedish Univ Agr Sci, Dept Ecol, Uppsala, Sweden; [Morellato, Patricia C.] UNESP Univ Estadual Paulista, Lab Fenol, Dept Bot, Inst Biociencias, Sao Paulo, Brazil; [Poloczanska, Elvira S.] CSIRO Marine &amp; Atmospher Res, Climate Adaptat Flagship, Brisbane, Qld, Australia; [Ruoppolo, Valeria] Int Fund Anim Welf, Yarmouth Port, MA USA; [Ruoppolo, Valeria; Vanstreels, Ralph E. T.] Univ Sao Paulo, Lab Wildlife Comparat Pathol, Fac Vet Med, Sao Paulo, Brazil; [Woehler, Eric J.] Univ Tasmania, Inst Marine &amp; Antarctic Studies, Sandy Bay, Tas, Australia; [Altwegg, Res] Univ Cape Town, Anim Demog Unit, ZA-7700 Rondebosch, South Africa; [Barnard, Phoebe] Univ Cape Town, Percy Fitzpatrick Inst African Ornithol, DST NRF Ctr Excellence, ZA-7700 Rondebosch, South Africa</t>
  </si>
  <si>
    <t>Commonwealth Scientific &amp; Industrial Research Organisation (CSIRO); South African National Biodiversity Institute; Centre National de la Recherche Scientifique (CNRS); Macquarie University; University of Oslo; University of Melbourne; Swedish University of Agricultural Sciences; Universidade de Sao Paulo; Universidade Estadual Paulista; Commonwealth Scientific &amp; Industrial Research Organisation (CSIRO); Universidade de Sao Paulo; University of Tasmania; University of Cape Town; University of Cape Town; National Research Foundation - South Africa</t>
  </si>
  <si>
    <t>Chambers, LE (corresponding author), Ctr Australian Weather &amp; Climate Res, Melbourne, Vic, Australia.</t>
  </si>
  <si>
    <t>L.Chambers@bom.gov.au</t>
  </si>
  <si>
    <t>Beaumont, Linda J/D-5499-2012; Poloczanska, Elvira/F-4366-2014; Barbraud, Christophe/A-5870-2012; , Ralph ET Vanstreels/H-8029-2015; Morellato, Patricia/B-6026-2013; poloczanska, elvira s/P-5356-2014; Durant, Joel/D-3821-2013</t>
  </si>
  <si>
    <t>Barbraud, Christophe/0000-0003-0146-212X; Morellato, Patricia/0000-0001-5265-8988; Durant, Joel/0000-0002-1129-525X; Keatley, Marie/0000-0001-5490-576X; Beaumont, Linda/0000-0001-6307-1680; Hughes, Lesley/0000-0003-0313-9780; Woehler, Eric/0000-0002-1125-0748; Low, Matthew/0000-0002-7345-6063; poloczanska, elvira/0000-0001-8470-0925</t>
  </si>
  <si>
    <t>National Research Foundation of South Africa; Applied Centre for Climate and Earth System Science; FAPESP (Sao Paulo Research Foundation) [2010/50713-5, 2010/52113-5]; CNPq (National Council for Science); Swedish research council (FORMAS); Macquarie University; Fundacao de Amparo a Pesquisa do Estado de Sao Paulo (FAPESP) [10/50713-5, 10/52113-5] Funding Source: FAPESP</t>
  </si>
  <si>
    <t>National Research Foundation of South Africa(National Research Foundation - South Africa); Applied Centre for Climate and Earth System Science; FAPESP (Sao Paulo Research Foundation)(Fundacao de Amparo a Pesquisa do Estado de Sao Paulo (FAPESP)); CNPq (National Council for Science)(Conselho Nacional de Desenvolvimento Cientifico e Tecnologico (CNPQ)); Swedish research council (FORMAS)(Swedish Research Council Formas); Macquarie University; Fundacao de Amparo a Pesquisa do Estado de Sao Paulo (FAPESP)(Fundacao de Amparo a Pesquisa do Estado de Sao Paulo (FAPESP))</t>
  </si>
  <si>
    <t>This work is based upon research supported by the National Research Foundation of South Africa to RA, PB, and RJMC, and by the Applied Centre for Climate and Earth System Science to RA. LPCM and the Phenology Laboratory at UNESP are supported by FAPESP (Sao Paulo Research Foundation grant # 2010/50713-5 and # 2010/52113-5); LPCM receives a Research Productivity Fellowship and grant from CNPq (National Council for Science). ML is supported by the Swedish research council (FORMAS). LJB was supported by a Macquarie University New Staff Grant. The funders had no role in study design, data collection and analysis, decision to publish, or preparation of the manuscript.</t>
  </si>
  <si>
    <t>e75514</t>
  </si>
  <si>
    <t>10.1371/journal.pone.0075514</t>
  </si>
  <si>
    <t>231OR</t>
  </si>
  <si>
    <t>Green Published, gold, Green Accepted, Green Submitted</t>
  </si>
  <si>
    <t>WOS:000325427100019</t>
  </si>
  <si>
    <t>Salas-Berrios, F; Valdés-Aguilera, J; Landaeta, MF; Bustos, CA; Pérez-Vargas, A; Balbontín, F</t>
  </si>
  <si>
    <t>Salas-Berrios, Franco; Valdes-Aguilera, Javiera; Landaeta, Mauricio F.; Bustos, Claudia A.; Perez-Vargas, Alfredo; Balbontin, Fernando</t>
  </si>
  <si>
    <t>Feeding habits and diet overlap of marine fish larvae from the peri-Antarctic Magellan region</t>
  </si>
  <si>
    <t>Southern Patagonia Ice Fields; Magellan strait; Bathylagichthys parini; Patagonotothen tessellata</t>
  </si>
  <si>
    <t>PATAGONOTOTHEN-TESSELLATA RICHARDSON; WESTERN NORTH PACIFIC; BATHYLAGICHTHYS-PARINI PISCES; SOUTHEASTERN HUDSON-BAY; TRANSITION REGION; BEAGLE-CHANNEL; SOUTHERN CHILE; FRESH-WATER; ECOLOGY; FJORDS</t>
  </si>
  <si>
    <t>The Magellan region is a unique peri-Antarctic ecosystem due to its geographical position. However, the knowledge about the distribution and feeding ecology of fish larvae is scarce. Since this area is characterized by low phytoplankton biomass, we hypothesize that marine fish larvae display different foraging tactics in order to reduce diet overlap. During austral spring 2009-2010, two oceanographic cruises were carried out along southern Patagonia (50-56A degrees S). Larval fish distribution and feeding of the two most widely distributed species were studied, the smelt Bathylagichthys parini (Bathylagidae) and black southern cod Patagonotothen tessellata (Nototheniidae). Larvae of B. parini showed a lower increase in the mouth gape at size, primarily feeding during daytime (higher feeding incidence during the day) mostly on nonmotile prey (invertebrate and copepod eggs, appendicularian fecal pellets, diatoms). They showed no increase in feeding success (number, total volume of prey per gut and prey width) with increasing larval size, and the niche breadth was independent of larval size. Larvae of P. tessellata showed a large mouth gape at size, which may partially explain the predation on motile prey like large calanoid copepods (C. simillimus) and copepodites. They are nocturnal feeders (higher feeding incidence during night) and are exclusively carnivorous, feeding on larger prey as the larvae grow. Nonetheless, niche breadth was independent of larval size. Diet overlap was important only in individuals with smaller mouth gape (&lt; 890 mu m) and diminished as larvae (and correspondingly their jaw) grow. In conclusion, in the peri-Antarctic Magellan region, fish larvae of two species display different foraging tactics, reducing their trophic overlap throughout their development.</t>
  </si>
  <si>
    <t>[Salas-Berrios, Franco; Valdes-Aguilera, Javiera; Landaeta, Mauricio F.; Bustos, Claudia A.] Univ Valparaiso, Fac Ciencias Mar &amp; Recursos Nat, Lab Ictioplancton LABITI, Renaca, Vina Del Mar, Chile; [Bustos, Claudia A.] Univ Catolica Norte, Programa Doctorado Acuicultura, Larrondo 1281, Coquimbo, Chile; [Perez-Vargas, Alfredo] Univ Valparaiso, Programa Doctorado Ciencias Menc Recursos Nat Acu, Renaca, Vina Del Mar, Chile; [Balbontin, Fernando] Univ Valparaiso, Fac Ciencias Mar &amp; Recursos Nat, Lab Peces, Renaca, Vina Del Mar, Chile</t>
  </si>
  <si>
    <t>Universidad de Valparaiso; Universidad Catolica del Norte; Universidad de Valparaiso; Universidad de Valparaiso</t>
  </si>
  <si>
    <t>Landaeta, MF (corresponding author), Univ Valparaiso, Fac Ciencias Mar &amp; Recursos Nat, Lab Ictioplancton LABITI, Ave Borgona 16344, Renaca, Vina Del Mar, Chile.</t>
  </si>
  <si>
    <t>mauricio.landaeta@uv.cl</t>
  </si>
  <si>
    <t>LANDAETA, MAURICIO/X-4293-2019</t>
  </si>
  <si>
    <t>LANDAETA, MAURICIO/0000-0002-5199-5103</t>
  </si>
  <si>
    <t>Comite Oceanografico Nacional de Chile (CONA) [CIMAR 15-F 09-03, CIMAR 16-F 10-03]; Fondecyt [11090020]; CONICYT Doctorate fellowship; Universidad de Valparaiso scholarship</t>
  </si>
  <si>
    <t>Comite Oceanografico Nacional de Chile (CONA); Fondecyt(Comision Nacional de Investigacion Cientifica y Tecnologica (CONICYT)CONICYT FONDECYT); CONICYT Doctorate fellowship; Universidad de Valparaiso scholarship</t>
  </si>
  <si>
    <t>We thank the technical support in the field of Maria Ines Munoz, Dr. Leonardo R. Castro (Universidad de Concepcion) and all the crew of the AGOR Vidal Gormaz. Carolina Rojas M. helped in the analysis and separation of the plankton samples, and Nicolas Suarez-Donoso helped in the identification of some prey items. We appreciate the comments and suggestions made by two anonymous reviewers. This research was funded by Comite Oceanografico Nacional de Chile (CONA) through projects CIMAR 15-F 09-03 and CIMAR 16-F 10-03 adjudicated to CAB, MFL and FB. During the writing of the manuscript, authors were partially funded by Fondecyt 11090020 (MFL), CONICYT Doctorate fellowship (CAB) and Universidad de Valparaiso scholarship (APV).</t>
  </si>
  <si>
    <t>10.1007/s00300-013-1359-8</t>
  </si>
  <si>
    <t>WOS:000324142700002</t>
  </si>
  <si>
    <t>Pertierra, LR; Lara, F; Benayas, J; Hughes, KA</t>
  </si>
  <si>
    <t>Pertierra, Luis R.; Lara, Francisco; Benayas, Javier; Hughes, Kevin A.</t>
  </si>
  <si>
    <t>Poa pratensis L., current status of the longest-established non-native vascular plant in the Antarctic</t>
  </si>
  <si>
    <t>Smooth meadow-grass; Flowering; Summer temperatures; Dispersal agents; Eradication; Alien</t>
  </si>
  <si>
    <t>KENTUCKY BLUEGRASS; ARGENTINE ISLANDS; TERRESTRIAL; REPRODUCTION; INCREASES; RESPONSES; IMPACTS</t>
  </si>
  <si>
    <t>A single colony of the non-native grass Poa pratensis L., which was introduced inadvertently to Cierva Point, Antarctic Peninsula, during the 1954-1955 season, was still present during a survey in February 2012, making it the longest surviving non-native vascular plant colony known in Antarctica. Since 1991, the grass cover has roughly tripled in size, with an annual increase in area of approximately 0.016 m(2), and an estimated maximum radial growth rate of 1.43 cm y(-1). However, it remains restricted to the original site of introduction and its immediate surroundings (c. 1 m(2)). Annual flowering of the plants occurred during the 2010/2011 and 2011/2012 seasons; however, there has been no seed production and only incomplete development of the sexual structures. Current environmental conditions, including low temperatures, may inhibit sexual reproduction. Lack of effective vegetative dispersal may be influenced by the low level of human activity at the site, which limits opportunities for human-mediated dispersal. Although P. pratensis has existed at Cierva Point for almost 60 years, it has not yet become invasive. Scenarios for the potential future development of the species in Antarctica and the associated negative impacts upon the native vegetation from competition are discussed in the context of regional climate change. Finally, we describe the environmental risk presented by P. pratensis and argue that this non-native species should be eradicated as soon as possible in accordance with the Protocol on Environmental Protection to the Antarctic Treaty.</t>
  </si>
  <si>
    <t>[Pertierra, Luis R.; Benayas, Javier] Univ Autonoma Madrid, Dpto Ecol, E-28049 Madrid, Spain; [Lara, Francisco] Univ Autonoma Madrid, Dpto Biol Bot, E-28049 Madrid, Spain; [Hughes, Kevin A.] British Antarctic Survey, NERC, Environm Off, Cambridge CB3 0ET, England</t>
  </si>
  <si>
    <t>Autonomous University of Madrid; Autonomous University of Madrid; UK Research &amp; Innovation (UKRI); Natural Environment Research Council (NERC); NERC British Antarctic Survey</t>
  </si>
  <si>
    <t>Pertierra, LR (corresponding author), Univ Autonoma Madrid, Dpto Ecol, Calle Darwin 2, E-28049 Madrid, Spain.</t>
  </si>
  <si>
    <t>luis.pertierra@uam.es</t>
  </si>
  <si>
    <t>Pertierra, Luis R./K-3727-2017; Hughes, Kevin/JVZ-0793-2024; Lara Garcia, Francisco/I-3003-2014; Benayas Del Alamo, Fco. Javier/E-5663-2017</t>
  </si>
  <si>
    <t>Pertierra, Luis R./0000-0002-2232-428X; Lara Garcia, Francisco/0000-0002-1665-5277; Benayas Del Alamo, Fco. Javier/0000-0002-5906-9569</t>
  </si>
  <si>
    <t>Spanish National Polar Programme [MIDAH CTM2010-11013]; Natural Environment Research Council [bas010011, bas010020] Funding Source: researchfish; NERC [bas010020, bas010011] Funding Source: UKRI</t>
  </si>
  <si>
    <t>Spanish National Polar Programme; Natural Environment Research Council(UK Research &amp; Innovation (UKRI)Natural Environment Research Council (NERC)); NERC(UK Research &amp; Innovation (UKRI)Natural Environment Research Council (NERC))</t>
  </si>
  <si>
    <t>This survey was part of MIDAH CTM2010-11013 project financed by the Spanish National Polar Programme. We thank the BIO Las Palmas crew for safe transport to the field site under poor weather conditions, the staff of the Argentine Base Primavera for their support and hospitality and Miguel Angel de Pablo and Antonio Molina for helping with the field survey. We also thank Steve Colwell and Magdalena Biszczuk for the provision of meteorological data and mapping support, respectively. James Bockheim is also thanked for providing temperature records from Cierva Point. Finally we thank the anonymous reviewers for their useful and thought-provoking comments. This paper is a contribution to the SCAR EBA (Evolution and Biodiversity in Antarctica) research programme and the British Antarctic Survey's Polar Science for Planet Earth core programme EO-LTMS (Environment Office-Long-Term Monitoring and Survey).</t>
  </si>
  <si>
    <t>10.1007/s00300-013-1367-8</t>
  </si>
  <si>
    <t>WOS:000324142700008</t>
  </si>
  <si>
    <t>Fryirs, K; Snape, I; Babicka, N</t>
  </si>
  <si>
    <t>Fryirs, Kirstie; Snape, Ian; Babicka, Nadia</t>
  </si>
  <si>
    <t>The type and spatial distribution of past waste at the abandoned Wilkes Station, East Antarctica</t>
  </si>
  <si>
    <t>SITE REMEDIATION; CASEY-STATION; CONTAMINATION; CONSTRAINTS; IMPACTS; BASE</t>
  </si>
  <si>
    <t>Legacy waste is a significant problem in Antarctica. This is particularly the case where waste generated on stations prior to the 1980s was incinerated, placed in landfill sites or disposed of at sea. Although several Australian Antarctic Division (AAD) reports from the 1980s recognise that there are contaminated sites at the abandoned Wilkes Station, there has been no systematic attempt to classify the waste or define the spatial scale of the problem, making development of strategic and systematic clean-up or preservation programmes difficult. This article reports on a project to classify the waste remaining on Clark Peninsula using categories listed in Annex III, Article 2 of the Madrid Protocol (1991). 536 sites with one or more waste items have been identified in nine categories that are based on the degree of waste hazard, recyclability, heritage value and waste management potential. Fuel drums, petroleum hydrocarbons waste and contaminated sediment occur at 38% of the sites. This waste includes around 1020 partially full fuel drums. Heritage items that illustrate expedition life at Wilkes occur at about 10% of the sites. Solid, non-combustible waste, including scrap metal, copper wire and pipe, and steel mechanical parts, occurs at 25% of the sites. Potentially hazardous or harmful waste including electrical batteries, plastics including fuel bladders, food remains, treated timber and containers containing persistent compounds occur at 28% of sites. Although hazardous substances, such as caustic soda, explosives and asbestos, occur at only 9% of the sites, these items represent significant contamination and heath issues for the sites and for visiting explorers. Any future clean-up operations will require more than just the physical removal of waste. Preservation, removal and treatment of various types of waste from Wilkes will be required as part of a multi-year, multi-strategy approach.</t>
  </si>
  <si>
    <t>[Fryirs, Kirstie] Macquarie Univ, Dept Geog &amp; Environm, N Ryde, NSW 2109, Australia; [Snape, Ian] Australian Antarctic Div, Kingston, Tas 7050, Australia; [Babicka, Nadia] Dept Sustainabil Environm Water Populat &amp; Communi, Dickson, ACT 2602, Australia</t>
  </si>
  <si>
    <t>Macquarie University; Australian Antarctic Division</t>
  </si>
  <si>
    <t>Fryirs, K (corresponding author), Macquarie Univ, Dept Geog &amp; Environm, N Ryde, NSW 2109, Australia.</t>
  </si>
  <si>
    <t>kirstie.fryirs@mq.edu.au</t>
  </si>
  <si>
    <t>Fryirs, Kirstie/0000-0003-0541-3384</t>
  </si>
  <si>
    <t>Australian Antarctic Division [AAS2937]; Macquarie University New Staff Grant</t>
  </si>
  <si>
    <t>Australian Antarctic Division; Macquarie University New Staff Grant</t>
  </si>
  <si>
    <t>We thank the Australian Antarctic Division for logistical and financial support under project AAS2937. Other financial support came from a Macquarie University New Staff Grant awarded to Kirstie Fryirs. We thank Erla Hafsteinsdottir for her help in the field. Damian Gore and two anonymous reviewers provided comments on this paper.</t>
  </si>
  <si>
    <t>10.1017/S0032247412000721</t>
  </si>
  <si>
    <t>WOS:000324397000002</t>
  </si>
  <si>
    <t>Lima, M; Estay, SA</t>
  </si>
  <si>
    <t>Lima, Mauricio; Estay, Sergio A.</t>
  </si>
  <si>
    <t>Warming effects in the western Antarctic Peninsula ecosystem: the role of population dynamic models for explaining and predicting penguin trends</t>
  </si>
  <si>
    <t>POPULATION ECOLOGY</t>
  </si>
  <si>
    <t>Climate change; Dynamics; Krill; Penguin populations; Predictions</t>
  </si>
  <si>
    <t>CLIMATE-CHANGE; SEA-ICE; SOUTHERN-OCEAN; ECOLOGICAL RESPONSES; ADELIE; COMPETITION; VARIABILITY; PREDATORS; LINKS; PREY</t>
  </si>
  <si>
    <t>The western Antarctica Peninsula and Scotia Sea ecosystems appear to be driven by complex links between climatic variables, primary productivity, krill and Avian predators. There are several studies reporting statistical relationships between climate, krill and Penguin population size. The Ad,lie (Pygoscelis adeliae), Chinstrap (P. antarctica) and Gentoo (P. papua) penguins appear to be influenced by interannual variability in sea-ice extent and krill biomass. In this paper we developed simple conceptual models to decipher the role of climate and krill fluctuations on the population dynamics of these three Pygoscelis penguin species inhabiting the Antarctic Peninsula region. Our results suggest that the relevant processes underlying the population dynamics of these penguin species at King George Island (South Shetland Islands) are intra-specific competition and the combined effects of krill abundance and sea-ice cover. Our results using population theoretical models appear to support that climate change, specifically regional warming on the western Antarctic Peninsula, represents a major driver. At our study site, penguins showed species-specific responses to climate change. While Chinstrap penguins were only influenced by krill abundance, the contrasting population trends of Ad,lie and Gentoo penguins appear to be better explained by the sea-ice hypothesis. We think that proper population dynamic modeling and theory are essential for deciphering and proposing the ecological mechanisms underlying dynamics of these penguin populations.</t>
  </si>
  <si>
    <t>[Lima, Mauricio] Pontificia Univ Catolica Chile, Dept Ecol, Santiago 6513677, Chile; [Estay, Sergio A.] Univ Austral Chile, Inst Ciencias Ambientales &amp; Evolut, Fac Ciencias, Valdivia, Chile</t>
  </si>
  <si>
    <t>Pontificia Universidad Catolica de Chile; Universidad Austral de Chile</t>
  </si>
  <si>
    <t>Lima, M (corresponding author), Pontificia Univ Catolica Chile, Dept Ecol, Casilla 114-D, Santiago 6513677, Chile.</t>
  </si>
  <si>
    <t>mlima@bio.puc.cl</t>
  </si>
  <si>
    <t>Lima, Mauricio/F-2722-2013</t>
  </si>
  <si>
    <t>Lima, Mauricio/0000-0002-3700-2945; Estay, Sergio/0000-0002-3797-8964</t>
  </si>
  <si>
    <t>INACH [G_10-10]</t>
  </si>
  <si>
    <t>INACH</t>
  </si>
  <si>
    <t>Funded by INACH G_10-10. ML acknowledges to LINC-Global. We thank Javier Arata for his assistance and previous discussions on Antarctic ecology. We thank the Commission for the Conservation of Antarctic Marine Living Resources (CCAMLR) secretary for the permission to use krill data.</t>
  </si>
  <si>
    <t>1438-3896</t>
  </si>
  <si>
    <t>1438-390X</t>
  </si>
  <si>
    <t>POPUL ECOL</t>
  </si>
  <si>
    <t>Popul. Ecol.</t>
  </si>
  <si>
    <t>10.1007/s10144-013-0386-1</t>
  </si>
  <si>
    <t>227SA</t>
  </si>
  <si>
    <t>WOS:000325133100005</t>
  </si>
  <si>
    <t>Marschall, HR; Hawkesworth, CJ; Leat, PT</t>
  </si>
  <si>
    <t>Marschall, Horst R.; Hawkesworth, Chris J.; Leat, Philip T.</t>
  </si>
  <si>
    <t>Mesoproterozoic subduction under the eastern edge of the Kalahari-Grunehogna Craton preceding Rodinia assembly: The Ritscherflya detrital zircon record, Ahlmannryggen (Dronning Maud Land, Antarctica)</t>
  </si>
  <si>
    <t>PRECAMBRIAN RESEARCH</t>
  </si>
  <si>
    <t>Detrital zircon; Geochronology; Dronning Maud Land; Rodinia; Mesoproterozoic</t>
  </si>
  <si>
    <t>GRENVILLE-AGE METAMORPHISM; ANNANDAGSTOPPANE GRANITE; BORGMASSIVET INTRUSIONS; TRACE-ELEMENT; PB; CONSTRAINTS; MAGMATISM; EVOLUTION; HEIMEFRONTFJELLA; EVENTS</t>
  </si>
  <si>
    <t>The similar to 2000 m thick clastic and volcaniclastic sedimentary rock pile of the Mesoproterozoic Ritscherflya Supergroup is located near the eastern margin of the Archaean Grunehogna Craton of Dronning Maud Land (East Antarctica). The sedimentary rocks were deposited proximal to an active volcanic arc formed during subduction prior to the assembly of the Rodinia supercontinent. In this study, we investigated internal zonation and U-Pb ages of detrital zircon grains from all formations of the Ahlmannryggen and Jutulstraumen groups of the Ritscherflya Supergroup. Our results show an age distribution with a dominant age peak at similar to 1130 Ma, close to the sedimentation age of the sedimentary rocks (similar to 1130-1107 Ma), which strongly supports the model of deposition of the sediments in a convergent margin setting. Older peaks in the Ritscherflya sedimentary rock zircon spectrum with ages up to 3445 +/- 7 Ma that were also identified in samples from the Grunehogna Craton basement reflect tectono-magmatic events in the Kalahari Craton. This provides further evidence for the Archaean and Proterozoic connection of the Grunehogna province to the African Kalahari Craton. Parts of the Mesoproterozoic volcanic arc were located on Archaean cratonic basement (similar to 2800-3450 Ma), whereas other parts tapped late Palaeoproterozoic crust (similar to 1750 Ma). This is evidence from a number of inherited Archaean and Proterozoic cores in zircons with Stenian rims. The Ritscherflya zircon record, therefore, supports models of the eastern margin of the Kalahari-Grunehogna Craton that include inward subduction with an active continental margin prior to collision in Dronning Maud Land. The intercalation of the clastic sedimentary rocks with volcaniclastic materials strongly supports the interpretation of a very proximal volcanic source. The sedimentary rocks were affected by regional low-grade metamorphism during the collisional orogeny related to Rodinia assembly and during the Pan-African orogeny related to the assembly of Gondwana. This is evident from metamorphic recrystallisation of zircon at 1086 +/- 4 Ma and from discordancy of many grains pointing to late Neoproterozoic to early Phanerozoic lead loss. (C) 2013 Elsevier B.V. All rights reserved.</t>
  </si>
  <si>
    <t>[Marschall, Horst R.] Woods Hole Oceanog Inst, Dept Geol &amp; Geophys, Woods Hole, MA 02543 USA; [Marschall, Horst R.] Univ Bristol, Sch Earth Sci, Bristol BS8 1RJ, Avon, England; [Hawkesworth, Chris J.] Univ St Andrews, Dept Earth Sci, St Andrews KY16 9AJ, Fife, Scotland; [Leat, Philip T.] British Antarctic Survey, Cambridge CB3 0ET, England; [Leat, Philip T.] Univ Leicester, Dept Geol, Leicester LE1 7RH, Leics, England</t>
  </si>
  <si>
    <t>Woods Hole Oceanographic Institution; University of Bristol; University of St Andrews; UK Research &amp; Innovation (UKRI); Natural Environment Research Council (NERC); NERC British Antarctic Survey; University of Leicester</t>
  </si>
  <si>
    <t>Marschall, HR (corresponding author), Woods Hole Oceanog Inst, Dept Geol &amp; Geophys, Woods Hole, MA 02543 USA.</t>
  </si>
  <si>
    <t>hmarschall@whoi.edu</t>
  </si>
  <si>
    <t>Marschall, Horst/E-1661-2011; EIMF, EIMF/AAD-8512-2020</t>
  </si>
  <si>
    <t>Marschall, Horst/0000-0002-0609-682X; EIMF, EIMF/0000-0001-6248-6657</t>
  </si>
  <si>
    <t>NERC Antarctic Funding Initiative [NE/D008689/1]; NERC analytical grant [IMF364/1008]; NSF polar program [1142156]; Natural Environment Research Council [IMF010001, NE/D008689/1, bas010020, bas0100026] Funding Source: researchfish; Directorate For Geosciences; Division Of Polar Programs [1142156] Funding Source: National Science Foundation; NERC [bas0100026, NE/D008689/1, IMF010001, bas010020] Funding Source: UKRI</t>
  </si>
  <si>
    <t>NERC Antarctic Funding Initiative(UK Research &amp; Innovation (UKRI)Natural Environment Research Council (NERC)); NERC analytical grant; NSF polar program; Natural Environment Research Council(UK Research &amp; Innovation (UKRI)Natural Environment Research Council (NERC)); Directorate For Geosciences; Division Of Polar Programs(National Science Foundation (NSF)NSF - Directorate for Geosciences (GEO)); NERC(UK Research &amp; Innovation (UKRI)Natural Environment Research Council (NERC))</t>
  </si>
  <si>
    <t>Technical assistance during sample preparation by Rosalind Preston and Lauren Baxter is gratefully acknowledged. We thank John Craven and Richard Hinton (Ion Microprobe Facility, University of Edinburgh) for advice and guidance in obtaining the U-Pb data. We thank Peter Cawood for comments that helped to improve the manuscript. Positive reviews by Joachim Jacobs and an anonymous colleague are acknowledged, as well as editorial handling by Guochun Zhao. This study was financially supported by the NERC Antarctic Funding Initiative (grant NE/D008689/1 to CJH), a NERC analytical grant (grant IMF364/1008 to CJH/HRM) and the NSF polar program (AES grant 1142156 to HRM). The British Antarctic Survey (BAS) is acknowledged for preparation for and organisation of the field season and the logistics during the trip, with special thanks to field assistant Sune Tamm-Buckle. Also the Norwegian Polar Institute and the team of Troll station are thanked for actively supporting our field party.</t>
  </si>
  <si>
    <t>0301-9268</t>
  </si>
  <si>
    <t>1872-7433</t>
  </si>
  <si>
    <t>PRECAMBRIAN RES</t>
  </si>
  <si>
    <t>Precambrian Res.</t>
  </si>
  <si>
    <t>10.1016/j.precamres.2013.07.006</t>
  </si>
  <si>
    <t>277GD</t>
  </si>
  <si>
    <t>WOS:000328806100003</t>
  </si>
  <si>
    <t>Stokes, CR; Spagnolo, M; Clark, CD; Cofaigh, CO; Lian, OB; Dunstone, RB</t>
  </si>
  <si>
    <t>Stokes, C. R.; Spagnolo, M.; Clark, C. D.; Cofaigh, C. O.; Lian, O. B.; Dunstone, R. B.</t>
  </si>
  <si>
    <t>Formation of mega-scale glacial lineations on the Dubawnt Lake Ice Stream bed: 1. size, shape and spacing from a large remote sensing dataset</t>
  </si>
  <si>
    <t>Mega-scale glacial lineations; Subglacial bedforms; Ice stream</t>
  </si>
  <si>
    <t>ANTARCTIC SHELF BEDFORMS; YORK DRUMLIN FIELD; SUBGLACIAL BEDFORMS; CANADIAN SHIELD; SPECIAL ATTENTION; MELTWATER ORIGIN; SHEET; TILL; FLOW; BENEATH</t>
  </si>
  <si>
    <t>Mega-scale glacial lineations (1VISGLs) are the largest flow parallel bedforms produced by ice sheets and are formed beneath rapidly-flowing ice streams. Knowledge of their characteristics and genesis is likely to result in an improved understanding of the rate at which ice and sediment are discharged by ice sheets, but there is little consensus as to how they are formed and there are few quantitative datasets of their characteristics with which to formulate or test hypotheses. This paper presents the results of a remote sensing survey of 46,000 bedforms on the Dubawnt Lake palaeo-ice stream bed, focussing on a central transect of 17,038 that includes highly elongate bedforms previously described as MSGLs. Within this transect, lineations exceed 10 km in length (max. &gt;20 km) and 23% have elongation ratios &gt;10:1 (max. 149:1). Highly elongate features are interspersed with much shorter drumlin-like features, but longer bedforms are typically narrower, suggesting that their length develops more quickly than, or at the expense of, their width. Bedforms are broadly symmetrical in plan-form and have a preferred lateral spacing of 50-250 m, which implies a regular, rather than random, pattern of corrugations. Comparison with drumlins reveals that the more attenuated MSGLs simply extend the tail' of the distribution of data, rather than plotting as a separate population. Taken together, this supports the idea of a subglacial bedform continuum primarily controlled by ice velocity, but existing hypotheses of MSGL formation are either not supported, or are insufficiently developed to explain our observations. Rather, we conclude that, under conditions of rapid ice flow, MSGLs attain their great length relatively quickly (decades) through a probable combination of subglacial deformation, which attenuates ridges, and erosional processes that removes material from between them. (C) 2013 Elsevier Ltd. All rights reserved.</t>
  </si>
  <si>
    <t>[Stokes, C. R.; Cofaigh, C. O.; Dunstone, R. B.] Univ Durham, Dept Geog, Durham DH1 3LE, England; [Spagnolo, M.] Univ Aberdeen, Sch Geosci, Aberdeen AB9 1FX, Scotland; [Clark, C. D.] Univ Sheffield, Dept Geog, Sheffield S10 2TN, S Yorkshire, England; [Lian, O. B.] Univ Fraser Valley, Dept Geog, Abbotsford, BC, Canada</t>
  </si>
  <si>
    <t>Durham University; University of Aberdeen; University of Sheffield; University of Fraser Valley</t>
  </si>
  <si>
    <t>Stokes, CR (corresponding author), Univ Durham, Dept Geog, Durham DH1 3LE, England.</t>
  </si>
  <si>
    <t>c.r.stokes@durham.ac.uk</t>
  </si>
  <si>
    <t>Spagnolo, Matteo/G-2415-2011; clark, chris/C-3830-2009; Stokes, Chris/A-1957-2011</t>
  </si>
  <si>
    <t>Spagnolo, Matteo/0000-0002-2753-338X; clark, chris/0000-0002-1021-6679; Stokes, Chris/0000-0003-3355-1573</t>
  </si>
  <si>
    <t>UK Natural Environment Research Council [NER/M/S/2003/00050, NE/J004766/1]; Natural Science and Engineering Research Council (NSERC) of Canada Discovery Grant; Philip Leverhulme Prize; Natural Environment Research Council [NER/M/S/2003/00050, NE/J004766/1] Funding Source: researchfish; NERC [NE/J004766/1] Funding Source: UKRI</t>
  </si>
  <si>
    <t>UK Natural Environment Research Council(UK Research &amp; Innovation (UKRI)Natural Environment Research Council (NERC)); Natural Science and Engineering Research Council (NSERC) of Canada Discovery Grant(Natural Sciences and Engineering Research Council of Canada (NSERC)); Philip Leverhulme Prize(Leverhulme Trust); Natural Environment Research Council(UK Research &amp; Innovation (UKRI)Natural Environment Research Council (NERC)); NERC(UK Research &amp; Innovation (UKRI)Natural Environment Research Council (NERC))</t>
  </si>
  <si>
    <t>This work was funded primarily by UK Natural Environment Research Council grants to CRS (NER/M/S/2003/00050) and MS (NE/J004766/1). Additional support was provided by a Natural Science and Engineering Research Council (NSERC) of Canada Discovery Grant to OBL. The Nunavut Research Institute is thanked for providing a scientific research license and Rob Currie, Mark Loewen and Boris Kotelewetz are thanked for their unstinting field assistance and logistical support. CRS would like to acknowledge further financial support from a Philip Leverhulme Prize, which helped facilitate a sabbatical at the University of California, Santa Cruz. We thank the editor (Neil Glasser) and thoughtful reviews by Martin Ross, John Shaw (Geological Survey of Canada) and an anonymous referee.</t>
  </si>
  <si>
    <t>10.1016/j.quascirev.2013.06.003</t>
  </si>
  <si>
    <t>WOS:000325235600016</t>
  </si>
  <si>
    <t>Cofaigh, CO; Stokes, CR; Lian, OB; Clark, CD; Tulaczyk, S</t>
  </si>
  <si>
    <t>Cofaigh, C. O.; Stokes, C. R.; Lian, O. B.; Clark, C. D.; Tulaczyk, S.</t>
  </si>
  <si>
    <t>Formation of mega-scale glacial lineations on the Dubawnt Lake Ice Stream bed: 2. Sedimentology and stratigraphy</t>
  </si>
  <si>
    <t>Mega-scale glacial lineations; Ice streams; Dubawnt Lake Palaeo-Ice Stream; Sedimentology; Subglacial bedforms</t>
  </si>
  <si>
    <t>DEFORMATION BENEATH GLACIERS; ANTARCTIC SHELF BEDFORMS; SUBGLACIAL TILL; CONTINENTAL-SHELF; SPECIAL ATTENTION; MELTWATER ORIGIN; CANADIAN SHIELD; SHEET; FLOW; RECONSTRUCTION</t>
  </si>
  <si>
    <t>Mega-scale glacial lineations (MSGLs) are highly elongate, subglacial landforrns produced beneath zones of fast-flowing ice. While qualitative data on their morphology have existed for several decades, studies of their composition and sedimentology are comparatively rare. Sediment exposures along the course of the Finnie River in Nunavut, northern Canada, provide a window into the internal stratigraphy and sedimentology of MSGLs formed by the Dubawnt Lake Palaeo-Ice Stream during regional deglaciation of the Laurentide Ice Sheet. Stratigraphic sections record evidence for an initial advance of ice into the study area followed by ice sheet recession and deposition of glacifluvial and glacilacustrine outwash. Subsequently, the Dubawnt Lake Palaeo-Ice Stream overrode and reworked this outwash subglacially forming an 'MSGL till'. This till comprises a sandy, red diamicton fades, forming the core of the MSGL ridges and containing variably deformed lenses, stringers and rafts of outwash. The sedimentology of this diamicton is consistent with an origin as a glacitectonite and hybrid till formed by a combination of non-pervasive subglacial sediment deformation and lodgement. Facies variations from stratified to massive diamicton reflect, in turn, variations in strain and subglacial transport distance. The occurrence of stratified glacifluvial sediments within these ridges and the well-preserved nature of many of the sandy inclusions within the diamicton imply relatively short transport distances and incomplete mixing. MSGLs under the Dubawnt Lake Palaeo-Ice Stream formed through a combination of subglacial erosion and deposition. This included non-pervasive, subglacial sediment deformation and the reworking of pre-existing sediment depocentres during streaming flow. These results highlight the importance of sediment supply to MSGL formation with the presence of abundant pre-existing sediments which were subsequently overridden being critical to lineation formation. (C) 2013 The Authors. Published by Elsevier Ltd. All rights reserved.</t>
  </si>
  <si>
    <t>[Cofaigh, C. O.; Stokes, C. R.] Univ Durham, Dept Geog, Durham DH1 3LE, England; [Lian, O. B.] Univ Fraser Valley, Dept Geog, Abbotsford, BC, Canada; [Clark, C. D.] Univ Sheffield, Dept Geog, Sheffield S10 2TN, S Yorkshire, England; [Tulaczyk, S.] Univ Calif Santa Cruz, Dept Earth &amp; Planetary Sci, Santa Cruz, CA 95064 USA</t>
  </si>
  <si>
    <t>Durham University; University of Fraser Valley; University of Sheffield; University of California System; University of California Santa Cruz</t>
  </si>
  <si>
    <t>Cofaigh, CO (corresponding author), Univ Durham, Dept Geog, Durham DH1 3LE, England.</t>
  </si>
  <si>
    <t>colm.ocofaigh@durham.ac.uk</t>
  </si>
  <si>
    <t>Tulaczyk, Slawek/O-7375-2018; Stokes, Chris/A-1957-2011; clark, chris/C-3830-2009</t>
  </si>
  <si>
    <t>Stokes, Chris/0000-0003-3355-1573; clark, chris/0000-0002-1021-6679</t>
  </si>
  <si>
    <t>UK NERC grants [NERIM/S/2003/00050, NE/B501171/1]; Natural Science and Engineering Research Council (NSERC) of Canada Discovery Grant; Natural Environment Research Council [NER/M/S/2003/00050, NE/B501171/1] Funding Source: researchfish</t>
  </si>
  <si>
    <t>UK NERC grants; Natural Science and Engineering Research Council (NSERC) of Canada Discovery Grant(Natural Sciences and Engineering Research Council of Canada (NSERC)); Natural Environment Research Council(UK Research &amp; Innovation (UKRI)Natural Environment Research Council (NERC))</t>
  </si>
  <si>
    <t>This research was funded by UK NERC grants NERIM/S/2003/00050 to Chris Stokes and NE/B501171/1 to Cohn O Cofaigh. Olav Lian was funded in part by a Natural Science and Engineering Research Council (NSERC) of Canada Discovery Grant. Thanks to Rob Currie and Mark Loewen for excellent field and logistical support. We thank Martin Ross and the two anonymous reviewers whose comments led to improvements in the manuscript.</t>
  </si>
  <si>
    <t>10.1016/j.quascirev.2013.06.028</t>
  </si>
  <si>
    <t>WOS:000325235600017</t>
  </si>
  <si>
    <t>van Gestel, NC; Reischke, S; Bååth, E</t>
  </si>
  <si>
    <t>van Gestel, Natasja C.; Reischke, Stephanie; Baath, Erland</t>
  </si>
  <si>
    <t>Temperature sensitivity of bacterial growth in a hot desert soil with large temperature fluctuations</t>
  </si>
  <si>
    <t>Temperature sensitivity; Bacterial growth; Desert; Leucine incorporation; Temperature fluctuations; Community adaptation</t>
  </si>
  <si>
    <t>LEUCINE INCORPORATION; ADAPTATION; THYMIDINE; COMMUNITIES; RESPIRATION; ASSEMBLAGES; FUNGI; MODEL</t>
  </si>
  <si>
    <t>Hot desert ecosystems are characterized by high soil temperatures with large fluctuations annually and diurnally. Thus, one could hypothesize that not only the microbial community would be adapted to high temperatures, but also have a large temperature range conducive for growth. We determined the temperature sensitivity of the soil bacterial community from the Chihuahuan Desert, Big Bend National Park, Texas, USA, using leucine incorporation as a proxy for bacterial growth. Soil samples were taken during early spring and mid-summer from the surface (0-5 cm) and deeper (15-20 cm) soil layers. Mean winter soil temperature preceding the spring samples was 15 degrees C and in summer 36 degrees C at both depths, but with larger amplitude in the top soil than deeper down. T-min was significantly lower in the top 0-5 cm than at 15-20 cm, -1.2 and 0.0 degrees C, respectively. T-opt also was higher in the top soil than deeper down, 42.9 and 41.4 degrees C, respectively, resulting in a larger temperature range for growth (T-opt - T-min) in the top soil reflecting the larger temperature fluctuations in this layer. There were no significant differences in cardinal temperatures for bacterial growth in soils sampled in early spring and mid-summer despite large seasonal differences in temperatures, showing that long periods of colder temperatures was less important than periods of high temperatures as selection pressure for temperature sensitivity. Comparing with earlier results from Antarctic soils (Rinnan et al., 2009), which in contrast represent an extremely low temperature environment, we suggest that the range of temperature cardinal temperatures for soil bacterial communities globally varies from around -15 to 0 degrees C for T-min and 25 to 45 degrees C for T-opt. (C) 2013 Elsevier Ltd. All rights reserved.</t>
  </si>
  <si>
    <t>[van Gestel, Natasja C.] Texas Tech Univ, Dept Biol Sci, Lubbock, TX 79409 USA; [Reischke, Stephanie; Baath, Erland] Lund Univ, Dept Biol, Sect Microbial Ecol, SE-22362 Lund, Sweden</t>
  </si>
  <si>
    <t>Texas Tech University System; Texas Tech University; Lund University</t>
  </si>
  <si>
    <t>van Gestel, NC (corresponding author), Texas Tech Univ, Dept Biol Sci, Lubbock, TX 79409 USA.</t>
  </si>
  <si>
    <t>natasja.gestel@ttu.edu</t>
  </si>
  <si>
    <t>Baath, Erland/0000-0002-2616-1342</t>
  </si>
  <si>
    <t>National Park Service; South-Central Climate Science Centre; Swedish Research Council [2009-4503]</t>
  </si>
  <si>
    <t>National Park Service; South-Central Climate Science Centre; Swedish Research Council(Swedish Research Council)</t>
  </si>
  <si>
    <t>Funding was provided by the National Park Service and the South-Central Climate Science Centre (N.C.v.G.). Thanks to the National Park Service, especially Dr. Joe Sirotnak, at Big Bend National Park, for help with the research permit and logistics. This work was also supported by a grant from the Swedish Research Council (Project No. 2009-4503) to E.B. This work was part of LUCCI (Lund University Centre for Studies of Carbon Cycle and Climate Interactions).</t>
  </si>
  <si>
    <t>10.1016/j.soilbio.2013.05.016</t>
  </si>
  <si>
    <t>208NQ</t>
  </si>
  <si>
    <t>WOS:000323686800022</t>
  </si>
  <si>
    <t>Ganguly, ND</t>
  </si>
  <si>
    <t>Ganguly, N. D.</t>
  </si>
  <si>
    <t>High surface ozone episodes at Maitri in Antarctica</t>
  </si>
  <si>
    <t>INDIAN JOURNAL OF PHYSICS</t>
  </si>
  <si>
    <t>Surface ozone; Stratospheric intrusion; Back trajectories; Potential vorticity; Vertical pressure velocity; Relative humidity; Geopotential height</t>
  </si>
  <si>
    <t>STRATOSPHERE-TROPOSPHERE EXCHANGE; INTRUSION; TRANSPORT</t>
  </si>
  <si>
    <t>The contribution of Stratosphere Troposphere Exchange (STE) leading to high surface ozone levels at the Indian Antarctic station Maitri has been investigated in this paper over a period of 10 years from 1998 to 2007. It has been observed that out of 120 case studies covered in this paper, higher than normal surface ozone episodes have occurred on 50 (41.67 %) occasions. Out of these 50 occasions, high surface ozone due to STE occurred on 18 occasions (7 during summer and 11 during winter). The overall contribution of STE towards high surface ozone episodes was 15 % in this study.</t>
  </si>
  <si>
    <t>St Xaviers Coll, Dept Phys, Ahmadabad 380009, Gujarat, India</t>
  </si>
  <si>
    <t>Ganguly, ND (corresponding author), St Xaviers Coll, Dept Phys, Ahmadabad 380009, Gujarat, India.</t>
  </si>
  <si>
    <t>ganguly.nandita@gmail.com</t>
  </si>
  <si>
    <t>ISRO under the CAWSES India project</t>
  </si>
  <si>
    <t>I acknowledge India Meteorological Department, the European Centre for Medium-Range Weather Forecasts and NCEP Reanalysis for the data provided in this study. I also acknowledge ISRO for providing grant under the CAWSES India project and Prof. J. N. Goswami, Director of Physical Research Laboratory Ahmedabad for providing library facility.</t>
  </si>
  <si>
    <t>INDIAN ASSOC CULTIVATION SCIENCE</t>
  </si>
  <si>
    <t>KOLKATA</t>
  </si>
  <si>
    <t>INDIAN J PHYSICS, JADAVPUR, KOLKATA 700 032, INDIA</t>
  </si>
  <si>
    <t>0973-1458</t>
  </si>
  <si>
    <t>INDIAN J PHYS</t>
  </si>
  <si>
    <t>Indian J. Phys.</t>
  </si>
  <si>
    <t>10.1007/s12648-013-0325-1</t>
  </si>
  <si>
    <t>209EV</t>
  </si>
  <si>
    <t>WOS:000323738000001</t>
  </si>
  <si>
    <t>Stopa, JE; Cheung, KF; Tolman, HL; Chawla, A</t>
  </si>
  <si>
    <t>Stopa, Justin E.; Cheung, Kwok Fai; Tolman, Hendrik L.; Chawla, Arun</t>
  </si>
  <si>
    <t>Patterns and cycles in the Climate Forecast System Reanalysis wind and wave data</t>
  </si>
  <si>
    <t>Climate Forecast System Reanalysis; Wave modeling; Climate cycles; Wave hindcasting; WAVEWATCH III</t>
  </si>
  <si>
    <t>NORTH-ATLANTIC; GEOPOTENTIAL HEIGHT; OCEAN; VARIABILITY; PACIFIC; SWELL; TELECONNECTIONS; IMPLEMENTATION; TRENDS; ENERGY</t>
  </si>
  <si>
    <t>The Climate Forecast System Reanalysis and the corresponding WAVEWATCH III hindcast datasets allow climatic interpretation of winds as well as their impacts on waves. In this paper, we analyze the continuous 31 years of global wind and wave data in terms of climate patterns and cycles. Quarterly averages and percentile plots of the wind speed and wave height illustrate the seasonal pattern and distributions of extreme events, while the annual and inter-annual variability demonstrates the wind and wave climate. The data is correlated with published indices of known atmospheric cycles. The datasets show good correspondence with the Arctic Oscillation, Antarctic Oscillation, El Nino Southern Oscillation, and the Madden-Julian Oscillation in both the wind and wave fields. The results compare well with published climate studies on regional scales and provide important linkage to the global wave climate characteristics. Published by Elsevier Ltd.</t>
  </si>
  <si>
    <t>[Stopa, Justin E.; Cheung, Kwok Fai] Univ Hawaii Manoa ORE UHM, Dept Ocean &amp; Resources Engn, Honolulu, HI 96822 USA; [Tolman, Hendrik L.; Chawla, Arun] NOAA NCEP EMC, College Pk, MD 20740 USA</t>
  </si>
  <si>
    <t>University of Hawaii System; University of Hawaii Manoa; National Oceanic Atmospheric Admin (NOAA) - USA</t>
  </si>
  <si>
    <t>Cheung, KF (corresponding author), Univ Hawaii Manoa ORE UHM, Dept Ocean &amp; Resources Engn, Honolulu, HI 96822 USA.</t>
  </si>
  <si>
    <t>stopa@hawaii.edu; cheung@hawaii.edu; hendrik.tolman@noaa.gov; arun.chawla@noaa.gov</t>
  </si>
  <si>
    <t>Stopa, Justin/0000-0002-7477-8224</t>
  </si>
  <si>
    <t>Department of Energy via the National Marine Renewable Energy Center [DE-FG36-08G018180]</t>
  </si>
  <si>
    <t>Department of Energy via the National Marine Renewable Energy Center(United States Department of Energy (DOE))</t>
  </si>
  <si>
    <t>The Department of Energy supported this study through Grant No. DE-FG36-08G018180 via the National Marine Renewable Energy Center. We would like to thank the guest editor Dr. Mark Hemer, Dr. Fernando Mendez, and two anonymous reviewers for the comments and suggestions that have improved this paper. SOEST Contribution Number 8699.</t>
  </si>
  <si>
    <t>10.1016/j.ocemod.2012.10.005</t>
  </si>
  <si>
    <t>WOS:000323776800018</t>
  </si>
  <si>
    <t>Zhang, PY; Liu, SH; Chen, KS</t>
  </si>
  <si>
    <t>Zhang, Pengying; Liu, Shenghao; Chen, Kaoshan</t>
  </si>
  <si>
    <t>Characterization and Expression Analysis of a Glutathione Reductase Gene from Antarctic Moss Pohlia nutans</t>
  </si>
  <si>
    <t>PLANT MOLECULAR BIOLOGY REPORTER</t>
  </si>
  <si>
    <t>Cold adaptation; Pohlia nutans; Glutathione reductase; Stress</t>
  </si>
  <si>
    <t>MOLECULAR-CLONING; STRESS; TOLERANCE; ROOTS</t>
  </si>
  <si>
    <t>Glutathione reductase (GR) is a flavoprotein oxidoreductase and plays an important role in response to oxidative stresses in plants. A cDNA-encoding cytosolic GR [GenBank accession number GACA01029426, designated as Pohlia nutans glutathione reductase gene (PnGR)] was successfully cloned from Antarctic moss P. nutans. The full-length PnGR cDNA has 1,654 bp nucleotides with an open reading frame of 1,494 bp, encoding 497 amino acid residues. The deduced amino acid sequence of PnGR had 87.0 % identity with GR in Physcomitrella patens subsp. patens. The phylogenetic analysis showed that PnGR is clustered together with known cytosolic GR in other plants. In addition, the subcellular localization analysis by observing the transient expression of PnGR-green fluorescent protein fusion protein in Arabidopsis thaliana mesophyll protoplasts also revealed PnGR targeting to cytosol in plant cells. The expression patterns of PnGR under different abiotic stresses were determined by real-time PCR. Compared to the normal condition, the maximal mRNA accumulation of PnGR increased 3.82-fold at 4 A degrees C, 2.92-fold at 10 A degrees C, 4.14-fold with 200 mM NaCl, and 3.17-fold with drought stress, respectively. Together, our results suggested that the inducible PnGR might play an important role in Antarctic moss P. nutans acclimatizing to polar environment.</t>
  </si>
  <si>
    <t>[Zhang, Pengying; Liu, Shenghao; Chen, Kaoshan] Shandong Univ, Natl Glycoengn Res Ctr, Jinan 250100, Peoples R China; [Zhang, Pengying; Liu, Shenghao; Chen, Kaoshan] Shandong Univ, Coll Life Sci, Jinan 250100, Peoples R China; [Zhang, Pengying; Liu, Shenghao; Chen, Kaoshan] Shandong Univ, Key Lab Plant Cell Engn &amp; Germplasm Innovat, Minist Educ, Jinan 250100, Peoples R China; [Liu, Shenghao] State Ocean Adm, Inst Oceanog 1, Key Lab Marine Bioact Subst, Qingdao 266061, Peoples R China</t>
  </si>
  <si>
    <t>Shandong University; Shandong University; Shandong University; First Institute of Oceanography, Ministry of Natural Resources</t>
  </si>
  <si>
    <t>Chen, KS (corresponding author), Shandong Univ, Key Lab Plant Cell Engn &amp; Germplasm Innovat, Minist Educ, Jinan 250100, Peoples R China.</t>
  </si>
  <si>
    <t>ksc313@126.com</t>
  </si>
  <si>
    <t>Liu, Shenghao/ISU-3076-2023</t>
  </si>
  <si>
    <t>Liu, Shenghao/0000-0002-1449-3526</t>
  </si>
  <si>
    <t>National Natural Science Foundation of China [40906103, 41206176]; Basic Scientific Research Foundation of the First Institute of Oceanography (SOA)</t>
  </si>
  <si>
    <t>National Natural Science Foundation of China(National Natural Science Foundation of China (NSFC)); Basic Scientific Research Foundation of the First Institute of Oceanography (SOA)</t>
  </si>
  <si>
    <t>This work was financially supported by the National Natural Science Foundation of China (40906103 and 41206176) and Basic Scientific Research Foundation of the First Institute of Oceanography (SOA).</t>
  </si>
  <si>
    <t>0735-9640</t>
  </si>
  <si>
    <t>1572-9818</t>
  </si>
  <si>
    <t>PLANT MOL BIOL REP</t>
  </si>
  <si>
    <t>Plant Mol. Biol. Rep.</t>
  </si>
  <si>
    <t>10.1007/s11105-013-0572-5</t>
  </si>
  <si>
    <t>Biochemical Research Methods; Plant Sciences</t>
  </si>
  <si>
    <t>208HY</t>
  </si>
  <si>
    <t>WOS:000323669900002</t>
  </si>
  <si>
    <t>le Roux, PC; Shaw, JD; Chown, SL</t>
  </si>
  <si>
    <t>le Roux, Peter C.; Shaw, Justine D.; Chown, Steven L.</t>
  </si>
  <si>
    <t>Ontogenetic shifts in plant interactions vary with environmental severity and affect population structure</t>
  </si>
  <si>
    <t>NEW PHYTOLOGIST</t>
  </si>
  <si>
    <t>competition; environmental gradient; facilitation; ontogenetic shift; ontogeny; plant-plant interaction; population structure; size-class distribution</t>
  </si>
  <si>
    <t>STRESS-GRADIENT HYPOTHESIS; SPECIES AZORELLA-SELAGO; CLIMATE-CHANGE; MARION ISLAND; CUSHION PLANT; POSITIVE INTERACTIONS; INTERACTION INTENSITY; BIOTIC INTERACTIONS; NURSE-PLANTS; FACILITATION</t>
  </si>
  <si>
    <t>Environmental conditions and plant size may both alter the outcome of inter-specific plant-plant interactions, with seedlings generally facilitated more strongly than larger individuals in stressful habitats. However, the combined impact of plant size and environmental severity on interactions is poorly understood. Here, we tested explicitly for the first time the hypothesis that ontogenetic shifts in interactions are delayed under increasingly severe conditions by examining the interaction between a grass, Agrostis magellanica, and a cushion plant, Azorella selago, along two severity gradients. The impact of A. selago on A. magellanica abundance, but not reproductive effort, was related to A. magellanica size, with a trend for delayed shifts towards more negative interactions under greater environmental severity. Intermediate-sized individuals were most strongly facilitated, leading to differences in the size-class distribution of A. magellanica on the soil and on A. selago. The A. magellanica size-class distribution was more strongly affected by A. selago than by environmental severity, demonstrating that the plant-plant interaction impacts A. magellanica population structure more strongly than habitat conditions. As ontogenetic shifts in plant-plant interactions cannot be assumed to be constant across severity gradients and may impact species population structure, studies examining the outcome of interactions need to consider the potential for size-or age-related variation in competition and facilitation.</t>
  </si>
  <si>
    <t>[le Roux, Peter C.; Shaw, Justine D.; Chown, Steven L.] Univ Stellenbosch, Dept Bot &amp; Zool, Ctr Invas Biol, ZA-7602 Stellenbosch, South Africa; [le Roux, Peter C.] Univ Helsinki, Dept Geosci &amp; Geog, FI-00015 Helsinki, Finland; [Shaw, Justine D.] Australian Antarctic Div, Kingston, Tas 7050, Australia; [Shaw, Justine D.] Univ Queensland, Sch Biol Sci, Environm Decis Grp, Brisbane, Qld 4072, Australia; [Chown, Steven L.] Monash Univ, Sch Biol Sci, Melbourne, Vic 3800, Australia</t>
  </si>
  <si>
    <t>Stellenbosch University; University of Helsinki; Australian Antarctic Division; University of Queensland; Monash University</t>
  </si>
  <si>
    <t>le Roux, PC (corresponding author), Univ Stellenbosch, Dept Bot &amp; Zool, Ctr Invas Biol, ZA-7602 Stellenbosch, South Africa.</t>
  </si>
  <si>
    <t>peter.c.leroux@gmail.com</t>
  </si>
  <si>
    <t>Chown, Steven/ABD-7646-2021; le Roux, Peter Christiaan/E-7784-2011; Chown, Steven/H-3347-2011</t>
  </si>
  <si>
    <t>le Roux, Peter Christiaan/0000-0002-7941-7444; Chown, Steven/0000-0001-6069-5105; Shaw, Justine/0000-0002-9603-2271</t>
  </si>
  <si>
    <t>South African National Antarctic Program through National Research Foundation [2069543, SNA2004070900002, SNA2011110700005]; Centre for Invasion Biology</t>
  </si>
  <si>
    <t>South African National Antarctic Program through National Research Foundation; Centre for Invasion Biology</t>
  </si>
  <si>
    <t>Financial support was provided by the South African National Antarctic Program through grants from the National Research Foundation (grant numbers 2069543, SNA2004070900002 and SNA2011110700005) and the Centre for Invasion Biology. We thank three anonymous reviewers for their helpful, constructive comments.</t>
  </si>
  <si>
    <t>1469-8137</t>
  </si>
  <si>
    <t>NEW PHYTOL</t>
  </si>
  <si>
    <t>New Phytol.</t>
  </si>
  <si>
    <t>10.1111/nph.12349</t>
  </si>
  <si>
    <t>205WH</t>
  </si>
  <si>
    <t>WOS:000323475000025</t>
  </si>
  <si>
    <t>Ryan, PG; Klicka, LB; Barker, KF; Burns, KJ</t>
  </si>
  <si>
    <t>Ryan, Peter G.; Klicka, Luke B.; Barker, Keith F.; Burns, Kevin J.</t>
  </si>
  <si>
    <t>The origin of finches on Tristan da Cunha and Gough Island, central South Atlantic ocean</t>
  </si>
  <si>
    <t>Colonization; Island hopping; Speciation; Melanodera; Nesospiza; Rowettia</t>
  </si>
  <si>
    <t>PHYLOGENETIC-RELATIONSHIPS; DIVERSIFICATION; EVOLUTION; CLADE; AVES; RADIATION; BIOLOGY; TREES</t>
  </si>
  <si>
    <t>The Nesospiza finches of the Tristan da Cunha archipelago and Rowettia goughensis from Gough Island, 380 km distant, are both derived from tanager-finches (Thraupidae) that colonized the islands by crossing more than 3000 km of ocean from South America. Sequences from two mitochondrial and four nuclear genes indicate that the Patagonian bridled finches Melanodera are the closest relatives of the South Atlantic finches. Melanodera typically was sister to Rowettia, although some genes linked it more closely to Nesospiza. There was no evidence that Rowettia and Nesospiza are sister taxa, suggesting that the South Atlantic finches evolved from separate colonization events, as apparently was the case for moorhens Gallinula spp. at the two island groups. Genetic divergence between the two island finch genera thus provides an estimate of the maximum period of time they have been present at the islands, some 3-5 million years. A brief review of colonization histories suggests that island hopping by passerine birds is infrequent among islands more than 100-200 km apart. (C) 2013 Elsevier Inc. All rights reserved.</t>
  </si>
  <si>
    <t>[Ryan, Peter G.] Univ Cape Town, Percy FitzPatrick Inst, DST NRF Ctr Excellence, ZA-7701 Rondebosch, South Africa; [Klicka, Luke B.; Burns, Kevin J.] San Diego State Univ, Dept Biol, San Diego, CA 92182 USA; [Barker, Keith F.] Univ Minnesota, Dept Ecol Evolut &amp; Behav, St Paul, MN 55108 USA; [Barker, Keith F.] Univ Minnesota, Bell Museum Nat Hist, St Paul, MN 55108 USA</t>
  </si>
  <si>
    <t>University of Cape Town; National Research Foundation - South Africa; California State University System; San Diego State University; University of Minnesota System; University of Minnesota Twin Cities; University of Minnesota System; University of Minnesota Twin Cities</t>
  </si>
  <si>
    <t>Ryan, PG (corresponding author), Univ Cape Town, Percy FitzPatrick Inst, DST NRF Ctr Excellence, ZA-7701 Rondebosch, South Africa.</t>
  </si>
  <si>
    <t>pryan31@gmail.com</t>
  </si>
  <si>
    <t>Barker, Keith/K-2795-2012; Burns, Kevin/AAL-5764-2020</t>
  </si>
  <si>
    <t>Barker, Keith/0000-0001-7488-2470; Ryan, Peter/0000-0002-3356-2056</t>
  </si>
  <si>
    <t>National Science Foundation [IBN-0217817, DEB-0315416, DEB-0316092]; South African National Antarctic Programme</t>
  </si>
  <si>
    <t>National Science Foundation(National Science Foundation (NSF)); South African National Antarctic Programme</t>
  </si>
  <si>
    <t>We thank our colleagues for assistance with field sampling at Tristan and Gough, which was conducted with the permission of the Tristan Administrator and Island Council, through Tristan's Conservation Department; logistic support was provided by the South African Department of Environmental Affairs and Oven-stones Fishing. We thank the following institutions for providing tissues used in this study: Field Museum of Natural History, American Museum of Natural History, Louisiana State University Museum of Natural Science, Marjorie Barrick Museum of the University of Nevada Las Vegas, Museo Argentino de Ciencias Naturales Bernardino Rivadavia, University of Washington Burke Museum of Natural History and Culture, and the Zoological Museum, University of Copenhagen. Nicholas Beermann performed a portion of the lab work at the University of Minnesota. This research was partially supported by the National Science Foundation (IBN-0217817 and DEB-0315416 to K.J.B. and DEB-0316092 to S.M. Lanyon and F.K.B.), and the South African National Antarctic Programme.</t>
  </si>
  <si>
    <t>10.1016/j.ympev.2013.05.026</t>
  </si>
  <si>
    <t>196UM</t>
  </si>
  <si>
    <t>WOS:000322802900026</t>
  </si>
  <si>
    <t>Zelaya, DG; Ituarte, C</t>
  </si>
  <si>
    <t>Zelaya, Diego G.; Ituarte, Cristian</t>
  </si>
  <si>
    <t>Two new species of Waldo Nicol, 1966 from sub-Antarctic waters (Bivalvia: Galeommatoidea)</t>
  </si>
  <si>
    <t>MARINE BIOLOGY RESEARCH</t>
  </si>
  <si>
    <t>Bivalvia; Galeommatoidea; Waldo</t>
  </si>
  <si>
    <t>Two new sub-Antarctic Waldo species (Bivalvia) are described: Waldo digitatus and W. paucitentaculatus. Waldo digitatus has a large, elongateoval shell, with a short, horizontal dorsal margin, the valves showing a wide ventral gape, well separated from the anterior gape, and faint radial sculpture, fading toward shell margin. In addition, in this species the inhalant-pedal aperture is flanked by 515 pairs of tentacles. Waldo paucitentaculatus has a small, triangularoval shell, with anterior and posterior half of dorsal margin long, sloping gently at similar angles, the anterior and ventral shell gapes coalesce to form a single, narrow and elongated gape, and radial sculpture well-marked and visible from beaks to ventral margin. Another distinctive character is the presence of only 1 or 2 pairs of tentacles bordering the siphonal-pedal aperture. Both species were found living as epibionts on the heart sea urchin Abatus cavernosus: W. digitatus is restricted to the perioral area and W. paucitentaculatus is more widely distributed, mainly on the oral surface.</t>
  </si>
  <si>
    <t>[Zelaya, Diego G.] UBA, Fac Ciencias Exactas &amp; Nat, Dept Biodiversidad &amp; Biol Expt, Buenos Aires, DF, Argentina; [Zelaya, Diego G.] Museo La Plata, Div Zool Invertebrados, La Plata, Buenos Aires, Argentina; [Ituarte, Cristian] Museo Argentino Ciencias Nat Bernardino Rivadavia, Buenos Aires, DF, Argentina</t>
  </si>
  <si>
    <t>University of Buenos Aires; National University of La Plata; Museo La Plata; Museo Argentino de Ciencias Naturales Bernardino Rivadavia (MACN)</t>
  </si>
  <si>
    <t>Zelaya, DG (corresponding author), UBA, Fac Ciencias Exactas &amp; Nat, Dept Biodiversidad &amp; Biol Expt, C1428EHA, Buenos Aires, DF, Argentina.</t>
  </si>
  <si>
    <t>dzelaya@fcnym.unlp.edu.ar</t>
  </si>
  <si>
    <t>UBACyT [20020090300152]; PICT [2007-01839, 2010-0730]; PIP [1640]; IBol project</t>
  </si>
  <si>
    <t>UBACyT; PICT(ANPCyT); PIP; IBol project</t>
  </si>
  <si>
    <t>The authors express their gratitude to H. Zaixso, for providing information on the place of collection of the two species described in this article; and T. Zapata from the Centro de Investigaciones Universidad Nacional de la Patagonia Austral (UNPA), who kindly allowed access to laboratory facilities during several field trips to Puerto Deseado. This study was partially funded by UBACyT 20020090300152, PICT 2007-01839 (DZ), PIP 1640, PICT 2010-0730, and IBol project 2010 (CI). DZ and CI are members of the Consejo Nacional de Investigaciones Cientificas y Tecnicas (CONICET), Argentina.</t>
  </si>
  <si>
    <t>1745-1000</t>
  </si>
  <si>
    <t>MAR BIOL RES</t>
  </si>
  <si>
    <t>Mar. Biol. Res.</t>
  </si>
  <si>
    <t>10.1080/17451000.2013.765584</t>
  </si>
  <si>
    <t>149LX</t>
  </si>
  <si>
    <t>WOS:000319322400006</t>
  </si>
  <si>
    <t>Huang, T; Sun, LG; Long, NY; Wang, YH; Huang, W</t>
  </si>
  <si>
    <t>Huang, Tao; Sun, Liguang; Long, Nanye; Wang, Yuhong; Huang, Wen</t>
  </si>
  <si>
    <t>Penguin tissue as a proxy for relative krill abundance in East Antarctica during the Holocene</t>
  </si>
  <si>
    <t>STABLE-ISOTOPE ANALYSIS; ADELIE PENGUINS; SEA-ICE; POPULATION-DYNAMICS; CLIMATE VARIABILITY; MIGRATION PATTERNS; EUPHAUSIA-SUPERBA; SOUTHERN-OCEAN; SEABIRD; RECORD</t>
  </si>
  <si>
    <t>Antarctic krill (Euphausia superba) is a key component of the Southern Ocean food web. It supports a large number of upper trophic-level predators, and is also a major fishery resource. Understanding changes in krill abundance has long been a priority for research and conservation in the Southern Ocean. In this study, we performed stable isotope analyses on ancient Adelie penguin tissues and inferred relative krill abundance during the Holocene epoch from paleodiets of Adelie penguin (Pygoscelis adeliae), using inverse of delta N-15 (ratio of N-15/N-14) value as a proxy. We find that variations in krill abundance during the Holocene are in accord with episodes of regional climate changes, showing greater krill abundance in cold periods. Moreover, the low delta N-15 values found in modern Adelie penguins indicate relatively high krill availability, which supports the hypothesis of krill surplus in modern ages due to recent hunt for krill-eating seals and whales by humans.</t>
  </si>
  <si>
    <t>[Huang, Tao; Sun, Liguang; Long, Nanye; Wang, Yuhong; Huang, Wen] Univ Sci &amp; Technol China, Sch Earth &amp; Space Sci, Inst Polar Environm, Hefei 230026, Anhui, Peoples R China</t>
  </si>
  <si>
    <t>Chinese Academy of Sciences; University of Science &amp; Technology of China, CAS</t>
  </si>
  <si>
    <t>Sun, LG (corresponding author), Univ Sci &amp; Technol China, Sch Earth &amp; Space Sci, Inst Polar Environm, Hefei 230026, Anhui, Peoples R China.</t>
  </si>
  <si>
    <t>slg@ustc.edu.cn</t>
  </si>
  <si>
    <t>Huang, Tao/AAD-8866-2022</t>
  </si>
  <si>
    <t>Huang, Tao/0000-0001-5035-1632</t>
  </si>
  <si>
    <t>NSFC [40730107, 41106162]; Chinese Polar Environment Comprehensive Investigation &amp; Assessment Programmes [CHINARE2013-04-04-09, CHINARE2013-02-01-03]; Fundamental Research Funds for Central Universities</t>
  </si>
  <si>
    <t>NSFC(National Natural Science Foundation of China (NSFC)); Chinese Polar Environment Comprehensive Investigation &amp; Assessment Programmes; Fundamental Research Funds for Central Universities(Fundamental Research Funds for the Central Universities)</t>
  </si>
  <si>
    <t>The authors are grateful to the Chinese Arctic and Antarctic Administration and Australian Antarctic Division for logistical support in the field work. This study was funded by NSFC (No. 40730107, 41106162), Chinese Polar Environment Comprehensive Investigation &amp; Assessment Programmes (CHINARE2013-04-04-09, CHINARE2013-02-01-03) and the Fundamental Research Funds for Central Universities. Samples in this study were provided by the BIRDS-Sediment system. We thank two anonymous reviewers for critical comments and suggestions on an earlier version of the manuscript. Dr. Steve Emslie (University of North Carolina at Wilmington) provided insightful comments and also helped to polish the language.</t>
  </si>
  <si>
    <t>SEP 30</t>
  </si>
  <si>
    <t>10.1038/srep02807</t>
  </si>
  <si>
    <t>225UO</t>
  </si>
  <si>
    <t>WOS:000324989400005</t>
  </si>
  <si>
    <t>Snively, JB; Nielsen, K; Hickey, MP; Heale, CJ; Taylor, MJ; Moffat-Griffin, T</t>
  </si>
  <si>
    <t>Snively, J. B.; Nielsen, K.; Hickey, M. P.; Heale, C. J.; Taylor, M. J.; Moffat-Griffin, T.</t>
  </si>
  <si>
    <t>Numerical and statistical evidence for long-range ducted gravity wave propagation over Halley, Antarctica</t>
  </si>
  <si>
    <t>gravity waves; airglow; ducting</t>
  </si>
  <si>
    <t>AIRGLOW; ATMOSPHERE; MODEL</t>
  </si>
  <si>
    <t>Abundant short-period, small-scale gravity waves have been identified in the mesosphere and lower thermosphere over Halley, Antarctica, via ground-based airglow image data. Although many are observed as freely propagating at the heights of the airglow layers, new results under modeled conditions reveal that a significant fraction of these waves may be subject to reflections at altitudes above and below. The waves may at times be trapped within broad thermal ducts, spanning from the tropopause or stratopause to the base of the thermosphere (approximate to 140 km), which may facilitate long-range propagation (approximate to 1000s of km) under favorable wind conditions.</t>
  </si>
  <si>
    <t>[Snively, J. B.; Hickey, M. P.; Heale, C. J.] Embry Riddle Aeronaut Univ, Dept Phys Sci, Daytona Beach, FL 32114 USA; [Nielsen, K.] Utah Valley Univ, Dept Phys, Orem, UT USA; [Taylor, M. J.] Utah State Univ, Ctr Atmospher &amp; Space Sci, Logan, UT 84322 USA; [Moffat-Griffin, T.] British Antarctic Survey, Cambridge CB3 0ET, England</t>
  </si>
  <si>
    <t>Embry-Riddle Aeronautical University; Utah System of Higher Education; Utah Valley University; Utah System of Higher Education; Utah State University; UK Research &amp; Innovation (UKRI); Natural Environment Research Council (NERC); NERC British Antarctic Survey</t>
  </si>
  <si>
    <t>Snively, JB (corresponding author), Embry Riddle Aeronaut Univ, 600 S Clyde Morris Blvd, Daytona Beach, FL 32114 USA.</t>
  </si>
  <si>
    <t>snivelyj@erau.edu</t>
  </si>
  <si>
    <t>Snively, Jonathan/0000-0002-7616-439X; Heale, Christopher/0000-0003-1970-9004</t>
  </si>
  <si>
    <t>NSF [AGS-1113427, AGS-1001074]; UK National Environmental Research Council (NERC); NSF Office of Polar Programs [OPP-9816465, OPP-0338364]; Div Atmospheric &amp; Geospace Sciences; Directorate For Geosciences [1001074, 1113427, 1315193] Funding Source: National Science Foundation; Natural Environment Research Council [bas0100023] Funding Source: researchfish; NERC [bas0100023] Funding Source: UKRI</t>
  </si>
  <si>
    <t>NSF(National Science Foundation (NSF)); UK National Environmental Research Council (NERC)(UK Research &amp; Innovation (UKRI)Natural Environment Research Council (NERC)); NSF Office of Polar Programs(National Science Foundation (NSF)); Div Atmospheric &amp; Geospace Sciences; Directorate For Geosciences(National Science Foundation (NSF)NSF - Directorate for Geosciences (GEO)); Natural Environment Research Council(UK Research &amp; Innovation (UKRI)Natural Environment Research Council (NERC)); NERC(UK Research &amp; Innovation (UKRI)Natural Environment Research Council (NERC))</t>
  </si>
  <si>
    <t>Gravity wave modeling work was supported by NSF grants AGS-1113427 and AGS-1001074. Gravity wave measurements and data analyses were jointly supported by the UK National Environmental Research Council (NERC) and NSF Office of Polar Programs grants OPP-9816465 and OPP-0338364.</t>
  </si>
  <si>
    <t>SEP 28</t>
  </si>
  <si>
    <t>10.1002/grl.50926</t>
  </si>
  <si>
    <t>233IU</t>
  </si>
  <si>
    <t>WOS:000325562600005</t>
  </si>
  <si>
    <t>Gutjahr, M; Vance, D; Hoffmann, DL; Hillenbrand, CD; Foster, GL; Rae, JWB; Kuhn, G</t>
  </si>
  <si>
    <t>Gutjahr, Marcus; Vance, Derek; Hoffmann, Dirk L.; Hillenbrand, Claus-Dieter; Foster, Gavin L.; Rae, James W. B.; Kuhn, Gerhard</t>
  </si>
  <si>
    <t>Structural limitations in deriving accurate U-series ages from calcitic cold-water corals contrast with robust coral radiocarbon and Mg/Ca systematics</t>
  </si>
  <si>
    <t>Radiocarbon; U-series dating; Octocoral; Mg/Ca; Mg/Li</t>
  </si>
  <si>
    <t>DEEP-SEA CORALS; SOUTHERN-OCEAN; NORTH-ATLANTIC; PACIFIC-OCEAN; TEMPERATURE; PALEOTHERMOMETRY; VENTILATION; MAGNESIUM; PRECISE; GROWTH</t>
  </si>
  <si>
    <t>Radiocarbon and uranium-thorium dating results are presented from a genus of calcitic Antarctic cold-water octocorals (family Coralliidae), which were collected from the Marie Byrd Seamounts in the Amundsen Sea (Pacific sector of the Southern Ocean) and which to date have not been investigated geochemically. The geochronological results are set in context with solution and laser ablation-based element/Ca ratios (Li, B, Mg, Mn, Sr, Ba, U, Th). Octocoral radiocarbon ages on living corals are in excellent agreement with modern ambient deep-water Delta C-14, while multiple samples of individual fossil coral specimens yielded reproducible radiocarbon ages. Provided that local radiocarbon reservoir ages can be derived for a given time, fossil Amundsen Sea octocorals should be reliably dateable by means of radiocarbon. In contrast to the encouraging radiocarbon findings, the uranium-series data are more difficult to interpret. The uranium concentration of these calcitic octocorals is an order of magnitude lower than in the aragonitic hexacorals that are conventionally used for geochronological investigations. While modern and Late Holocene octocorals yield initial delta U-234 in good agreement with modern seawater, our results reveal preferential inward diffusion of dissolved alpha-recoiled U-234 and its impact on fossil coral delta U-234. Besides alpha-recoil related U-234 diffusion, high-resolution sampling of two fossil octocorals further demonstrates that diagenetic uranium mobility has offset apparent coral U-series ages. Combined with the preferential alpha-recoil U-234 diffusion, this process has prevented fossil octocorals from preserving a closed system U-series calendar age for longer than a few thousand years. Moreover, several corals investigated contain significant initial thorium, which cannot be adequately corrected for because of an apparently variable initial Th-232/Th-230. Our results demonstrate that calcitic cold-water corals are unsuitable for reliable U-series dating. Mg/Ca ratios within single octocoral specimens are internally strikingly homogeneous, and appear promising in terms of their response to ambient temperature. Magnesium/lithium ratios are significantly higher than usually observed in other deep marine calcifiers and for many of our studied corals are remarkably close to seawater compositions. Although this family of octocorals is unsuitable for glacial deep-water Delta C-14 reconstructions, our findings highlight some important differences between hexacoral (aragonitic) and octocoral (calcitic) biomineralisation. Calcitic octocorals could still be useful for trace element and some isotopic studies, such as reconstruction of ambient deep water neodymium isotope composition or pH, via boron isotopic measurements. (c) 2013 Elsevier B.V. All rights reserved.</t>
  </si>
  <si>
    <t>[Gutjahr, Marcus; Vance, Derek; Rae, James W. B.] Univ Bristol, Dep Earth Sci, Bristol Isotope Grp, Bristol BS8 1RJ, Avon, England; [Hoffmann, Dirk L.] Univ Bristol, Sch Geog Sci, Bristol Isotope Grp, Bristol BS8 1SS, Avon, England; [Hoffmann, Dirk L.] CENIEH, Burgos 09002, Spain; [Hillenbrand, Claus-Dieter] British Antarctic Survey, Cambridge CB3 0ET, England; [Foster, Gavin L.] Univ Southampton, Southampton SO14 3ZH, Hants, England; [Kuhn, Gerhard] Alfred Wegener Inst Polar &amp; Marine Res, D-27568 Bremerhaven, Germany</t>
  </si>
  <si>
    <t>University of Bristol; University of Bristol; Centro Nacional de Investigacion de La Evolucion Humana (CENIEH); UK Research &amp; Innovation (UKRI); Natural Environment Research Council (NERC); NERC British Antarctic Survey; University of Southampton; Helmholtz Association; Alfred Wegener Institute, Helmholtz Centre for Polar &amp; Marine Research</t>
  </si>
  <si>
    <t>Gutjahr, M (corresponding author), GEOMAR Helmholtz Ctr Ocean Res Kiel, Wischhofstr 1-3, D-24148 Kiel, Germany.</t>
  </si>
  <si>
    <t>mgutjahr@geomar.de</t>
  </si>
  <si>
    <t>Foster, Gavin/W-5968-2019; Gutjahr, Marcus/ABC-2674-2020; Foster, Gavin/CAF-4654-2022; Gutjahr, Marcus/L-9158-2013; Rae, James/R-3812-2017</t>
  </si>
  <si>
    <t>Gutjahr, Marcus/0000-0003-2556-2619; Foster, Gavin/0000-0003-3688-9668; Gutjahr, Marcus/0000-0003-2556-2619; Hoffmann, Dirk/0000-0002-9245-2041; Kuhn, Gerhard/0000-0001-6069-7485; Rae, James/0000-0003-3904-2526</t>
  </si>
  <si>
    <t>Leverhulme award [F/00182/BQ]; Marie Curie fellowship Project [220941]; NERC [NE/J021075/1, bas0100027] Funding Source: UKRI; Natural Environment Research Council [NE/J021075/1, bas0100027] Funding Source: researchfish</t>
  </si>
  <si>
    <t>Leverhulme award(Leverhulme Trust); Marie Curie fellowship Project(Marie Curie ActionsEuropean Union (EU)); NERC(UK Research &amp; Innovation (UKRI)Natural Environment Research Council (NERC)); Natural Environment Research Council(UK Research &amp; Innovation (UKRI)Natural Environment Research Council (NERC))</t>
  </si>
  <si>
    <t>The crews and the shipboard scientific parties during RV Polarstern expeditions (ANT-XXIII/4) in 2006 and (ANT-XXVI/3) in 2010, especially chief scientist Karsten Gohl, are thanked for all their help during coral sampling. Alistair Pike is thanked for providing access to the micromill within the Department of Archaeology and Anthropology at Bristol University. The analytical facilities of the Bristol Isotope Group would not work without the dedicated expertise of Chris Coath. Simon Powell (University of Bristol) helped with the coral photographs shown in Fig. 2. Morten Andersen and Eleni Anagnostou provided constructive suggestions during various discussions. Irka Hajdas is thanked for swift sample handling and radiocarbon measurements at ETH Zurich. Alex Rogers is acknowledged for advice on biological aspects of our coral collection. This research was funded by Leverhulme award F/00182/BQ to DV, and Marie Curie fellowship Project No. 220941 to MG. We appreciate and acknowledge constructive comments provided by two anonymous reviewers. Uwe Brand is thanked for editorial handling.</t>
  </si>
  <si>
    <t>SEP 26</t>
  </si>
  <si>
    <t>10.1016/j.chemgeo.2013.07.002</t>
  </si>
  <si>
    <t>235WF</t>
  </si>
  <si>
    <t>WOS:000325751300006</t>
  </si>
  <si>
    <t>Stuart-Smith, RD; Bates, AE; Lefcheck, JS; Duffy, JE; Baker, SC; Thomson, RJ; Stuart-Smith, JF; Hill, NA; Kininmonth, SJ; Airoldi, L; Becerro, MA; Campbell, SJ; Dawson, TP; Navarrete, SA; Soler, GA; Strain, EMA; Willis, TJ; Edgar, GJ</t>
  </si>
  <si>
    <t>Stuart-Smith, Rick D.; Bates, Amanda E.; Lefcheck, Jonathan S.; Duffy, J. Emmett; Baker, Susan C.; Thomson, Russell J.; Stuart-Smith, Jemina F.; Hill, Nicole A.; Kininmonth, Stuart J.; Airoldi, Laura; Becerro, Mikel A.; Campbell, Stuart J.; Dawson, Terence P.; Navarrete, Sergio A.; Soler, German A.; Strain, Elisabeth M. A.; Willis, Trevor J.; Edgar, Graham J.</t>
  </si>
  <si>
    <t>Integrating abundance and functional traits reveals new global hotspots of fish diversity</t>
  </si>
  <si>
    <t>MARINE BIODIVERSITY; PATTERNS; BIOGEOGRAPHY; COMMUNITIES; CONSUMERS; EVENNESS; GRADIENT; ENTROPY; FORESTS</t>
  </si>
  <si>
    <t>Species richness has dominated our view of global biodiversity patterns for centuries(1,2). The dominance of this paradigm is reflected in the focus by ecologists and conservation managers on richness and associated occurrence-based measures for understanding drivers of broad-scale diversity patterns and as a biological basis for management(3,4). However, this is changing rapidly, as it is now recognized that not only the number of species but the species present, their phenotypes and the number of individuals of each species are critical in determining the nature and strength of the relationships between species diversity and a range of ecological functions (such as biomass production and nutrient cycling)(5). Integrating these measures should provide a more relevant representation of global biodiversity patterns in terms of ecological functions than that provided by simple species counts. Here we provide comparisons of a traditional global biodiversity distribution measure based on richness with metrics that incorporate species abundances and functional traits. We use data from standardized quantitative surveys of 2,473 marine reef fish species at 1,844 sites, spanning 133 degrees of latitude from all ocean basins, to identify new diversity hotspots in some temperate regions and the tropical eastern Pacific Ocean. These relate to high diversity of functional traits amongst individuals in the community (calculated using Rao's Q(6)), and differ from previously reported patterns in functional diversity and richness for terrestrial animals, which emphasize species-rich tropical regions only(7,8). There is a global trend for greater evenness in the number of individuals of each species, across the reef fish species observed at sites ('community evenness'), at higher latitudes. This contributes to the distribution of functional diversity hotspots and contrasts with well-known latitudinal gradients in richness(2,4). Our findings suggest that the contribution of species diversity to a range of ecosystem functions varies over large scales, and imply that in tropical regions, which have higher numbers of species, each species contributes proportionally less to community-level ecological processes on average than species in temperate regions. Metrics of ecological function usefully complement metrics of species diversity in conservation management, including when identifying planning priorities and when tracking changes to biodiversity values.</t>
  </si>
  <si>
    <t>[Stuart-Smith, Rick D.; Bates, Amanda E.; Thomson, Russell J.; Stuart-Smith, Jemina F.; Hill, Nicole A.; Soler, German A.; Edgar, Graham J.] Univ Tasmania, Inst Marine &amp; Antarctic Studies, Hobart, Tas 7001, Australia; [Lefcheck, Jonathan S.; Duffy, J. Emmett] Virginia Inst Marine Sci, Dept Biol Sci, Gloucester Point, VA 23062 USA; [Baker, Susan C.] Univ Tasmania, Sch Plant Sci, Hobart, Tas 7001, Australia; [Kininmonth, Stuart J.] Stockholm Univ, Stockholm Resilience Ctr, SE-11419 Stockholm, Sweden; [Airoldi, Laura; Strain, Elisabeth M. A.] Univ Bologna, Dipartimento Sci Biol Geol &amp; Ambientali, I-48123 Ravenna, Italy; [Airoldi, Laura] Stanford Univ, Hopkins Marine Stn, Pacific Grove, CA 93950 USA; [Becerro, Mikel A.] IPNA CSIC, Nat Prod &amp; Agrobiol Inst, Tenerife 38206, Spain; [Campbell, Stuart J.] Wildlife Conservat Soc, Indonesia Marine Program, Bogor 16151, Jawa Barat, Indonesia; [Dawson, Terence P.] Univ Dundee, Sch Environm, Dundee DD1 4HN, Scotland; [Navarrete, Sergio A.] Pontificia Univ Catolica Chile, Estn Costera Invest Marinas, Santiago, Chile; [Navarrete, Sergio A.] Pontificia Univ Catolica Chile, Ctr Marine Conservat, Santiago, Chile; [Willis, Trevor J.] Univ Portsmouth, Inst Marine Sci, Sch Biol Sci, Portsmouth PO4 9LY, Hants, England</t>
  </si>
  <si>
    <t>University of Tasmania; William &amp; Mary; Virginia Institute of Marine Science; University of Tasmania; Stockholm University; University of Bologna; Stanford University; Consejo Superior de Investigaciones Cientificas (CSIC); CSIC - Instituto de Productos Naturales y Agrobiologia (IPNA); Wildlife Conservation Society - Indonesia; University of Dundee; Pontificia Universidad Catolica de Chile; Pontificia Universidad Catolica de Chile; University of Portsmouth</t>
  </si>
  <si>
    <t>Stuart-Smith, RD (corresponding author), Univ Tasmania, Inst Marine &amp; Antarctic Studies, Private Bag 49, Hobart, Tas 7001, Australia.</t>
  </si>
  <si>
    <t>rstuarts@utas.edu.au</t>
  </si>
  <si>
    <t>Kininmonth, Stuart/N-9299-2013; Stuart-Smith, Rick/I-5214-2019; Dawson, Terence Peter/E-4724-2011; Lefcheck, Jonathan/H-8768-2019; Willis, Trevor/F-5337-2012; Edgar, Graham/AAY-3797-2020; Navarrete, Sergio A/D-4645-2013; Baker, Susan C/F-9307-2011; Hill, Nicole/AAI-7323-2021; Bates, Amanda E./ABD-6874-2021; Duffy, J. Emmett/ABF-9200-2020; Becerro, Mikel/ABC-9478-2021; Baker, Susan/O-8482-2019; Stuart-Smith, Rick D/M-1829-2013; Airoldi, Laura/I-3553-2019; Edgar, Graham/C-8341-2013; Thomson, Russell/H-5653-2012; Strain, Elisabeth/U-3520-2017</t>
  </si>
  <si>
    <t>Kininmonth, Stuart/0000-0001-9198-3396; Stuart-Smith, Rick/0000-0002-8874-0083; Dawson, Terence Peter/0000-0002-4314-1378; Lefcheck, Jonathan/0000-0002-8787-1786; Willis, Trevor/0000-0002-0357-1189; Edgar, Graham/0000-0003-0833-9001; Hill, Nicole/0000-0001-9329-6717; Bates, Amanda E./0000-0002-0198-4537; Duffy, J. Emmett/0000-0001-8595-6391; Becerro, Mikel/0000-0002-6047-350X; Baker, Susan/0000-0002-7593-0267; Stuart-Smith, Rick D/0000-0002-8874-0083; Airoldi, Laura/0000-0001-5046-0871; Edgar, Graham/0000-0003-0833-9001; Thomson, Russell/0000-0003-4949-4120; Campbell, Stuart/0000-0002-1158-3200; Navarrete, Sergio Andres/0000-0003-4021-3863; Strain, Elisabeth/0000-0003-2165-9544</t>
  </si>
  <si>
    <t>Australian Government's National Environmental Research Program; National Geographic Society; Conservation International; Wildlife Conservation Society Indonesia; Winston Churchill Memorial Trust; ASSEMBLE Marine</t>
  </si>
  <si>
    <t>Australian Government's National Environmental Research Program(Australian Government); National Geographic Society(National Geographic Society); Conservation International; Wildlife Conservation Society Indonesia; Winston Churchill Memorial Trust; ASSEMBLE Marine</t>
  </si>
  <si>
    <t>We thank the many Reef Life Survey (RLS) divers who participated in data collection and provide ongoing expertize and commitment to the program, University of Tasmania staff including T. Cooper, M. Davey, N. Barrett, J. Berkhout and E. Oh, and T. Bird for assistance running models and checking code. Development of the RLS data set was supported by the former Commonwealth Environment Research Facilities Program, and analyses were supported by the Australian Research Council, Institute for Marine and Antarctic Studies, and the Marine Biodiversity Hub, a collaborative partnership supported through the Australian Government's National Environmental Research Program. Additional funding and support for field surveys was provided by grants from the National Geographic Society, Conservation International, Wildlife Conservation Society Indonesia, The Winston Churchill Memorial Trust, and ASSEMBLE Marine.</t>
  </si>
  <si>
    <t>10.1038/nature12529</t>
  </si>
  <si>
    <t>223RP</t>
  </si>
  <si>
    <t>WOS:000324826300056</t>
  </si>
  <si>
    <t>Lowther, AD; Harcourt, RG; Page, B; Goldsworthy, SD</t>
  </si>
  <si>
    <t>Lowther, Andrew D.; Harcourt, Robert G.; Page, Bradley; Goldsworthy, Simon D.</t>
  </si>
  <si>
    <t>Steady as He Goes: At-Sea Movement of Adult Male Australian Sea Lions in a Dynamic Marine Environment</t>
  </si>
  <si>
    <t>ANTARCTIC FUR SEALS; STABLE-ISOTOPES; NEW-ZEALAND; FORAGING BEHAVIOR; SURFACE TEMPERATURES; SATELLITE TELEMETRY; HABITAT SELECTION; ELEPHANT SEALS; STRATEGIES; ECOLOGY</t>
  </si>
  <si>
    <t>The southern coastline of Australia forms part of the worlds' only northern boundary current system. The Bonney Upwelling occurs every austral summer along the south-eastern South Australian coastline, a region that hosts over 80% of the worlds population of an endangered endemic otariid, the Australian sea lion. We present the first data on the movement characteristics and foraging behaviour of adult male Australian sea lions across their South Australian range. Synthesizing telemetric, oceanographic and isotopic datasets collected from seven individuals enabled us to characterise individual foraging behaviour over an approximate two year time period. Data suggested seasonal variability in stable carbon and nitrogen isotopes that could not be otherwise explained by changes in animal movement patterns. Similarly, animals did not change their foraging patterns despite fine-scale spatial and temporal variability of the upwelling event. Individual males tended to return to the same colony at which they were tagged and utilized the same at-sea regions for foraging irrespective of oceanographic conditions or time of year. Our study contrasts current general assumptions that male otariid life history strategies should result in greater dispersal, with adult male Australian sea lions displaying central place foraging behaviour similar to males of other otariid species in the region.</t>
  </si>
  <si>
    <t>[Lowther, Andrew D.; Goldsworthy, Simon D.] SARDI Aquat Sci, Threatened Endangered &amp; Protected Species, Adelaide, SA, Australia; [Harcourt, Robert G.] Macquarie Univ, Dept Biol Sci, N Ryde, NSW, Australia; [Page, Bradley] Dept Environm Water &amp; Nat Resources, Sci Monitoring &amp; Knowledge Branch, Adelaide, SA, Australia</t>
  </si>
  <si>
    <t>Lowther, AD (corresponding author), Norwegian Polar Res Inst, Biodivers Sect, Tromso, Norway.</t>
  </si>
  <si>
    <t>Andrew.Lowther@npolar.no</t>
  </si>
  <si>
    <t>Lowther, Andrew/T-2511-2019</t>
  </si>
  <si>
    <t>Lowther, Andrew/0000-0003-4294-3157; Goldsworthy, Simon/0000-0003-4988-9085; Harcourt, Robert/0000-0003-4666-2934</t>
  </si>
  <si>
    <t>Integrated Marine Observing System (IMOS); Australian Government through the National Collaborative Research Infrastructure Strategy; Super Science Initiative</t>
  </si>
  <si>
    <t>Integrated Marine Observing System (IMOS); Australian Government through the National Collaborative Research Infrastructure Strategy(Australian GovernmentDepartment of Industry, Innovation and Science); Super Science Initiative</t>
  </si>
  <si>
    <t>Funding was received from the Integrated Marine Observing System (IMOS) - IMOS is supported by the Australian Government through the National Collaborative Research Infrastructure Strategy and the Super Science Initiative. The funders had no role in study design, data collection and analysis, decision to publish, or preparation of the manuscript.</t>
  </si>
  <si>
    <t>SEP 25</t>
  </si>
  <si>
    <t>e74348</t>
  </si>
  <si>
    <t>10.1371/journal.pone.0074348</t>
  </si>
  <si>
    <t>228VC</t>
  </si>
  <si>
    <t>WOS:000325218700023</t>
  </si>
  <si>
    <t>Papaleo, MC; Romoli, R; Bartolucci, G; Maida, I; Perrin, E; Fondi, M; Orlandini, V; Mengoni, A; Emiliani, G; Tutino, ML; Parrilli, E; de Pascale, D; Michaud, L; Lo Giudice, A; Fani, R</t>
  </si>
  <si>
    <t>Papaleo, Maria Cristiana; Romoli, Riccardo; Bartolucci, Gianluca; Maida, Isabel; Perrin, Elena; Fondi, Marco; Orlandini, Valerio; Mengoni, Alessio; Emiliani, Giovanni; Tutino, Maria Luisa; Parrilli, Ermenegilda; de Pascale, Donatella; Michaud, Luigi; Lo Giudice, Angelina; Fani, Renato</t>
  </si>
  <si>
    <t>Bioactive volatile organic compounds from Antarctic (sponges) bacteria</t>
  </si>
  <si>
    <t>NEW BIOTECHNOLOGY</t>
  </si>
  <si>
    <t>BURKHOLDERIA-CEPACIA COMPLEX; SOLID-PHASE MICROEXTRACTION; SEQUENCE; GENOME; IDENTIFICATION; EFFLUX</t>
  </si>
  <si>
    <t>Antarctic bacteria represent a reservoir of unexplored biodiversity, which, in turn, might be correlated to the synthesis of still undescribed bioactive molecules, such as antibiotics. In this work we have further characterized a panel of four marine Antarctic bacteria able to inhibit the growth of human opportunistic multiresistant pathogenic bacteria belonging to the Burkholderia cepacia complex (responsible for the 'cepacia' syndrome in Cystic Fibrosis patients) through the production of a set of microbial Volatile Organic Compounds (mVOCs). A list of 30 different mVOCs synthesized under aerobic conditions by Antarctic bacteria was identified by GC-SPME analysis. Cross-streaking experiments suggested that Antarctic bacteria might also synthesize non-volatile molecules able to enhance the anti-Burkholderia activity. The biosynthesis of such a mixture of mVOCs was very probably influenced by both the presence/absence of oxygen and the composition of media used to grow the Antarctic strains. The antimicrobial activity exhibited by Antarctic strains also appeared to be more related to their taxonomical position rather than to the sampling site. Different Bcc bacteria were differently sensitive to the '`Antarctic' mVOCs and this was apparently related neither to the taxonomical position of the different strains nor to their source. The genome sequence of three new Antarctic strains was determined revealing that only P. atlantica TB41 possesses some genes belonging to the nrps-pks cluster. The comparative genomic analysis performed on the genome of the four strains also revealed the presence of a few genes belonging to the core genome and involved in the secondary metabolites biosynthesis. Data obtained suggest that the antimicrobial activity exhibited by Antarctic bacteria might rely on a (complex) mixture of mVOCs whose relative concentration may vary depending on the growth conditions. Besides, it is also possible that the biosynthesis of these compounds might occur through still unknown metabolic pathways.</t>
  </si>
  <si>
    <t>[Papaleo, Maria Cristiana; Maida, Isabel; Perrin, Elena; Fondi, Marco; Orlandini, Valerio; Mengoni, Alessio; Emiliani, Giovanni; Fani, Renato] Univ Florence, Dept Biol, Lab Microbial &amp; Mol Evolut, I-50121 Florence, Italy; [Bartolucci, Gianluca] Univ Florence, Dept Neurosci Psychol Drug Res &amp; Child Hlth, Sect Pharmaceut &amp; Nutraceut Sci, I-50121 Florence, Italy; [Tutino, Maria Luisa; Parrilli, Ermenegilda] Univ Naples Federico II, Dept Chem Sci, Naples, Italy; [de Pascale, Donatella] CNR, Inst Prot Biochem, Naples, Italy; [Michaud, Luigi; Lo Giudice, Angelina] Univ Messina, Dept Biol &amp; Environm Sci, Messina, Italy; [Emiliani, Giovanni] CNR, Trees &amp; Timber Inst, Florence, Italy; [Romoli, Riccardo] Univ Florence, Mass Spectrometry Ctr CISM, I-50121 Florence, Italy</t>
  </si>
  <si>
    <t>University of Florence; University of Florence; University of Naples Federico II; Consiglio Nazionale delle Ricerche (CNR); Istituto di Biochimica delle Proteine (IBP-CNR); University of Messina; Consiglio Nazionale delle Ricerche (CNR); Istituto per la Valorizzazione del Legno e delle Specie Arboree (IVALSA-CNR); University of Florence</t>
  </si>
  <si>
    <t>Fani, R (corresponding author), Univ Florence, Dept Biol, Lab Microbial &amp; Mol Evolut, I-50121 Florence, Italy.</t>
  </si>
  <si>
    <t>TUTINO, MARIA LUISA/L-1834-2013; Emiliani, Giovanni/G-5023-2016; Perrin, Elena/AAX-2762-2020; parrilli, ermenegilda/K-4616-2016; Bartolucci, Gianluca/J-4545-2019; parrilli, ermenegilda/JAZ-0586-2023; Mengoni, Alessio/G-5336-2013</t>
  </si>
  <si>
    <t>Perrin, Elena/0000-0001-5148-3178; parrilli, ermenegilda/0000-0002-9002-5409; Bartolucci, Gianluca/0000-0002-5631-8769; Mengoni, Alessio/0000-0002-1265-8251; Orlandini, Valerio/0000-0002-6857-5471</t>
  </si>
  <si>
    <t>Italian Cystic Fibrosis Research Foundation (FFC) [12#2011]; Ente Cassa di Risparmio [2008.1103]; Italian Cystic Fibrosis Research Foundation; FEMS Advanced Fellowship [FAF2012]</t>
  </si>
  <si>
    <t>Italian Cystic Fibrosis Research Foundation (FFC)(Ministry of Health, ItalyItalian Cystic Fibrosis Research Foundation); Ente Cassa di Risparmio; Italian Cystic Fibrosis Research Foundation(Ministry of Health, ItalyItalian Cystic Fibrosis Research Foundation); FEMS Advanced Fellowship</t>
  </si>
  <si>
    <t>This work was supported by Italian Cystic Fibrosis Research Foundation (FFC project 12#2011) and Ente Cassa di Risparmio (Grant 2008.1103). Valerio Orlandini and Marco Fondi are financially supported by an Italian Cystic Fibrosis Research Foundation fellowship and a FEMS Advanced Fellowship (FAF2012), respectively. We thank the EU KBBE Project Pharmasea 2012-2016. We are also very grateful to two anonymous referees for their helpful comments and suggestions in improving the manuscript. P. atlantica TB41, and Psychrobacter spp. TB47 and TB67 belong to the Italian Collection of Antarctic Bacteria of the National Antarctic Museum (CIBAN-MNA).</t>
  </si>
  <si>
    <t>1871-6784</t>
  </si>
  <si>
    <t>1876-4347</t>
  </si>
  <si>
    <t>NEW BIOTECHNOL</t>
  </si>
  <si>
    <t>New Biotech.</t>
  </si>
  <si>
    <t>10.1016/j.nbt.2013.03.011</t>
  </si>
  <si>
    <t>Biochemical Research Methods; Biotechnology &amp; Applied Microbiology</t>
  </si>
  <si>
    <t>Biochemistry &amp; Molecular Biology; Biotechnology &amp; Applied Microbiology</t>
  </si>
  <si>
    <t>225YX</t>
  </si>
  <si>
    <t>WOS:000325002300030</t>
  </si>
  <si>
    <t>Havermans, C; Sonet, G; d'Acoz, CD; Nagy, ZT; Martin, P; Brix, S; Riehl, T; Agrawal, S; Held, C</t>
  </si>
  <si>
    <t>Havermans, Charlotte; Sonet, Gontran; d'Acoz, Cedric d'Udekem; Nagy, Zoltan T.; Martin, Patrick; Brix, Saskia; Riehl, Torben; Agrawal, Shobhit; Held, Christoph</t>
  </si>
  <si>
    <t>Genetic and Morphological Divergences in the Cosmopolitan Deep-Sea Amphipod Eurythenes gryllus Reveal a Diverse Abyss and a Bipolar Species</t>
  </si>
  <si>
    <t>NECROPHAGOUS AMPHIPOD; SCAVENGING AMPHIPODS; POPULATION-STRUCTURE; VERTICAL-DISTRIBUTION; BATHYMETRIC PATTERNS; MITOCHONDRIAL-DNA; CRUSTACEA; DIFFERENTIATION; RATES; BIODIVERSITY</t>
  </si>
  <si>
    <t>Eurythenes gryllus is one of the most widespread amphipod species, occurring in every ocean with a depth range covering the bathyal, abyssal and hadal zones. Previous studies, however, indicated the existence of several genetically and morphologically divergent lineages, questioning the assumption of its cosmopolitan and eurybathic distribution. For the first time, its genetic diversity was explored at the global scale (Arctic, Atlantic, Pacific and Southern oceans) by analyzing nuclear (28S rDNA) and mitochondrial (COI, 16S rDNA) sequence data using various species delimitation methods in a phylogeographic context. Nine putative species-level clades were identified within E. gryllus. A clear distinction was observed between samples collected at bathyal versus abyssal depths, with a genetic break occurring around 3,000 m. Two bathyal and two abyssal lineages showed a widespread distribution, while five other abyssal lineages each seemed to be restricted to a single ocean basin. The observed higher diversity in the abyss compared to the bathyal zone stands in contrast to the depth-differentiation hypothesis. Our results indicate that, despite the more uniform environment of the abyss and its presumed lack of obvious isolating barriers, abyssal populations might be more likely to show population differentiation and undergo speciation events than previously assumed. Potential factors influencing species' origins and distributions, such as hydrostatic pressure, are discussed. In addition, morphological findings coincided with the molecular clades. Of all specimens available for examination, those of the bipolar bathyal clade seemed the most similar to the 'true' E. gryllus. We present the first molecular evidence for a bipolar distribution in a macro-benthic deep-sea organism.</t>
  </si>
  <si>
    <t>[Havermans, Charlotte; Martin, Patrick] Royal Belgian Inst Nat Sci, Direct Nat Environm, Brussels, Belgium; [Sonet, Gontran; d'Acoz, Cedric d'Udekem; Nagy, Zoltan T.; Martin, Patrick] Royal Belgian Inst Nat Sci, Direct Taxon &amp; Phylogeny, Brussels, Belgium; [Havermans, Charlotte] Catholic Univ Louvain, Biodivers Res Ctr, Earth &amp; Life Inst, B-3000 Louvain, Belgium; [Brix, Saskia; Riehl, Torben] Bioctr Grindel, Senckenberg Res Inst, Ctr Marine Biodivers Res, Hamburg, Germany; [Agrawal, Shobhit; Held, Christoph] Alfred Wegener Inst Helmholtz Ctr Polar &amp; Marine, Sect Funct Ecol, Bremerhaven, Germany</t>
  </si>
  <si>
    <t>Royal Belgian Institute of Natural Sciences; Royal Belgian Institute of Natural Sciences; Universite Catholique Louvain; University of Hamburg; Senckenberg Gesellschaft fur Naturforschung (SGN); Helmholtz Association; Alfred Wegener Institute, Helmholtz Centre for Polar &amp; Marine Research</t>
  </si>
  <si>
    <t>Havermans, C (corresponding author), Royal Belgian Inst Nat Sci, Direct Nat Environm, Brussels, Belgium.</t>
  </si>
  <si>
    <t>chavermans@naturalsciences.be</t>
  </si>
  <si>
    <t>Riehl, Torben/C-3711-2013; Martin, Patrick/V-9708-2019; Nagy, Zoltan T./C-6737-2011; Sonet, Gontran/G-7740-2018</t>
  </si>
  <si>
    <t>Martin, Patrick/0000-0002-6033-8412; Sonet, Gontran/0000-0001-7310-9574; Riehl, Torben/0000-0002-7363-4421; Havermans, Charlotte/0000-0002-1126-4074</t>
  </si>
  <si>
    <t>Belgian Science Policy Office and Scientific Research Program on Antarctica; project BIANZO II; Belgian Science Policy Office [WI/36/H04, MO/36/022]; Antarctic Science Bursary; DFG [HE 3391/5-1, SPP 1158]</t>
  </si>
  <si>
    <t>Belgian Science Policy Office and Scientific Research Program on Antarctica; project BIANZO II; Belgian Science Policy Office(Belgian Federal Science Policy Office); Antarctic Science Bursary; DFG(German Research Foundation (DFG))</t>
  </si>
  <si>
    <t>This work was supported by the Belgian Science Policy Office and Scientific Research Program on Antarctica, with the project BIANZO II. The first author was supported by an Action II grant (contract number WI/36/H04) and CUA by an Action I grant (contract number MO/36/022) of the Belgian Science Policy Office. GS and ZTN are part of the Joint Experimental Molecular Unit, also supported by the Belgian Science Policy Office. Part of the molecular work was funded by an Antarctic Science Bursary to the first author. SA and C Held were supported by the DFG grant HE 3391/5-1 within the SPP 1158. The funders had no role in study design, data collection and analysis, decision to publish, or preparation of the manuscript. Samples were collected during the expeditions ANDEEP I, II, III, ANT-XIII-8, ANT XXVII-3, ARK XIX-3 aboard RV Polarstern, the expedition DIVA-3 aboard RV Meteor and a cruise aboard RV Jan Mayen.</t>
  </si>
  <si>
    <t>e74218</t>
  </si>
  <si>
    <t>10.1371/journal.pone.0074218</t>
  </si>
  <si>
    <t>WOS:000325218700018</t>
  </si>
  <si>
    <t>Lin, Y; Clayton, RN; Huang, L; Nakamura, N; Lyons, JR</t>
  </si>
  <si>
    <t>Lin, Ying; Clayton, Robert N.; Huang, Lin; Nakamura, Noboru; Lyons, James R.</t>
  </si>
  <si>
    <t>Oxygen isotope anomaly observed in water vapor from Alert, Canada and the implication for the stratosphere</t>
  </si>
  <si>
    <t>non-mass-dependent (NMD) fractionation; stratosphere-troposphere transport (STT)</t>
  </si>
  <si>
    <t>MASS-TRANSPORT; OZONE; CIRCULATION; FRACTIONATION; ORIGIN; RATIO; CYCLE</t>
  </si>
  <si>
    <t>To identify the possible anomalous oxygen isotope signature in stratospheric water predicted by model studies, 25 water vapor samples were collected in 2003-2005 at Alert station, Canada (82 degrees 30'N), where there is downward transport of stratospheric air to the polar troposphere, and were analyzed for delta O-17 and delta O-18 relative to Chicago local precipitation (CLP). The latter was chosen as a reference because the relatively large evaporative moisture source should erase any possible oxygen isotope anomaly from the stratosphere. A mass-dependent fractionation coefficient for meteoric waters, lambda(MDF)(H2O) = 0.529 +/- 0.003 [2 sigma standard error (SE)], was determined from 27 CLP samples collected in 2003-2005. An oxygen isotopic anomaly of Delta O-17 = 76 +/- 16 ppm (2 sigma SE) was found in water vapor samples from Alert relative to CLP. We propose that the positive oxygen isotope anomalies observed at Alert originated from stratospheric ozone, were transferred to water in the stratosphere, and subsequently mixed with tropospheric water at high latitudes as the stratospheric air descended into the troposphere. On the basis of this ground signal, the average Delta O-17 in stratospheric water vapor predicted by a steady-state box model is similar to 40 parts per thousand. Seven ice core samples (1930-1991) from Dasuopu glacier (Himalayas, China) and Standard Light Antarctic Precipitation did not show an obvious oxygen isotope anomaly, and Vienna Standard Mean Ocean Water exhibited a negative Delta O-17 relative to CLP. Six Alert snow samples collected in March 2011 and measured at Laboratoire des Sciences du Climat et de l'Environnement, Gif sur Yvette, France, had O-17(excess) of 45 +/- 5 ppm (2 sigma SE) relative to Vienna Standard Mean Ocean Water.</t>
  </si>
  <si>
    <t>[Lin, Ying] Univ Sci &amp; Technol China, Sch Earth &amp; Space Sci, Dept Geochem &amp; Environm Sci, Hefei 230026, Anhui, Peoples R China; [Lin, Ying; Clayton, Robert N.; Nakamura, Noboru] Univ Chicago, Dept Geophys Sci, Chicago, IL 60637 USA; [Lin, Ying; Clayton, Robert N.] Univ Chicago, Enrico Fermi Inst, Chicago, IL 60637 USA; [Clayton, Robert N.] Univ Chicago, Dept Chem, Chicago, IL 60637 USA; [Huang, Lin] Environm Canada, Sci &amp; Technol Branch, Atmospher Sci &amp; Technol Directorate, Div Climate Res, Toronto, ON M3H 5T4, Canada; [Lyons, James R.] Arizona State Univ, Sch Earth &amp; Space Explorat, Tempe, AZ 85287 USA</t>
  </si>
  <si>
    <t>Chinese Academy of Sciences; University of Science &amp; Technology of China, CAS; University of Chicago; University of Chicago; University of Chicago; Environment &amp; Climate Change Canada; Arizona State University; Arizona State University-Tempe</t>
  </si>
  <si>
    <t>Clayton, RN (corresponding author), Univ Chicago, Dept Geophys Sci, 5734 S Ellis Ave, Chicago, IL 60637 USA.</t>
  </si>
  <si>
    <t>yinglin@ustc.edu.cn; r-clayton@uchicago.edu</t>
  </si>
  <si>
    <t>US National Science Foundation [EAR 0439925]; National Natural Science Foundation of China [41025011]; Fundamental Research Funds for the Central Universities, China [WK2080000035]</t>
  </si>
  <si>
    <t>US National Science Foundation(National Science Foundation (NSF)); National Natural Science Foundation of China(National Natural Science Foundation of China (NSFC)); Fundamental Research Funds for the Central Universities, China(Fundamental Research Funds for the Central Universities)</t>
  </si>
  <si>
    <t>The authors sincerely thank Andrew Platt, Kevin Anderson, Alina Chivulescu, Robert Kessler, Sangeeta Sharma Darrel Ernst, and Wendy Zhang for logistic and technical support in water vapor and snow samples collection at Alert GAW station (Environment Canada); and Lucie Vincent, Elton Chan, Dauglas Chan for providing assistance to obtain and use climatological data from Climate Archive Service at Environment Canada. Lonnie G. Thompson and Mary E. Davis (The Ohio State University) provided Dasuopu ice core samples. We highly appreciate this contribution. Amaelle Landais (Institute Pierre Simon Laplace) kindly made the isotope ratio measurements of six Alert snow samples. Kenneth R. Ludwig (Berkeley Geochronology Center) shared Isoplot 3.00 for data plot and analysis. Thesis committee members Frank M. Richter, Andrew M. Davis, Lawrence Grossman, and David Archer (The University of Chicago) spent great effort in this project. The authors thank the anonymous reviewers for their constructive comments and many other fellow geochemists for their help. This project was funded by the US National Science Foundation (EAR 0439925), the National Natural Science Foundation of China (41025011), and the Fundamental Research Funds for the Central Universities, China (WK2080000035).</t>
  </si>
  <si>
    <t>SEP 24</t>
  </si>
  <si>
    <t>10.1073/pnas.1313014110</t>
  </si>
  <si>
    <t>222XE</t>
  </si>
  <si>
    <t>WOS:000324765100032</t>
  </si>
  <si>
    <t>Underwood, GJC; Aslam, SN; Michel, C; Niemi, A; Norman, L; Meiners, KM; Laybourn-Parry, J; Paterson, H; Thomas, DN</t>
  </si>
  <si>
    <t>Underwood, Graham J. C.; Aslam, Shazia N.; Michel, Christine; Niemi, Andrea; Norman, Louiza; Meiners, Klaus M.; Laybourn-Parry, Johanna; Paterson, Harriet; Thomas, David N.</t>
  </si>
  <si>
    <t>Broad-scale predictability of carbohydrates and exopolymers in Antarctic and Arctic sea ice</t>
  </si>
  <si>
    <t>algae; microbial; biogeochemistry; global relationships</t>
  </si>
  <si>
    <t>POLYMERIC SUBSTANCES EPS; ORGANIC-MATTER DOM; BINDING PROTEINS; PARTICLES; BACTERIAL; DYNAMICS; BIOGEOCHEMISTRY; RETENTION; TRANSPORT</t>
  </si>
  <si>
    <t>Sea ice can contain high concentrations of dissolved organic carbon (DOC), much of which is carbohydrate-rich extracellular polymeric substances (EPS) produced by microalgae and bacteria inhabiting the ice. Here we report the concentrations of dissolved carbohydrates (dCHO) and dissolved EPS (dEPS) in relation to algal standing stock [estimated by chlorophyll (Chl) a concentrations] in sea ice from six locations in the Southern and Arctic Oceans. Concentrations varied substantially within and between sampling sites, reflecting local ice conditions and biological content. However, combining all data revealed robust statistical relationships between dCHO concentrations and the concentrations of different dEPS fractions, Chl a, and DOC. These relationships were true for whole ice cores, bottom ice (biomass rich) sections, and colder surface ice. The distribution of dEPS was strongly correlated to algal biomass, with the highest concentrations of both dEPS and non-EPS carbohydrates in the bottom horizons of the ice. Complex EPS was more prevalent in colder surface sea ice horizons. Predictive models (validated against independent data) were derived to enable the estimation of dCHO concentrations from data on ice thickness, salinity, and vertical position in core. When Chl a data were included a higher level of prediction was obtained. The consistent patterns reflected in these relationships provide a strong basis for including estimates of regional and seasonal carbohydrate and dEPS carbon budgets in coupled physical- biogeochemical models, across different types of sea ice from both polar regions.</t>
  </si>
  <si>
    <t>[Underwood, Graham J. C.; Aslam, Shazia N.] Univ Essex, Sch Biol Sci, Colchester CO4 3SQ, Essex, England; [Michel, Christine; Niemi, Andrea] Fisheries &amp; Oceans Canada, Inst Freshwater, Winnipeg, MB R3T 2N6, Canada; [Norman, Louiza; Thomas, David N.] Bangor Univ, Sch Ocean Sci, Menai Bridge LL59 5AB, Anglesey, Wales; [Meiners, Klaus M.] Univ Tasmania, Antarctic Climate &amp; Ecosyst Cooperat Res Ctr, Hobart, Tas 7001, Australia; [Paterson, Harriet] Univ Tasmania, Inst Marine &amp; Antarctic Studies, Hobart, Tas 7001, Australia; [Meiners, Klaus M.] Australian Antarctic Div, Dept Sustainabil Environm Water Populat &amp; Communi, Kingston, Tas 7050, Australia; [Laybourn-Parry, Johanna] Univ Bristol, Bristol Glaciol Ctr, Bristol BS8 1SS, Avon, England; [Thomas, David N.] Finnish Environm Inst SYKE, Marine Res Ctr, FI-00251 Helsinki, Finland; [Thomas, David N.] Aarhus Univ, Arctic Res Ctr, DK-8000 Aarhus, Denmark</t>
  </si>
  <si>
    <t>University of Essex; Fisheries &amp; Oceans Canada; Bangor University; Antarctic Climate &amp; Ecosystems Cooperative Research Centre (ACE CRC); University of Tasmania; University of Tasmania; Australian Antarctic Division; University of Bristol; Finnish Environment Institute; Aarhus University</t>
  </si>
  <si>
    <t>Underwood, GJC (corresponding author), Univ Essex, Sch Biol Sci, Colchester CO4 3SQ, Essex, England.</t>
  </si>
  <si>
    <t>gjcu@essex.ac.uk</t>
  </si>
  <si>
    <t>Paterson, Harriet H/F-3847-2012; Thomas, David Neville/B-1448-2010</t>
  </si>
  <si>
    <t>Thomas, David Neville/0000-0001-8832-5907; Underwood, Graham/0000-0001-5605-0697; Paterson, Harriet/0000-0002-9825-3588</t>
  </si>
  <si>
    <t>United Kingdom Natural Environment Research Council [NE/D00681/1, NE/E016251/1]; Fisheries and Oceans Canada; Natural Sciences, and Engineering Council of Canada; Australian Antarctic Science Project [2751]; Australian Government's Cooperative Research Centres Program through the Antarctic Climate and Ecosystems Cooperative Research Centre; Australian Antarctic Science Grant [2767]; Natural Environment Research Council [NE/E015409/1, NE/D006988/1, NE/E016251/1] Funding Source: researchfish; NERC [NE/E015409/1, NE/D006988/1, NE/E016251/1] Funding Source: UKRI</t>
  </si>
  <si>
    <t>United Kingdom Natural Environment Research Council(UK Research &amp; Innovation (UKRI)Natural Environment Research Council (NERC)); Fisheries and Oceans Canada; Natural Sciences, and Engineering Council of Canada(Natural Sciences and Engineering Research Council of Canada (NSERC)); Australian Antarctic Science Project; Australian Government's Cooperative Research Centres Program through the Antarctic Climate and Ecosystems Cooperative Research Centre(Australian GovernmentDepartment of Industry, Innovation and ScienceCooperative Research Centres (CRC) Programme); Australian Antarctic Science Grant; Natural Environment Research Council(UK Research &amp; Innovation (UKRI)Natural Environment Research Council (NERC)); NERC(UK Research &amp; Innovation (UKRI)Natural Environment Research Council (NERC))</t>
  </si>
  <si>
    <t>We thank T. Cresswell-Maynard (Essex), D. Lannuzel, P. van der Merwe (Sea Ice Physics and Ecosystem Experiment, SIPEX), C. Haas, G. Dieckmann, S. Papadimitriou (Ice Station Polarstern, Winter Weddell Outflow Study), and many other colleagues without whom sampling would not have been possible; two anonymous reviewers and the editor for their thoughtful comments; and A. Dumbrell for his advice on our statistical approach. This study was funded in part by Grants NE/D00681/1 and NE/E016251/1 from the United Kingdom Natural Environment Research Council (to G.J.C.U., S.N.A., L.N., and D.N.T.); a Fisheries and Oceans Canada, Natural Sciences, and Engineering Council of Canada Individual Discovery Grant (to C. M.); invaluable field and logistical support from the Polar Continental Shelf Program (Natural Resources Canada) (C. M.); and Australian Antarctic Science Project 2751 and the University of Tasmania (to J.L-P and H. P.). The SIPEX voyage was supported by the Australian Government's Cooperative Research Centres Program through the Antarctic Climate and Ecosystems Cooperative Research Centre and Australian Antarctic Science Grant 2767.</t>
  </si>
  <si>
    <t>10.1073/pnas.1302870110</t>
  </si>
  <si>
    <t>WOS:000324765100053</t>
  </si>
  <si>
    <t>Fan, YZ; Wu, XF; Wei, DM</t>
  </si>
  <si>
    <t>Fan, Yi-Zhong; Wu, Xue-Feng; Wei, Da-Ming</t>
  </si>
  <si>
    <t>Signature of gravitational wave radiation in afterglows of short gamma-ray bursts?</t>
  </si>
  <si>
    <t>PHYSICAL REVIEW D</t>
  </si>
  <si>
    <t>MAGNETIC-FIELDS; EMISSION; PULSARS; GALAXY; STARS; MASS</t>
  </si>
  <si>
    <t>Short gamma-ray bursts (GRBs), brief intense emission of gamma rays characterized by a duration shorter than 2 s that are plausibly powered by the coalescence of binary neutron stars, are believed to be strong gravitational wave radiation (GWR) sources. The test of such a speculation has been thought to be impossible until the performance of the detectors like advanced LIGO. Recently there has been growing evidence for the formation of a highly magnetized neutron star (i.e., magnetar) in the double neutron star mergers. In this work we reexamine the interpretation of the x-ray plateau followed by an abrupt decline detected in some short GRB afterglows within the supramassive magnetar model and find that the maximum gravitational mass of the nonrotating neutron stars is similar to 2.3M(circle dot) and the observed duration of some x-ray plateaus are significantly shorter than that expected in the magnetic dipole radiation scenario, suggesting that the collapse of the supramassive magnetars has been considerably enhanced by the energy loss via GWR. Such a result demonstrates that the signature of GWR may have already existed in current electromagnetic data of short GRBs.</t>
  </si>
  <si>
    <t>[Fan, Yi-Zhong; Wei, Da-Ming] Chinese Acad Sci, Purple Mt Observ, Key Lab Dark Matter &amp; Space Astron, Nanjing 210008, Peoples R China; [Wu, Xue-Feng] Chinese Acad Sci, Purple Mt Observ, Chinese Ctr Antarctic Astron, Nanjing 210008, Peoples R China</t>
  </si>
  <si>
    <t>Purple Mountain Observatory, CAS; Chinese Academy of Sciences; Nanjing Institute of Astronomical Optics &amp; Technology, NAOC, CAS; Purple Mountain Observatory, CAS; Chinese Academy of Sciences; Nanjing Institute of Astronomical Optics &amp; Technology, NAOC, CAS</t>
  </si>
  <si>
    <t>Fan, YZ (corresponding author), Chinese Acad Sci, Purple Mt Observ, Key Lab Dark Matter &amp; Space Astron, Nanjing 210008, Peoples R China.</t>
  </si>
  <si>
    <t>973 Programme of China [2013CB837000, 2009CB824800]; National Natural Science of China [11073057, 11273063]; Foundation for Distinguished Young Scholars of Jiangsu Province, China [BK2012047]; 100 Talents programme of Chinese Academy of Sciences</t>
  </si>
  <si>
    <t>973 Programme of China(National Basic Research Program of China); National Natural Science of China(National Natural Science Foundation of China (NSFC)); Foundation for Distinguished Young Scholars of Jiangsu Province, China; 100 Talents programme of Chinese Academy of Sciences(Chinese Academy of Sciences)</t>
  </si>
  <si>
    <t>This work was supported in part by 973 Programme of China under Grants No. 2013CB837000 and No. 2009CB824800, National Natural Science of China under Grants No. 11073057 and No. 11273063, and the Foundation for Distinguished Young Scholars of Jiangsu Province, China (No. BK2012047). Y. Z. F. and X. F. W. are also supported by the 100 Talents programme of Chinese Academy of Sciences.</t>
  </si>
  <si>
    <t>AMER PHYSICAL SOC</t>
  </si>
  <si>
    <t>COLLEGE PK</t>
  </si>
  <si>
    <t>ONE PHYSICS ELLIPSE, COLLEGE PK, MD 20740-3844 USA</t>
  </si>
  <si>
    <t>1550-7998</t>
  </si>
  <si>
    <t>1550-2368</t>
  </si>
  <si>
    <t>PHYS REV D</t>
  </si>
  <si>
    <t>Phys. Rev. D</t>
  </si>
  <si>
    <t>SEP 23</t>
  </si>
  <si>
    <t>10.1103/PhysRevD.88.067304</t>
  </si>
  <si>
    <t>Astronomy &amp; Astrophysics; Physics, Particles &amp; Fields</t>
  </si>
  <si>
    <t>Astronomy &amp; Astrophysics; Physics</t>
  </si>
  <si>
    <t>221WQ</t>
  </si>
  <si>
    <t>WOS:000324691500017</t>
  </si>
  <si>
    <t>Bilyk, KT; Cheng, CHC</t>
  </si>
  <si>
    <t>Bilyk, Kevin T.; Cheng, C-H Christina</t>
  </si>
  <si>
    <t>Model of gene expression in extreme cold - reference transcriptome for the high-Antarctic cryopelagic notothenioid fish Pagothenia borchgrevinki</t>
  </si>
  <si>
    <t>Notothenioidei; Antarctic fish; Transcriptome; Heat tolerance; Cold adaptation; Cold specialization</t>
  </si>
  <si>
    <t>ADAPTATION; HOT</t>
  </si>
  <si>
    <t>Background: Among the cold-adapted Antarctic notothenioid fishes, the high-latitude bald notothen Pagothenia borchgrevinki is particularly notable as the sole cryopelagic species, exploiting the coldest and iciest waters of the Southern Ocean. Because P. borchgrevinki is a frequent model for investigating notothenioid cold-adaptation and specialization, it is imperative that omic tools be developed for this species. In the absence of a sequenced genome, a well annotated reference transcriptome of the bald notothen will serve as a model of gene expression in the coldest and harshest of all polar marine environments, useful for future comparative studies of cold adaptation and thermal responses in polar teleosts and ectotherms. Results: We sequenced and annotated a reference transcriptome for P. borchgrevinki, with added attention to capturing the transcriptional responses to acute and chronic heat exposures. We sequenced by Roche 454 a normalized cDNA library constructed from pooled mRNA encompassing multiple tissues taken from environmental, warm acclimating, and acute heat stressed specimens. The resulting reads were assembled into 42,620 contigs, 17,951 of which could be annotated. We utilized this annotated portion of the reference transcriptome to map short Illumina reads sequenced from the gill and liver of environmental specimens, and also compared the gene expression profiles of these two tissue transcriptomes with those from the temperate model fish Danio rerio. From this, we identified a conserved group of 58 GO terms, in which terms related to transcription and its regulation, ubiquitin-protein ligase activity, protein ubiquitination, and protein binding among others are more prevalent in the bald notothen, suggesting the pertinent genes play essential roles in cold temperature functioning. Conclusion: We sequenced multiple tissue transcriptomes from native and heat-exposed experimental specimens of the high Antarctic, cryopelagic notothenioid P. borchgrevinki to construct a reference transcriptome. In a proof of concept, we utilized the annotated reference transcriptome to profile the gene expression patterns of gill and liver, and identified a suite of over and under-represented GO terms when compared to the tropical water zebrafish suggesting these functions may be important for surviving in freezing waters. The transcriptome resource from this study will aid future investigations of cold adaptation and thermal response of polar ectothermic species.</t>
  </si>
  <si>
    <t>[Bilyk, Kevin T.; Cheng, C-H Christina] Univ Illinois, Sch Integrat Biol, Dept Anim Biol, Urbana, IL 61801 USA</t>
  </si>
  <si>
    <t>University of Illinois System; University of Illinois Urbana-Champaign</t>
  </si>
  <si>
    <t>Bilyk, KT (corresponding author), Shanghai Ocean Univ, Coll Fisheries &amp; Life Sci, 999 Hucenghuan Rd, Shanghai 201306, Peoples R China.</t>
  </si>
  <si>
    <t>kbilyk@life.illinois.edu</t>
  </si>
  <si>
    <t>Bilyk, Kevin/0000-0002-2262-2703</t>
  </si>
  <si>
    <t>National Science Foundation Office Polar Programs [ANT-0231006, ANT-1142158]; Natural Science Foundation of China [30910103906]; Directorate For Geosciences; Office of Polar Programs (OPP) [1142158] Funding Source: National Science Foundation</t>
  </si>
  <si>
    <t>National Science Foundation Office Polar Programs; Natural Science Foundation of China(National Natural Science Foundation of China (NSFC)); Directorate For Geosciences; Office of Polar Programs (OPP)(National Science Foundation (NSF)NSF - Directorate for Geosciences (GEO))</t>
  </si>
  <si>
    <t>We thank Jonathan Weissman and Brett Mommer for their assistance collecting specimens and setting up acclimation tanks. We would also like to thank Zachary Cheviron for his helpful comments on the manuscript. Additionally we would like to thank Dr. Alvaro Hernandez and the staff of the DNA Services at the University of Illinois Roy J. Carver Biotechnology Center for their work on library construction and sequencing. This research was supported by National Science Foundation Office Polar Programs grantsANT-0231006 and ANT-1142158 to C-H. C. Cheng and A.L. DeVries. Additional funding in support of K.T. Bilyk during this project came from the International Collaboration Project 30910103906 from Natural Science Foundation of China to L. Chen and C.-H.C. Cheng.</t>
  </si>
  <si>
    <t>SEP 21</t>
  </si>
  <si>
    <t>10.1186/1471-2164-14-634</t>
  </si>
  <si>
    <t>227BK</t>
  </si>
  <si>
    <t>WOS:000325082400001</t>
  </si>
  <si>
    <t>Jin, ZP; Xu, D; Fan, YZ; Wu, XF; Wei, DM</t>
  </si>
  <si>
    <t>Jin, Zhi-Ping; Xu, Dong; Fan, Yi-Zhong; Wu, Xue-Feng; Wei, Da-Ming</t>
  </si>
  <si>
    <t>IS THE LATE NEAR-INFRARED BUMP IN SHORT-HARD GRB 130603B DUE TO THE LI-PACZYNSKI KILONOVA?</t>
  </si>
  <si>
    <t>GAMMA-RAY BURSTS; NEUTRON-STAR MERGERS; COMPACT OBJECT MERGERS; AFTERGLOW LIGHT CURVES; EARLY X-RAY; 2-COMPONENT JET; FLAT SEGMENT; NUCLEOSYNTHESIS; MODEL; MAGNETAR</t>
  </si>
  <si>
    <t>Short-hard gamma-ray bursts (GRBs) are widely believed to be produced by the merger of two binary compact objects, specifically by two neutron stars or by a neutron star orbiting a black hole. According to the Li-Paczynski kilonova model, the merger would launch sub-relativistic ejecta and a near-infrared/optical transient would then occur, lasting up to days, which is powered by the radioactive decay of heavy elements synthesized in the ejecta. The detection of a late bump using the Hubble Space Telescope (HST) in the near-infrared afterglow light curve of the short-hard GRB 130603B is indeed consistent with such a model. However, as shown in this Letter, the limited HST near-infrared light curve behavior can also be interpreted as the synchrotron radiation of the external shock driven by a wide mildly relativistic outflow. In such a scenario, the radio emission is expected to peak with a flux of similar to 100 mu Jy, which is detectable for current radio arrays. Hence, the radio afterglow data can provide complementary evidence on the nature of the bump in GRB 130603B. It is worth noting that good spectroscopy during the bump phase in short-hard bursts can test the validity of either model above, analogous to spectroscopy of broad-lined Type Ic supernova in long-soft GRBs.</t>
  </si>
  <si>
    <t>[Jin, Zhi-Ping; Fan, Yi-Zhong; Wei, Da-Ming] Chinese Acad Sci, Purple Mt Observ, Key Lab Dark Matter &amp; Space Astron, Nanjing 210008, Jiangsu, Peoples R China; [Xu, Dong] Univ Copenhagen, Niels Bohr Inst, Dark Cosmol Ctr, DK-2100 Copenhagen, Denmark; [Wu, Xue-Feng] Chinese Acad Sci, Purple Mt Observ, Chinese Ctr Antarctic Astron, Nanjing 210008, Jiangsu, Peoples R China</t>
  </si>
  <si>
    <t>Purple Mountain Observatory, CAS; Chinese Academy of Sciences; Nanjing Institute of Astronomical Optics &amp; Technology, NAOC, CAS; University of Copenhagen; Niels Bohr Institute; Purple Mountain Observatory, CAS; Chinese Academy of Sciences; Nanjing Institute of Astronomical Optics &amp; Technology, NAOC, CAS</t>
  </si>
  <si>
    <t>Jin, ZP (corresponding author), Chinese Acad Sci, Purple Mt Observ, Key Lab Dark Matter &amp; Space Astron, Nanjing 210008, Jiangsu, Peoples R China.</t>
  </si>
  <si>
    <t>yzfan@pmo.ac.cn</t>
  </si>
  <si>
    <t>Wu, Xuefeng/0000-0002-6299-1263; Jin, Zhiping/0000-0003-4977-9724</t>
  </si>
  <si>
    <t>973 Programme of China [2009CB824800, 2013CB837000]; National Natural Science of China [11073057, 11103084, 11273063]; Foundation for Distinguished Young Scholars of Jiangsu Province, China [BK2012047]; Chinese Academy of Sciences; ERC-StG grant [EGGS-278202]; IDA</t>
  </si>
  <si>
    <t>973 Programme of China(National Basic Research Program of China); National Natural Science of China(National Natural Science Foundation of China (NSFC)); Foundation for Distinguished Young Scholars of Jiangsu Province, China; Chinese Academy of Sciences(Chinese Academy of Sciences); ERC-StG grant; IDA</t>
  </si>
  <si>
    <t>This work was supported in part by the 973 Programme of China under grants 2009CB824800 and 2013CB837000, the National Natural Science of China under grants 11073057, 11103084, and 11273063, and the Foundation for Distinguished Young Scholars of Jiangsu Province, China (No. BK2012047). Y.Z.F. and X.F.W. are also supported by the 100 Talents programme of Chinese Academy of Sciences. D.X. acknowledges support from the ERC-StG grant EGGS-278202 and IDA.</t>
  </si>
  <si>
    <t>SEP 20</t>
  </si>
  <si>
    <t>L19</t>
  </si>
  <si>
    <t>10.1088/2041-8205/775/1/L19</t>
  </si>
  <si>
    <t>217ET</t>
  </si>
  <si>
    <t>WOS:000324340500019</t>
  </si>
  <si>
    <t>Strain, EMA; Johnson, CR; Thomson, RJ</t>
  </si>
  <si>
    <t>Strain, Elisabeth M. A.; Johnson, Craig R.; Thomson, Russell J.</t>
  </si>
  <si>
    <t>Effects of a Range-Expanding Sea Urchin on Behaviour of Commercially Fished Abalone</t>
  </si>
  <si>
    <t>COMPETITION; COMMUNITY; HALIOTIS; HABITAT; EXPANSION; RESPONSES; IMPACTS; ECOLOGY</t>
  </si>
  <si>
    <t>Background: Global climate change has resulted in a southerly range expansion of the habitat modifying sea urchin Centrostephanus rodgersii to the east coast of Tasmania, Australia. Various studies have suggested that this urchin outcompetes black-lipped abalone (Haliotis rubra) for resources, but experiments elucidating the mechanisms are lacking. Methodology/Principal Findings: We outline a new framework involving experimental manipulations and Markov chain and Pareto modelling to examine the effects of interspecific competition between urchins and abalone and the effect of intraspecific competition in abalone, assessed as effects on behaviour. Manipulations of abalone densities had no detectable effect on urchin behavioural transitions, movement patterns or resightability through time. In contrast, additions of urchins resulted in abalone shifting microhabitats from exposed to sheltered positions, an increase in the proportion of mobile abalone, and declines in abalone resightability through time relative to controls without the urchins. Our results support the hypothesis of asymmetrical competitive interactions between urchins and abalone. Conclusions/Significance: The introduction of urchins to intact algal beds causes abalone to flee and seek shelter in cryptic microhabitat which will negatively impact both their accessibility to such microhabitats, and productivity of the abalone fishery, and will potentially affect their growth and survival, while the presence of the abalone has no detectable effect on the urchin. Our approach involving field-based experiments and modelling could be used to test the effects of other invasive species on native species behaviour.</t>
  </si>
  <si>
    <t>[Strain, Elisabeth M. A.] Univ Bologna, Ravenna, Italy; [Strain, Elisabeth M. A.; Johnson, Craig R.; Thomson, Russell J.] Univ Tasmania, Inst Marine &amp; Antarctic Studies, Hobart, Tas, Australia</t>
  </si>
  <si>
    <t>University of Bologna; University of Tasmania</t>
  </si>
  <si>
    <t>Strain, EMA (corresponding author), Univ Bologna, Ravenna, Italy.</t>
  </si>
  <si>
    <t>strain.beth@gmail.com</t>
  </si>
  <si>
    <t>Strain, Elisabeth/U-3520-2017; Thomson, Russell/H-5653-2012; Johnson, Craig/E-1788-2013</t>
  </si>
  <si>
    <t>Strain, Elisabeth/0000-0003-2165-9544; Thomson, Russell/0000-0003-4949-4120; Johnson, Craig/0000-0002-9511-905X</t>
  </si>
  <si>
    <t>Australian Postgraduate Award; Commonwealth Scientific and Industrial Research Organisation; University of Tasmania Quantitative Marine Science Program; Tasmanian Aquaculture and Fisheries Institute; Tasmanian Abalone Council</t>
  </si>
  <si>
    <t>Australian Postgraduate Award(Australian Government); Commonwealth Scientific and Industrial Research Organisation(Commonwealth Scientific &amp; Industrial Research Organisation (CSIRO)); University of Tasmania Quantitative Marine Science Program; Tasmanian Aquaculture and Fisheries Institute; Tasmanian Abalone Council</t>
  </si>
  <si>
    <t>This study was part of a PhD supported by an Australian Postgraduate Award and the Commonwealth Scientific and Industrial Research Organisation and University of Tasmania Quantitative Marine Science Program. The research was supported by Tasmanian Aquaculture and Fisheries Institute and Tasmanian Abalone Council grants. The funders had no role in study design, data collection and analysis, decision to publish, or preparation of the manuscript.</t>
  </si>
  <si>
    <t>e73477</t>
  </si>
  <si>
    <t>10.1371/journal.pone.0073477</t>
  </si>
  <si>
    <t>222YC</t>
  </si>
  <si>
    <t>gold, Green Published, Green Accepted</t>
  </si>
  <si>
    <t>WOS:000324768000004</t>
  </si>
  <si>
    <t>Roden, NP; Shadwick, EH; Tilbrook, B; Trull, TW</t>
  </si>
  <si>
    <t>Roden, Nicholas P.; Shadwick, Elizabeth H.; Tilbrook, Bronte; Trull, Thomas W.</t>
  </si>
  <si>
    <t>Annual cycle of carbonate chemistry and decadal change in coastal Prydz Bay, East Antarctica</t>
  </si>
  <si>
    <t>Ocean acidification; Southern Ocean; Carbonate chemistry; CO2 flux; Net community production</t>
  </si>
  <si>
    <t>NET COMMUNITY PRODUCTION; SEA-ICE; DISSOCIATION-CONSTANTS; OCEAN ACIDIFICATION; PLANKTON PRODUCTION; FRONTAL STRUCTURE; SURFACE-WATER; ARCTIC-OCEAN; ROSS SEA; REGION</t>
  </si>
  <si>
    <t>The annual cycles of dissolved carbon dioxide (CO2) system parameters were determined for a coastal site in East Antarctica using samples collected from May 2010 to February 2011 in Prydz Bay. These observations show the seasonal influence of ice formation and melt, biological production, and air-sea CO2 flux on changes in total dissolved inorganic carbon (DIC), pH(sws), and the saturation state of aragonite (Omega(ar)). Net community production of 1.8 +/- 0.4 mol C m(-2) in the productive summer months (November-February) caused large seasonal decreases in DIC. The decrease in DIC caused a change in surface water partial pressure of CO2 from values over-saturated with respect to the atmosphere in the ice-covered winter period, to undersaturated waters in the summer months. The study site was estimated to be an annual net sink for CO2 of 0.54 +/- 0.11 mol C m(-2) year(-1). The calculated pH(sws), and Omega(ar) values varied seasonally from 7.99 to 8.20 and 1.19 to 1.92, respectively. The observed variability was compared to similar measurements carried out in 1993-95 at the same location. Natural variability in carbon cycle dynamics caused changes in pH(sws), that were nearly twice as large as those expected from changes estimated due to the uptake of CO2 from the atmosphere over this time, assuming that the surface waters tracked increases in atmospheric CO2. This highlights the difficulties associated with predicting trends in seawater pH and dissolved CO2 system parameters in dynamic, high latitude, coastal locations with sparse temporal and spatial carbon cycle observations. (C) 2013 Elsevier B.V. All rights reserved.</t>
  </si>
  <si>
    <t>[Roden, Nicholas P.; Trull, Thomas W.] Univ Tasmania, Inst Marine &amp; Antarctic Studies, Hobart, Tas 7001, Australia; [Roden, Nicholas P.; Shadwick, Elizabeth H.; Tilbrook, Bronte; Trull, Thomas W.] Univ Tasmania, Antarctic Climate &amp; Ecosyst Cooperat Res Ctr, Hobart, Tas 7001, Australia; [Roden, Nicholas P.; Tilbrook, Bronte; Trull, Thomas W.] CSIRO Marine &amp; Atmospher Res, Wealth Oceans Flagship, Hobart, Tas 7001, Australia; [Tilbrook, Bronte; Trull, Thomas W.] Ctr Weather &amp; Climate Res, Hobart, Tas 7001, Australia</t>
  </si>
  <si>
    <t>University of Tasmania; Antarctic Climate &amp; Ecosystems Cooperative Research Centre (ACE CRC); University of Tasmania; Commonwealth Scientific &amp; Industrial Research Organisation (CSIRO)</t>
  </si>
  <si>
    <t>Roden, NP (corresponding author), Univ Tasmania, Inst Marine &amp; Antarctic Studies, Private Bag 129, Hobart, Tas 7001, Australia.</t>
  </si>
  <si>
    <t>nick.roden@utas.edu.au</t>
  </si>
  <si>
    <t>Trull, Tom W/B-7028-2014; Tilbrook, Bronte/W-4007-2019; Roden, Nick/T-1206-2019; Roden, Nicholas/M-3801-2016</t>
  </si>
  <si>
    <t>Tilbrook, Bronte/0000-0001-9385-3827; Roden, Nicholas/0000-0001-5623-0284; Shadwick, Elizabeth/0000-0003-4008-3333</t>
  </si>
  <si>
    <t>Australian Postgraduate Award; CSIRO Wealth from Oceans National Research Flagship scholarship; Lynchpin Ocean Project scholarship; Australian Climate Change Science Program; Australian Commonwealth Cooperative Research Centre Program; Australian Antarctic Science grant [3134]</t>
  </si>
  <si>
    <t>Australian Postgraduate Award(Australian Government); CSIRO Wealth from Oceans National Research Flagship scholarship; Lynchpin Ocean Project scholarship; Australian Climate Change Science Program; Australian Commonwealth Cooperative Research Centre Program(Australian GovernmentDepartment of Industry, Innovation and ScienceCooperative Research Centres (CRC) Programme); Australian Antarctic Science grant</t>
  </si>
  <si>
    <t>This research was supported by an Australian Postgraduate Award, CSIRO Wealth from Oceans National Research Flagship scholarship, Lynchpin Ocean Project scholarship (to N. P. Roden), the Australian Climate Change Science Program and the Australian Commonwealth Cooperative Research Centre Program, and an Australian Antarctic Science grant (project no. 3134: vulnerability of Antarctic marine benthos to increased temperature and ocean acidification associated with climate change - Byrne, M., King, C., and Virtue, P.). Petra Heil from the Antarctic Climate and Ecosystems CRC provided sea-ice measurements. We thank Kate Berry for carbon analysis from CSIRO and Patti Virtue for comments and feedback on various drafts of this manuscript. Melanie Ho and Dr Ben O'Leary provided valuable help with field sampling and the Australian Antarctic Division and the Australian Bureau of Meteorology are acknowledged for logistical support in the field.</t>
  </si>
  <si>
    <t>10.1016/j.marchem.2013.06.006</t>
  </si>
  <si>
    <t>217MC</t>
  </si>
  <si>
    <t>WOS:000324362600013</t>
  </si>
  <si>
    <t>Watson, AJ; Ledwell, JR; Messias, MJ; King, BA; Mackay, N; Meredith, MP; Mills, B; Garabato, ACN</t>
  </si>
  <si>
    <t>Watson, Andrew J.; Ledwell, James R.; Messias, Marie-Jose; King, Brian A.; Mackay, Neill; Meredith, Michael P.; Mills, Benjamin; Garabato, Alberto C. Naveira</t>
  </si>
  <si>
    <t>Rapid cross-density ocean mixing at mid-depths in the Drake Passage measured by tracer release</t>
  </si>
  <si>
    <t>SOUTHERN-OCEAN; SULFUR-HEXAFLUORIDE; SPATIAL VARIABILITY; CIRCULATION; DISSIPATION; TOPOGRAPHY</t>
  </si>
  <si>
    <t>Diapycnal mixing (across density surfaces) is an important process in the global ocean overturning circulation(1-3). Mixing in the interior of most of the ocean, however, is thought to have a magnitude just one-tenth of that required to close the global circulation by the downward mixing of less dense waters(4). Some of this deficit is made up by intense near-bottom mixing occurring in restricted 'hot-spots' associated with rough ocean-floor topography(5,6), but it is not clear whether the waters at mid-depth, 1,000 to 3,000 metres, are returned to the surface by cross-densitymixing or by along-density flows(7). Here we show that diapycnal mixing of mid-depth (similar to 1,500 metres) waters undergoes a sustained 20-fold increase as the Antarctic Circumpolar Current flows through the Drake Passage, between the southern tip of South America and Antarctica. Our results are based on an open-ocean tracer release of trifluoromethyl sulphur pentafluoride. We ascribe the increased mixing to turbulence generated by the deep-reaching Antarctic Circumpolar Current as it flows over rough bottom topography in the Drake Passage. Scaled to the entire circumpolar current, the mixing we observe is compatible with there being a southern component to the global overturning in which about 20 sverdrups (1 Sv = 10(6) m(3) s(-1)) upwell in the Southern Ocean, with cross-density mixing contributing a significant fraction (20 to 30 per cent) of this total, and the remainder upwelling along constant-density surfaces. The great majority of the diapycnal flux is the result of interaction with restricted regions of rough ocean-floor topography.</t>
  </si>
  <si>
    <t>[Watson, Andrew J.; Messias, Marie-Jose; Mackay, Neill; Mills, Benjamin] Univ E Anglia, Sch Environm Sci, Norwich NR4 7TJ, Norfolk, England; [Ledwell, James R.] Woods Hole Oceanog Inst, Woods Hole, MA 02543 USA; [King, Brian A.; Garabato, Alberto C. Naveira] Natl Oceanog Ctr, Southampton SO14 3ZH, Hants, England; [Meredith, Michael P.] British Antarctic Survey, Cambridge CB3 0ET, England; [Meredith, Michael P.] Scottish Assoc Marine Sci, Oban PA37 1QA, Argyll, Scotland; [Garabato, Alberto C. Naveira] Univ Southampton, Natl Oceanog Ctr, Southampton SO14 3ZH, Hants, England</t>
  </si>
  <si>
    <t>University of East Anglia; Woods Hole Oceanographic Institution; NERC National Oceanography Centre; UK Research &amp; Innovation (UKRI); Natural Environment Research Council (NERC); NERC British Antarctic Survey; UHI Millennium Institute; University of Southampton; NERC National Oceanography Centre</t>
  </si>
  <si>
    <t>Watson, AJ (corresponding author), Univ Exeter, Coll Life &amp; Environm Sci, Laver Bldg, Exeter EX4 4QE, Devon, England.</t>
  </si>
  <si>
    <t>andrew.watson@exeter.ac.uk</t>
  </si>
  <si>
    <t>KIng, Brian/KDN-7191-2024; Garabato, Alberto Naveira/AAQ-1114-2020</t>
  </si>
  <si>
    <t>Garabato, Alberto Naveira/0000-0001-6071-605X; Messias, Marie-Jose/0000-0002-3852-2854; Meredith, Michael/0000-0002-7342-7756; Mills, Benjamin/0000-0002-9141-0931; Watson, Andrew/0000-0002-9654-8147</t>
  </si>
  <si>
    <t>UK Natural Environment Research Council; US National Science Foundation; Royal Society; Directorate For Geosciences; Division Of Ocean Sciences [1232962] Funding Source: National Science Foundation; Natural Environment Research Council [NE/E005985/2, NE/E007058/1, noc010012, NE/E005985/1, bas0100028] Funding Source: researchfish; NERC [bas0100028, NE/E005985/2, NE/E005985/1, NE/E007058/1] Funding Source: UKRI</t>
  </si>
  <si>
    <t>UK Natural Environment Research Council(UK Research &amp; Innovation (UKRI)Natural Environment Research Council (NERC)); US National Science Foundation(National Science Foundation (NSF)); Royal Society(Royal Society); Directorate For Geosciences; Division Of Ocean Sciences(National Science Foundation (NSF)NSF - Directorate for Geosciences (GEO)); Natural Environment Research Council(UK Research &amp; Innovation (UKRI)Natural Environment Research Council (NERC)); NERC(UK Research &amp; Innovation (UKRI)Natural Environment Research Council (NERC))</t>
  </si>
  <si>
    <t>We thank the officers and staff of the RV Thomas Thompson, RRS James Cook and RRS James Clark Ross for their assistance in making the observations at sea. We thank the UK Natural Environment Research Council and the US National Science Foundation for funding the DIMES experiment. A.J.W. thanks the Royal Society for support.</t>
  </si>
  <si>
    <t>SEP 19</t>
  </si>
  <si>
    <t>10.1038/nature12432</t>
  </si>
  <si>
    <t>219XT</t>
  </si>
  <si>
    <t>WOS:000324545700043</t>
  </si>
  <si>
    <t>Lu, X; Chu, XZ; Fuller-Rowell, T; Chang, LR; Fong, WC; Yu, ZB</t>
  </si>
  <si>
    <t>Lu, Xian; Chu, Xinzhao; Fuller-Rowell, Tim; Chang, Loren; Fong, Weichun; Yu, Zhibin</t>
  </si>
  <si>
    <t>Eastward propagating planetary waves with periods of 1-5 days in the winter Antarctic stratosphere as revealed by MERRA and lidar</t>
  </si>
  <si>
    <t>eastward propagating planetary waves; winter Antarctic stratosphere; jet instability; Eliassen-Palm flux; Fe Boltzmann lidar; MERRA</t>
  </si>
  <si>
    <t>4-DAY WAVE; MESOSPHERE; ATMOSPHERE; THERMOSPHERE; VARIABILITY; INSTABILITY; DYNAMICS</t>
  </si>
  <si>
    <t>This study presents the first report of planetary wave (PW) influences on significant temperature perturbations (10-20 K) within a course of one day detected by an Fe lidar from 35 to 51 km in the austral winter of 2011 at McMurdo (77.8 degrees S, 166.7 degrees E), Antarctica. Such large temperature perturbations are captured in the Modern Era Retrospective-Analysis for Research and Applications (MERRA) data and correspond to various phases of eastward propagating PWs with periods of 1-5days as revealed in MERRA. The strongest PW dominating the temperature perturbations has a period of 4-5days with wavenumber -1. A 2-day wave with wavenumber -2 and a 1.25-day wave with wavenumber -3 also have significant influences. We find that these eastward propagating PWs are highly confined to winter high latitudes, likely because negative refractive indices equatorward of similar to 45 degrees S result in evanescent wave characteristics and prevent the PWs from propagating to lower latitudes. The Eliassen-Palm flux divergence and instability analyses suggest that barotropic/baroclinic instability at 50 degrees S-60 degrees S induced by the stratospheric polar night jet and/or the double-jet structure is the most likely wave source. Such instability in the region poleward of 70 degrees S is a complementary source for the 4-day wave, where we find that the heat flux of the 4-day wave is large and transported from similar to 70 degrees S toward the pole above 40km. This transport direction is likely linked to the meridional gradient of background temperature. The migrating diurnal tide near 78 degrees S in the upper stratosphere is discernable, but significantly smaller than that of the dominant 4-day wave.</t>
  </si>
  <si>
    <t>[Lu, Xian; Chu, Xinzhao; Fuller-Rowell, Tim; Fong, Weichun; Yu, Zhibin] Univ Colorado, Cooperat Inst Res Environm Sci, Boulder, CO 80309 USA; [Chu, Xinzhao; Fong, Weichun; Yu, Zhibin] Univ Colorado, Dept Aerosp Engn Sci, Boulder, CO 80309 USA; [Fuller-Rowell, Tim] NOAA, Space Weather Predict Ctr, Boulder, CO USA; [Chang, Loren] Natl Cent Univ, Inst Space Sci, Jhongli, Taiwan</t>
  </si>
  <si>
    <t>University of Colorado System; University of Colorado Boulder; University of Colorado System; University of Colorado Boulder; National Oceanic Atmospheric Admin (NOAA) - USA; National Central University</t>
  </si>
  <si>
    <t>Lu, X (corresponding author), Univ Colorado, Cooperat Inst Res Environm Sci, Box 216 UCB, Boulder, CO 80309 USA.</t>
  </si>
  <si>
    <t>xian.lu@colorado.edu</t>
  </si>
  <si>
    <t>Yu, Zhibin/GZA-3374-2022; Lu, Xian/AAZ-3385-2021; Chang, Loren C/G-3722-2015; Lu, Xian/A-2980-2015; Chang, Loren/ABC-3745-2021; CHU, XINZHAO/I-5670-2015</t>
  </si>
  <si>
    <t>Yu, Zhibin/0000-0001-5128-809X; Chang, Loren C/0000-0002-6495-1185; Lu, Xian/0000-0002-2535-8151; Chang, Loren/0000-0002-6495-1185; CHU, XINZHAO/0000-0001-6147-1963</t>
  </si>
  <si>
    <t>NSF [ANT-0839091]; CIRES Visiting Fellows Program; Directorate For Geosciences; Office of Polar Programs (OPP) [1246405, 0839091] Funding Source: National Science Foundation</t>
  </si>
  <si>
    <t>NSF(National Science Foundation (NSF)); CIRES Visiting Fellows Program; Directorate For Geosciences; Office of Polar Programs (OPP)(National Science Foundation (NSF)NSF - Directorate for Geosciences (GEO))</t>
  </si>
  <si>
    <t>We sincerely acknowledge Wentao Huang, John A. Smith, Zhangjun Wang, Cao Chen, Brendan R. Roberts, and Chester S. Gardner for their contributions to the McMurdo lidar campaign. We appreciate Adrian J. McDonald and the staff of United States Antarctic Program, McMurdo Station, Antarctica New Zealand, and Scott Base for their support. The McMurdo lidar project was supported by NSF grant ANT-0839091. X. L. sincerely acknowledges the generous support of the CIRES Visiting Fellows Program (http://cires.Colorado.edu/collaboration/fellowships/). MERRA data used in this study have been provided by the Global Modeling and Assimilation Office (GMAO) at NASA Goddard Space Flight Center through the NASA GES DISC online archive.</t>
  </si>
  <si>
    <t>SEP 16</t>
  </si>
  <si>
    <t>10.1002/jgrd.50717</t>
  </si>
  <si>
    <t>232JH</t>
  </si>
  <si>
    <t>WOS:000325489300020</t>
  </si>
  <si>
    <t>Jewtoukoff, V; Plougonven, R; Hertzog, A</t>
  </si>
  <si>
    <t>Jewtoukoff, Valerian; Plougonven, Riwal; Hertzog, Albert</t>
  </si>
  <si>
    <t>Gravity waves generated by deep tropical convection: Estimates from balloon observations and mesoscale simulations</t>
  </si>
  <si>
    <t>gravity waves; convection; tropics; stratosphere; superpressure balloons; mesoscale simulations</t>
  </si>
  <si>
    <t>MOMENTUM FLUX; LOWER STRATOSPHERE; SATELLITE-OBSERVATIONS; CLIMATE MODELS; LONG-DURATION; PHASE SPEEDS; MU RADAR; PART I; WIND; IMPLEMENTATION</t>
  </si>
  <si>
    <t>Convective gravity waves in the Tropics are studied by analyzing in situ measurements from long-duration stratospheric balloons launched during the PreConcordiasi campaign (2010) and mesoscale simulations. An improved temporal resolution of the observations as well as the balloon quasi-Lagrangian behavior allow an unprecedented investigation of the whole gravity wave spectrum. First, a case study of gravity waves generated by a developing cyclone, Tropical Storm Gelane (February 2010), is carried out using observations complemented by numerical simulations with the Weather Research and Forecast model, with a resolution down to 1km. Distributions of momentum fluxes obtained from both data show reasonable agreement and emphasize waves with short wavelengths (&lt;15km) and short periods (&lt;20min). Still, some differences are also found, which can likely be related to errors of the modeled background flow. Second, observations from the whole PreConcordiasi flights are analyzed with an emphasis on gravity wave momentum fluxes. Their phase speed distribution has a robust shape, with maximum fluxes with near-zero ground-based phase speeds. Yet, significant momentum fluxes are also found for larger values, yielding a mean phase speed of about 27ms(-1). The momentum fluxes are concentrated in short episodes with intense values, and their intermittency is quantified using probability distribution functions and the Gini coefficient (0.5-0.6). The relative importance of convective and topographic sources are investigated, suggesting comparable intensities, but a greater occurrence frequency of convective events. Waves emitted by Tropical Storm Gelane do not stand out relative to other convective events.</t>
  </si>
  <si>
    <t>[Jewtoukoff, Valerian] Ecole Normale Super, CNRS, Lab Meteorol Dynam, F-75005 Paris, France; [Plougonven, Riwal; Hertzog, Albert] Ecole Polytech, CNRS, Lab Meteorol Dynam, F-91128 Palaiseau, France</t>
  </si>
  <si>
    <t>Universite PSL; Ecole Normale Superieure (ENS); Sorbonne Universite; Centre National de la Recherche Scientifique (CNRS); Centre National de la Recherche Scientifique (CNRS); Sorbonne Universite; Institut Polytechnique de Paris</t>
  </si>
  <si>
    <t>Jewtoukoff, V (corresponding author), Ecole Normale Super, CNRS, Lab Meteorol Dynam, 24 Rue Lhomond, F-75005 Paris, France.</t>
  </si>
  <si>
    <t>vjewtou@lmd.ens.fr</t>
  </si>
  <si>
    <t>Plougonven, Riwal/0000-0003-3310-8280</t>
  </si>
  <si>
    <t>Meteo-France; CNES; CNRS/INSU; NSF; NCAR; University of Wyoming; Purdue University; University of Colorado; Alfred Wegener Institute; Met Office; ECMWF; (Institut polaire francais Paul Emile Victor) IPEV; Programma Nazionale di Ricerche in Antartide (PNRA); United States Antarctic Program (USAP); (British Antarctic Survey) BAS; Baseline Surface Radiation Network (BSRN)</t>
  </si>
  <si>
    <t>Meteo-France; CNES(Centre National D'etudes Spatiales); CNRS/INSU(Centre National de la Recherche Scientifique (CNRS)); NSF(National Science Foundation (NSF)); NCAR(National Science Foundation (NSF)NSF - Directorate for Geosciences (GEO)); University of Wyoming; Purdue University; University of Colorado; Alfred Wegener Institute; Met Office; ECMWF; (Institut polaire francais Paul Emile Victor) IPEV; Programma Nazionale di Ricerche in Antartide (PNRA); United States Antarctic Program (USAP); (British Antarctic Survey) BAS; Baseline Surface Radiation Network (BSRN)</t>
  </si>
  <si>
    <t>The authors are grateful to Francois Lott for fruitful discussions, to Lionel Guez for support with the simulations, and to Etienne Vignon for his contribution to the methodology used to analyze the balloon measurements. This work was granted access to the HPC resources of [CCRT/CINES/IDRIS] under the allocation 2011-012039 made by GENCI (Grand Equipement National de Calcul Intensif). Concordiasi is an international project, currently supported by the following agencies: Meteo-France, CNES, CNRS/INSU, NSF, NCAR, University of Wyoming, Purdue University, University of Colorado, the Alfred Wegener Institute, the Met Office, and ECMWF. Concordiasi also benefits from logistic or financial support of the operational polar agencies (Institut polaire francais Paul Emile Victor) IPEV, Programma Nazionale di Ricerche in Antartide (PNRA), United States Antarctic Program (USAP) and (British Antarctic Survey) BAS, and from Baseline Surface Radiation Network (BSRN) measurements at Concordia. Concordiasi is part of The Observing System Research and Predictability Experiment International Polar Year (THORPEX-IPY) cluster within the International Polar Year effort.</t>
  </si>
  <si>
    <t>10.1002/jgrd.50781</t>
  </si>
  <si>
    <t>WOS:000325489300029</t>
  </si>
  <si>
    <t>Granot, R; Cande, SC; Stock, JM; Damaske, D</t>
  </si>
  <si>
    <t>Granot, R.; Cande, S. C.; Stock, J. M.; Damaske, D.</t>
  </si>
  <si>
    <t>Revised Eocene-Oligocene kinematics for the West Antarctic rift system (vol 40, pg 279, 2013)</t>
  </si>
  <si>
    <t>Granot, Roi/F-4555-2012; Stock, Joann Miriam/AAN-1526-2021</t>
  </si>
  <si>
    <t>Stock, Joann Miriam/0000-0003-4816-7865</t>
  </si>
  <si>
    <t>10.1002/grl.50727</t>
  </si>
  <si>
    <t>232JP</t>
  </si>
  <si>
    <t>WOS:000325490300029</t>
  </si>
  <si>
    <t>Evers, LG; Green, DN; Young, NW; Snellen, M</t>
  </si>
  <si>
    <t>Evers, L. G.; Green, D. N.; Young, N. W.; Snellen, M.</t>
  </si>
  <si>
    <t>Remote hydroacoustic sensing of large icebergs in the southern Indian Ocean: Implications for iceberg monitoring</t>
  </si>
  <si>
    <t>hydroacoustic waves; CTBT; IMS; icebergs</t>
  </si>
  <si>
    <t>LONG-RANGE DETECTION; SIGNALS</t>
  </si>
  <si>
    <t>Hydroacoustic signals generated by drifting icebergs that crack, disintegrate, and collide were identified on two hydrophone arrays in the Indian Ocean. These hydrophone arrays are deployed in the Sound Fixing and Ranging channel, enabling the detection of small sources over ranges of several thousand kilometers due to the low attenuation. Source locations estimated from the signal bearings at the arrays are used to monitor two very large icebergs, C20 and B17B. Spatial and temporal correlation of the location estimates with satellite observations confirm that the icebergs can be hydroacoustically resolved. Hydroacoustic generation rates at both C20 and B17B are highest at times of observed breakup. For C20, which underwent continuous breakup, clusters of events to the southeast of the main iceberg show that hydroacoustic observations can identify trails of icebergs that calved from the main berg whose dimensions are less than that easily resolved by moderate resolution satellite monitoring.</t>
  </si>
  <si>
    <t>[Evers, L. G.] KNMI, Seismol Div, NL-3730 AE De Bilt, Netherlands; [Evers, L. G.] Delft Univ Technol, Fac Civil Engn &amp; Geosci, Dept Geosci &amp; Engn, Delft, Netherlands; [Green, D. N.] AWE Blacknest, Reading, Berks, England; [Young, N. W.] Australian Antarctic Div, Kingston, Tas, Australia; [Young, N. W.] Antarctic Climate &amp; Ecosyst Cooperat Res Ctr, Hobart, Tas, Australia; [Snellen, M.] Delft Univ Technol, Fac Aerosp Engn, Acoust Remote Sensing Grp, Delft, Netherlands</t>
  </si>
  <si>
    <t>Royal Netherlands Meteorological Institute; Delft University of Technology; Australian Antarctic Division; Antarctic Climate &amp; Ecosystems Cooperative Research Centre (ACE CRC); Delft University of Technology</t>
  </si>
  <si>
    <t>Evers, LG (corresponding author), KNMI, Seismol Div, POB 201, NL-3730 AE De Bilt, Netherlands.</t>
  </si>
  <si>
    <t>evers@knmi.nl</t>
  </si>
  <si>
    <t>Evers, Läslo G/E-5707-2011</t>
  </si>
  <si>
    <t>Evers, Laslo/0000-0003-2825-6211; Young, Neal/0000-0001-9729-3273</t>
  </si>
  <si>
    <t>10.1002/grl.50914</t>
  </si>
  <si>
    <t>WOS:000325490300042</t>
  </si>
  <si>
    <t>Koffman, BG; Kreutz, KJ; Kurbatov, AV; Dunbar, NW</t>
  </si>
  <si>
    <t>Koffman, Bess G.; Kreutz, Karl J.; Kurbatov, Andrei V.; Dunbar, Nelia W.</t>
  </si>
  <si>
    <t>Impact of known local and tropical volcanic eruptions of the past millennium on the WAIS Divide microparticle record</t>
  </si>
  <si>
    <t>Ice core; volcanic eruption; microparticle; particle size distribution; climate</t>
  </si>
  <si>
    <t>GREENLAND ICE CORE; SIPLE DOME; EXPLOSIVE VOLCANISM; CLIMATE; ANTARCTICA; ASH; CONSEQUENCES; DISPERSION; EVENTS</t>
  </si>
  <si>
    <t>We present a new method for inferring the relative location (low- versus high-southern latitude), and therefore the potential climatic impact, of past eruptions based on the particle size distribution (PSD) of micrometer-sized ash measured continuously in the West Antarctic Ice Sheet (WAIS) Divide ice core. We find that particles from a high-southern latitude eruption (Buckle Island, Antarctica (1839 Common Era, C.E.)) have a PSD with mode diameter 5 mu m coarser than the background dust (mode 5.1 mu m), while ash particles originating from stratospheric tropical eruptions, including Tambora (1815 C.E.), Kuwae (1458 C.E.), and Unknown (1258 C.E.), have PSDs with mode diameters similar to 0.6-1.5 mu m finer than the background. In addition, volcanic ash particles from global-scale eruptions are deposited similar to 3-6 months earlier and over a shorter time interval than sulfate aerosols. We hypothesize that this phasing is driven by differences in atmospheric processing and aerosol/particle transport and deposition.</t>
  </si>
  <si>
    <t>[Koffman, Bess G.; Kreutz, Karl J.; Kurbatov, Andrei V.] Univ Maine, Sch Earth &amp; Climate Sci, Orono, ME 04469 USA; [Koffman, Bess G.; Kreutz, Karl J.; Kurbatov, Andrei V.] Univ Maine, Climate Change Inst, Orono, ME 04469 USA; [Dunbar, Nelia W.] New Mexico Inst Min &amp; Technol, Earth &amp; Environm Sci Dept, Socorro, NM 87801 USA</t>
  </si>
  <si>
    <t>University of Maine System; University of Maine Orono; University of Maine System; University of Maine Orono; New Mexico Institute of Mining Technology</t>
  </si>
  <si>
    <t>Koffman, BG (corresponding author), Univ Maine, Sch Earth &amp; Climate Sci, 5790 BGSC, Orono, ME 04469 USA.</t>
  </si>
  <si>
    <t>bess.koffman@maine.edu</t>
  </si>
  <si>
    <t>Dunbar, Nelia W./HZL-8693-2023</t>
  </si>
  <si>
    <t>Dunbar, Nelia W./0000-0002-5181-937X; Kurbatov, Andrei/0000-0002-9819-9251; Koffman, Bess/0000-0002-9451-4138</t>
  </si>
  <si>
    <t>NSF [0636740, 0636767]; Correll Graduate Student Research Fellowship; Chase Distinguished Research Assistantship; University of Maine Dissertation Research Fellowship; WAIS Divide Science Coordination Office; Ice Drilling Program Office, Ice Drilling Design and Operations; National Ice Core Laboratory; Directorate For Geosciences; Office of Polar Programs (OPP) [1142115, 0944348, 1142069, 0636767] Funding Source: National Science Foundation; Office of Polar Programs (OPP); Directorate For Geosciences [0636740] Funding Source: National Science Foundation</t>
  </si>
  <si>
    <t>NSF(National Science Foundation (NSF)); Correll Graduate Student Research Fellowship; Chase Distinguished Research Assistantship; University of Maine Dissertation Research Fellowship; WAIS Divide Science Coordination Office; Ice Drilling Program Office, Ice Drilling Design and Operations; National Ice Core Laboratory; Directorate For Geosciences; Office of Polar Programs (OPP)(National Science Foundation (NSF)NSF - Directorate for Geosciences (GEO)); Office of Polar Programs (OPP); Directorate For Geosciences(National Science Foundation (NSF)NSF - Directorate for Geosciences (GEO))</t>
  </si>
  <si>
    <t>This work was supported by NSF grants 0636740 and 0636767 and by the Correll Graduate Student Research Fellowship, Chase Distinguished Research Assistantship, and University of Maine Dissertation Research Fellowship to B. G. K. We gratefully acknowledge the assistance of D. Breton, E. Kane, S. Norton, U. Ruth, A. Wegner, and D. Winski. We appreciate the support of the WAIS Divide Science Coordination Office, the Ice Drilling Program Office, Ice Drilling Design and Operations, and the National Ice Core Laboratory. We also thank Raytheon Polar Services for logistics support and the 109th New York Air National Guard for airlift in Antarctica. In addition, we thank A.J. Durant and two anonymous reviewers for constructive comments that improved the quality of this paper.</t>
  </si>
  <si>
    <t>10.1002/grl.50822</t>
  </si>
  <si>
    <t>WOS:000325490300045</t>
  </si>
  <si>
    <t>Hendry, KR; Andersen, MB</t>
  </si>
  <si>
    <t>Hendry, Katharine R.; Andersen, Morten B.</t>
  </si>
  <si>
    <t>The zinc isotopic composition of siliceous marine sponges: Investigating nature's sediment traps</t>
  </si>
  <si>
    <t>Porifera; Spicules; Zinc isotopes; Particulate organic matter</t>
  </si>
  <si>
    <t>SOURCE-MASS-SPECTROMETRY; HALICHONDRIA PANICEA; HEXACTINELLID SPONGE; EQUATORIAL PACIFIC; DISSOLVED ZINC; GLASS SPONGES; NORTH PACIFIC; KIEL BIGHT; DIATOM; ZN</t>
  </si>
  <si>
    <t>The zinc (Zn) content and isotopic composition of marine biogenic opal have the potential to yield information about the nutrient availability, utilization and export of particulate organic matter from surface to deep waters. Here, we report the first measurements of the Zn isotopic composition of deep-sea marine sponge skeletal elements - spicules -collected in the Southern Ocean. Our results highlight different Zn uptake and isotopic fractionation behavior between the two major siliceous sponge clades (hexactinellids and demosponges), which is most likely linked to sponge feeding strategy. Hexactinellid spicule Zn isotopic compositions are not fractionated with respect to seawater, most likely due to Zn transport via the open internal structure of the sponges. In contrast, demosponge spicules exhibit a wide range of Zn isotopic compositions that are related to the opal Zn concentration, most likely reflecting variable Zn isotope compositions in the organic matter particles on which they feed, and internal fractionation processes. (C) 2013 The Authors. Published by Elsevier B.V. All rights reserved.</t>
  </si>
  <si>
    <t>[Hendry, Katharine R.] Cardiff Univ, Sch Earth &amp; Ocean Sci, Cardiff CF10 3AT, Wales; [Andersen, Morten B.] Univ Bristol, Dept Earth Sci, Bristol BS8 1RJ, Avon, England; [Andersen, Morten B.] ETH, Inst Geochem &amp; Petrol, CH-8092 Zurich, Switzerland</t>
  </si>
  <si>
    <t>Cardiff University; University of Bristol; Swiss Federal Institutes of Technology Domain; ETH Zurich</t>
  </si>
  <si>
    <t>Hendry, KR (corresponding author), Cardiff Univ, Sch Earth &amp; Ocean Sci, Main Bldg,Pk Pl, Cardiff CF10 3AT, Wales.</t>
  </si>
  <si>
    <t>hendrykr@cardiff.ac.uk</t>
  </si>
  <si>
    <t>Hendry, Katharine/0000-0002-0790-5895</t>
  </si>
  <si>
    <t>Antarctic Science Ltd.; Bursary, National Science Foundation (US); Natural Environment Research Council (NERC UK) [NE/J00474X/1]; Climate Change Consortium of Wales (C3W); Natural Environment Research Council [NE/J00474X/2, NE/J00474X/1] Funding Source: researchfish; NERC [NE/J00474X/2, NE/J00474X/1] Funding Source: UKRI</t>
  </si>
  <si>
    <t>Antarctic Science Ltd.; Bursary, National Science Foundation (US); Natural Environment Research Council (NERC UK)(UK Research &amp; Innovation (UKRI)Natural Environment Research Council (NERC)); Climate Change Consortium of Wales (C3W); Natural Environment Research Council(UK Research &amp; Innovation (UKRI)Natural Environment Research Council (NERC)); NERC(UK Research &amp; Innovation (UKRI)Natural Environment Research Council (NERC))</t>
  </si>
  <si>
    <t>The authors would like to thank Derek Vance (University of Bristol/ETH Zurich), Laura Robinson (Woods Hole Oceanographic Inst./University of Bristol), RhianWaller (University of Maine) and the captain and crew of the R/V Nathaniel B. Palmer (cruise NBP0805); thanks to Jade Berman (Wildlife Trust Northern Ireland), Susan Little (University of Bristol/ETH Zurich) and Sune Nielsen (Woods Hole Oceanographic Inst.) for discussion and manuscript comments. The Dissolved Organic Carbon data were kindly provided by Andrea Burke (Caltech). This work was funded by an Antarctic Science Ltd. Bursary, National Science Foundation (US) and the Natural Environment Research Council (NERC UK Grant number NE/J00474X/1). KH is supported by the Climate Change Consortium of Wales (C3W).</t>
  </si>
  <si>
    <t>1878-5999</t>
  </si>
  <si>
    <t>10.1016/j.chemgeo.2013.06.025</t>
  </si>
  <si>
    <t>235WE</t>
  </si>
  <si>
    <t>WOS:000325751200004</t>
  </si>
  <si>
    <t>Jones, A; Haywood, JM; Alterskjær, K; Boucher, O; Cole, JNS; Curry, CL; Irvine, PJ; Ji, DY; Kravitz, B; Kristjánsson, JE; Moore, JC; Niemeier, U; Robock, A; Schmidt, H; Singh, B; Tilmes, S; Watanabe, S; Yoon, JH</t>
  </si>
  <si>
    <t>Jones, Andy; Haywood, Jim M.; Alterskjaer, Kari; Boucher, Olivier; Cole, Jason N. S.; Curry, Charles L.; Irvine, Peter J.; Ji, Duoying; Kravitz, Ben; Kristjansson, Jon Egill; Moore, John C.; Niemeier, Ulrike; Robock, Alan; Schmidt, Hauke; Singh, Balwinder; Tilmes, Simone; Watanabe, Shingo; Yoon, Jin-Ho</t>
  </si>
  <si>
    <t>The impact of abrupt suspension of solar radiation management (termination effect) in experiment G2 of the Geoengineering Model Intercomparison Project (GeoMIP)</t>
  </si>
  <si>
    <t>geoengineering; termination; climate change; climate model; intercomparison; GeoMIP</t>
  </si>
  <si>
    <t>STRATOSPHERIC SULFUR INJECTIONS; CLIMATE; REDUCTION; RESPONSES</t>
  </si>
  <si>
    <t>We have examined changes in climate which result from the sudden termination of geoengineering after 50 years of offsetting a 1% per annum increase in CO2 concentrations by a reduction of solar radiation, as simulated by 11 different climate models in experiment G2 of the Geoengineering Model Intercomparison Project. The models agree on a rapid increase in global-mean temperature following termination accompanied by increases in global-mean precipitation rate and decreases in sea-ice cover. There is no agreement on the impact of geoengineering termination on the rate of change of global-mean plant net primary productivity. There is a considerable degree of consensus for the geographical distribution of temperature change following termination, with faster warming at high latitudes and over land. There is also considerable agreement regarding the distribution of reductions in Arctic sea-ice, but less so for the Antarctic. There is much less agreement regarding the patterns of change in precipitation and net primary productivity, with a greater degree of consensus at higher latitudes.</t>
  </si>
  <si>
    <t>[Jones, Andy; Haywood, Jim M.] Met Off Hadley Ctr, Exeter EX1 3PB, Devon, England; [Haywood, Jim M.] Univ Exeter, Coll Engn Math &amp; Phys Sci, Exeter, Devon, England; [Alterskjaer, Kari; Kristjansson, Jon Egill] Univ Oslo, Dept Geosci, Oslo, Norway; [Boucher, Olivier] UPMC, CNRS, IPSL, Meteorol Dynam Lab, Paris, France; [Cole, Jason N. S.] Environm Canada, Canadian Ctr Climate Modeling &amp; Anal, Toronto, ON, Canada; [Curry, Charles L.] Univ Victoria, Sch Earth &amp; Ocean Sci, Victoria, BC, Canada; [Irvine, Peter J.] Inst Adv Sustainabil Studies, Potsdam, Germany; [Ji, Duoying; Moore, John C.] Beijing Normal Univ, Coll Global Change &amp; Earth Syst Sci, State Key Lab Earth Surface Processes &amp; Resource, Beijing 100875, Peoples R China; [Kravitz, Ben; Singh, Balwinder; Yoon, Jin-Ho] Pacific NW Natl Lab, Atmospher Sci &amp; Global Change Div, Richland, WA 99352 USA; [Niemeier, Ulrike; Schmidt, Hauke] Max Planck Inst Meteorol, D-20146 Hamburg, Germany; [Robock, Alan] Rutgers State Univ, Dept Environm Sci, New Brunswick, NJ 08903 USA; [Tilmes, Simone] Natl Ctr Atmospher Res, Boulder, CO 80307 USA; [Watanabe, Shingo] Japan Agcy Marine Earth Sci &amp; Technol, Yokohama, Kanagawa, Japan</t>
  </si>
  <si>
    <t>Met Office - UK; Hadley Centre; University of Exeter; University of Oslo; Universite Paris Cite; Centre National de la Recherche Scientifique (CNRS); Sorbonne Universite; Environment &amp; Climate Change Canada; Canadian Centre for Climate Modelling &amp; Analysis (CCCma); University of Victoria; Beijing Normal University; United States Department of Energy (DOE); Pacific Northwest National Laboratory; Max Planck Society; Rutgers University System; Rutgers University New Brunswick; National Center Atmospheric Research (NCAR) - USA; Japan Agency for Marine-Earth Science &amp; Technology (JAMSTEC)</t>
  </si>
  <si>
    <t>Jones, A (corresponding author), Met Off Hadley Ctr, Fitzroy Rd, Exeter EX1 3PB, Devon, England.</t>
  </si>
  <si>
    <t>andy.jones@metoffice.gov.uk</t>
  </si>
  <si>
    <t>Tilmes, Simone/JUV-6618-2023; Watanabe, Shingo/X-2336-2019; Ji, Duoying/AAF-9425-2021; Haywood, Jim/GQA-6691-2022; Irvine, Peter/E-4799-2012; Watanabe, Shingo/L-9689-2014; Robock, Alan/B-6385-2016; Moore, John C/B-2868-2013; Kravitz, Ben/P-7925-2014; YOON, JIN-HO/A-1672-2009; Schmidt, Hauke/J-4469-2013; Boucher, Olivier/K-7483-2012; Boucher, Olivier/J-5810-2012</t>
  </si>
  <si>
    <t>Tilmes, Simone/0000-0002-6557-3569; Watanabe, Shingo/0000-0002-2228-0088; Irvine, Peter/0000-0002-5469-1543; Watanabe, Shingo/0000-0002-2228-0088; Moore, John C/0000-0001-8271-5787; Kravitz, Ben/0000-0001-6318-1150; Cole, Jason/0000-0003-0450-2748; Robock, Alan/0000-0002-6319-5656; Curry, Charles/0000-0002-0217-3402; Haywood, Jim/0000-0002-2143-6634; Schmidt, Hauke/0000-0001-7977-5041; Alterskjaer, Kari/0000-0003-4650-1102</t>
  </si>
  <si>
    <t>Joint DECC/Defra Met Office Hadley Centre Climate Programme [GA01101]; European Union Seventh Framework Programme through the EUTRACE project [306395]; European Union Seventh Framework Programme through the IMPLICC project [226567]; Norwegian Research Council's program for supercomputing (NOTUR); FP7 EuTRACE project [306395]; Fund for Innovative Climate and Energy Research; NASA High-End Computing (HEC) program through the NASA Center for Climate Simulation (NCCS) at Goddard Space Flight Center; U.S. Department of Energy [DE-AC05-76RL01830]; NSF [AGS-1157525, CBET-1240507]; U.S. National Center for Atmospheric Research; U.S. National Science Foundation; SOUSEI program, MEXT, JAPAN; Directorate For Geosciences [1240507] Funding Source: National Science Foundation; Div Atmospheric &amp; Geospace Sciences; Directorate For Geosciences [1157525] Funding Source: National Science Foundation; Engineering and Physical Sciences Research Council [EP/I01473X/1, EP/I014721/1] Funding Source: researchfish; EPSRC [EP/I014721/1, EP/I01473X/1] Funding Source: UKRI</t>
  </si>
  <si>
    <t>Joint DECC/Defra Met Office Hadley Centre Climate Programme; European Union Seventh Framework Programme through the EUTRACE project; European Union Seventh Framework Programme through the IMPLICC project; Norwegian Research Council's program for supercomputing (NOTUR); FP7 EuTRACE project; Fund for Innovative Climate and Energy Research; NASA High-End Computing (HEC) program through the NASA Center for Climate Simulation (NCCS) at Goddard Space Flight Center; U.S. Department of Energy(United States Department of Energy (DOE)); NSF(National Science Foundation (NSF)); U.S. National Center for Atmospheric Research; U.S. National Science Foundation(National Science Foundation (NSF)); SOUSEI program, MEXT, JAPAN; Directorate For Geosciences(National Science Foundation (NSF)NSF - Directorate for Geosciences (GEO)); Div Atmospheric &amp; Geospace Sciences; Directorate For Geosciences(National Science Foundation (NSF)NSF - Directorate for Geosciences (GEO)); Engineering and Physical Sciences Research Council(UK Research &amp; Innovation (UKRI)Engineering &amp; Physical Sciences Research Council (EPSRC)); EPSRC(UK Research &amp; Innovation (UKRI)Engineering &amp; Physical Sciences Research Council (EPSRC))</t>
  </si>
  <si>
    <t>We thank all participants of the Geoengineering Model Intercomparison Project and their model development teams, the CLIVAR/WCRP Working Group on Coupled Modeling for endorsing GeoMIP, and the scientists managing the Earth System Grid data nodes who have assisted in making GeoMIP output available. We also acknowledge the WCRP's Working Group on Coupled Modeling for being responsible for CMIP and we thank the CMIP5 modeling groups for producing and making available their model output. The U.S. Department of Energy's Program for Climate Model Diagnosis and Intercomparison provided coordinating support for CMIP and led development of software infrastructure in partnership with the Global Organization for Earth System Science Portals. A.J. would also like to thank the Met Office team responsible for the managecmip software, without which this work would not have been possible. A.J. and J.M.H. were supported by the Joint DECC/Defra Met Office Hadley Centre Climate Programme (GA01101) and their contributions are (c) crown copyright. J.M.H. has also received funding from the European Union Seventh Framework Programme through the EUTRACE project (306395). K. A., J.E.K., U.N., and H. S. have received funding from the European Union Seventh Framework Programme through the IMPLICC project (226567). K. A. and J.E.K. were also partly funded by the Norwegian Research Council's program for supercomputing (NOTUR). O.B. would like to acknowledge partial support from the FP7 EuTRACE project grant agreement (306395). D.J. and J.M. thank all members of the BNU-ESM model group, as well as the Center of Information and Network Technology at Beijing Normal University for assistance in publishing the GeoMIP data set. B. K. is supported by the Fund for Innovative Climate and Energy Research and B.K.'s simulations were supported by the NASA High-End Computing (HEC) program through the NASA Center for Climate Simulation (NCCS) at Goddard Space Flight Center. The Pacific Northwest National Laboratory is operated for the U.S. Department of Energy by Battelle Memorial Institute under contract DE-AC05-76RL01830. A. R. is supported by NSF grants AGS-1157525 and CBET-1240507. S. T. is supported by the U.S. National Center for Atmospheric Research which is funded by the U.S. National Science Foundation. S. W. was supported by the SOUSEI program, MEXT, JAPAN.</t>
  </si>
  <si>
    <t>10.1002/jgrd.50762</t>
  </si>
  <si>
    <t>WOS:000325489300032</t>
  </si>
  <si>
    <t>Missed opportunity for the Antarctic</t>
  </si>
  <si>
    <t>SEP 15</t>
  </si>
  <si>
    <t>242BE</t>
  </si>
  <si>
    <t>WOS:000326211600010</t>
  </si>
  <si>
    <t>Casanova, JP; Contreras, M; Moya, EA; Torrealba, F; Iturriaga, R</t>
  </si>
  <si>
    <t>Patricio Casanova, Jose; Contreras, Marco; Moya, Esteban A.; Torrealba, Fernando; Iturriaga, Rodrigo</t>
  </si>
  <si>
    <t>Effect of insular cortex inactivation on autonomic and behavioral responses to acute hypoxia in conscious rats</t>
  </si>
  <si>
    <t>BEHAVIOURAL BRAIN RESEARCH</t>
  </si>
  <si>
    <t>Carotid body; Interoception; Hypoxia; Insular cortex; Nucleus tractus solitarius; Periacueductal gray matter</t>
  </si>
  <si>
    <t>MIDBRAIN PERIAQUEDUCTAL GRAY; PHYSIOLOGICAL CONDITION; DEFENSIVE BEHAVIORS; NERVOUS-SYSTEM; C-FOS; STIMULATION; PERCEPTION; NEURONS; PAIN; CHEMORECEPTORS</t>
  </si>
  <si>
    <t>The present work was aimed to evaluate the contribution of interoception to the autonomic and behavioral responses to hypoxia. To address this issue, we studied whether the inactivation of the primary interoceptive posterior insular cortex (plc) may disrupt the autonomic and behavioral effects of hypoxia in conscious rats. Rats were implanted with telemetric transmitters and microinjection cannulae placed bilaterally in the pIC. After one week, rats were injected with bupivacaine (26.5 mu M 1 mu L/side) and saline (1 mu L/side) into the pIC, and exposed to hypoxia (similar to 6% O-2) for 150 s, and autonomic and behavioral responses were recorded. Hypoxia produces hypertension, tachycardia followed by bradycardia, and hypothermia. When O-2 dropped to similar to 8%, rats showed escape behavior. Baseline cardiovascular variables and the pattern of hypoxia-induced autonomic and behavioral responses were not disrupted by pIC inactivation. However, pIC inactivation produced a modest but significant temperature decrease, higher bradycardic and hypertensive responses to hypoxia, and a minimal delay in escape onset. In addition, we measured the hypoxia-induced Fos activation in the nucleus tractus solitarius (NTS), the periaqueductal gray matter (PAG) and the pIC, which are key components of the interoceptive pathway. Hypoxia increased the number of Fos-positive neurons in the NTS and PAG, but not in the pIC. Present results suggest that pIC is not involved in the hypoxia-induced behavioral response, which seems to be processed in the NTS and PAG, but has a role in the efferent control of autonomic changes coping with hypoxia. (C) 2013 Elsevier B.V. All rights reserved.</t>
  </si>
  <si>
    <t>[Patricio Casanova, Jose; Contreras, Marco; Moya, Esteban A.; Torrealba, Fernando; Iturriaga, Rodrigo] Pontificia Univ Catolica Chile, Fac Ciencias Biol, Lab Neurobiol, Dept Fisiol, Santiago, Chile</t>
  </si>
  <si>
    <t>Pontificia Universidad Catolica de Chile</t>
  </si>
  <si>
    <t>Iturriaga, R (corresponding author), Pontificia Univ Catolica Chile, Fac Ciencias Biol, Lab Neurobiol, Casilla 193, Santiago, Chile.</t>
  </si>
  <si>
    <t>riturriaga@bio.puc.cl</t>
  </si>
  <si>
    <t>Iturriaga, Rodrigo/AAG-1020-2020</t>
  </si>
  <si>
    <t>Iturriaga, Rodrigo/0000-0001-5387-9897; Casanova, Jose Patricio/0000-0002-9632-7870; Torrealba, Fernando/0000-0002-0903-9230</t>
  </si>
  <si>
    <t>CONICYT</t>
  </si>
  <si>
    <t>CONICYT(Comision Nacional de Investigacion Cientifica y Tecnologica (CONICYT))</t>
  </si>
  <si>
    <t>This work was supported by Team Research Projects Anillos in Science and Technology and in Antarctic Science, ACT-66 High Order Perception of Needs and Emotions, CONICYT.</t>
  </si>
  <si>
    <t>0166-4328</t>
  </si>
  <si>
    <t>1872-7549</t>
  </si>
  <si>
    <t>BEHAV BRAIN RES</t>
  </si>
  <si>
    <t>Behav. Brain Res.</t>
  </si>
  <si>
    <t>10.1016/j.bbr.2013.07.015</t>
  </si>
  <si>
    <t>Behavioral Sciences; Neurosciences</t>
  </si>
  <si>
    <t>Behavioral Sciences; Neurosciences &amp; Neurology</t>
  </si>
  <si>
    <t>222GZ</t>
  </si>
  <si>
    <t>WOS:000324720500009</t>
  </si>
  <si>
    <t>Ferro, D; Franchi, N; Mangano, V; Bakiu, R; Cammarata, M; Parrinello, N; Santovito, G; Ballarin, L</t>
  </si>
  <si>
    <t>Ferro, Diana; Franchi, Nicola; Mangano, Valentina; Bakiu, Rigers; Cammarata, Matteo; Parrinello, Nicolo; Santovito, Gianfranco; Ballarin, Loriano</t>
  </si>
  <si>
    <t>Characterization and metal-induced gene transcription of two new copper zinc superoxide dismutases in the solitary ascidian Ciona intestinalis</t>
  </si>
  <si>
    <t>AQUATIC TOXICOLOGY</t>
  </si>
  <si>
    <t>Ciona intestinalis; Superoxide dismutase; Reactive oxygen species; Copper; Zinc; Cadmium</t>
  </si>
  <si>
    <t>LAGOON-OF-VENICE; OXIDATIVE STRESS; MYTILUS-GALLOPROVINCIALIS; SCAPHARCA-INAEQUIVALVIS; ANTIOXIDANT RESPONSES; INVERTEBRATE IMMUNITY; TAPES-PHILIPPINARUM; ANTARCTIC TELEOSTS; MOLECULAR-CLONING; DISSOLVED-OXYGEN</t>
  </si>
  <si>
    <t>Antioxidant enzymes are known to protect living organisms against the oxidative stress risk, also induced by metals. In the present study, we describe the purification and molecular characterization of two Cu,Zn superoxide dismutases (SODs), referred to as Ci-SODa and Ci-SODb, from Ciona intestinalis, a basal chordate widely distributed in temperate shallow seawater. The putative amino acid sequences were compared with Cu,Zn SODs from other metazoans and phylogenetic analyses indicate that the two putative Ci-SODs are more related to invertebrate SODs than vertebrate ones. Both phylogenetic and preliminary homology modeling analyses suggest that Ci-SODa and Ci-SODb are extracellular and intracellular isoform, respectively. The mRNA of the two Cu,Zn SODs was localized in hemocytes and in ovarian follicular cells, as revealed by in situ hybridization. The time course of SOD mRNA levels in the presence of three different metals showed upregulation of ci-soda and inhibition of ci-sodb..Spectrophotornetric analysis confirms the presence of SOD activity in Ciona tissues. Our in silico analyses of the ci-soda promoter region revealed putative consensus sequences similar to mammalian metal-responsive elements (MRE), suggesting that the transcription of these genes directly depends on metals. These data emphasize the importance of complex metal regulation of ci-soda and ci-sodb transcription, as components of an efficient detoxification pathway allowing the survival of C intestinalis in continued, elevated presence of metals in the environment. (C) 2013 Elsevier B.V. All rights reserved.</t>
  </si>
  <si>
    <t>[Ferro, Diana; Franchi, Nicola; Santovito, Gianfranco; Ballarin, Loriano] Univ Padua, Dept Biol, Padua, Italy; [Ferro, Diana] Univ Munster, Inst Evolut &amp; Biodivers, D-48149 Munster, Germany; [Franchi, Nicola; Mangano, Valentina; Cammarata, Matteo; Parrinello, Nicolo] Univ Palermo, Dept Biol Chem Pharmaceut Sci &amp; Technol, Palermo, Italy; [Bakiu, Rigers] Agr Univ Tirana, Dept Crop Prod, Tirana, Albania</t>
  </si>
  <si>
    <t>University of Padua; University of Munster; University of Palermo</t>
  </si>
  <si>
    <t>Santovito, G (corresponding author), Via U Bassi 58-B, I-35131 Padua, Italy.</t>
  </si>
  <si>
    <t>gianfranco.santovito@unipd.it</t>
  </si>
  <si>
    <t>Bakiu, Rigers/AFC-7827-2022; Ballarin, Loriano/D-7106-2011; Ferro, Diana/HKM-9570-2023; Santovito, Gianfranco/ABB-9484-2021; CAMMARATA, Matteo/AAK-7616-2021</t>
  </si>
  <si>
    <t>Bakiu, Rigers/0000-0002-9613-4606; Ballarin, Loriano/0000-0002-3287-8550; Ferro, Diana/0000-0003-1774-7509; Santovito, Gianfranco/0000-0001-8260-7006; CAMMARATA, Matteo/0000-0002-5497-1246</t>
  </si>
  <si>
    <t>Italian MIUR</t>
  </si>
  <si>
    <t>Italian MIUR(Ministry of Education, Universities and Research (MIUR))</t>
  </si>
  <si>
    <t>This study was supported by grants from the Italian MIUR (ex 60% and PRIN 2010-2011). Authors are grateful to Dr. Francesco Boldrin (Department of Biology, University of Padua, Italy) for his constant interest and support.</t>
  </si>
  <si>
    <t>0166-445X</t>
  </si>
  <si>
    <t>1879-1514</t>
  </si>
  <si>
    <t>AQUAT TOXICOL</t>
  </si>
  <si>
    <t>Aquat. Toxicol.</t>
  </si>
  <si>
    <t>10.1016/j.aquatox.2013.06.020</t>
  </si>
  <si>
    <t>Marine &amp; Freshwater Biology; Toxicology</t>
  </si>
  <si>
    <t>224PO</t>
  </si>
  <si>
    <t>WOS:000324900800040</t>
  </si>
  <si>
    <t>Vieira, FA; Thorne, MAS; Stueber, K; Darias, M; Reinhardt, R; Clark, MS; Gisbert, E; Power, DM</t>
  </si>
  <si>
    <t>Vieira, Florbela A.; Thorne, M. A. S.; Stueber, K.; Darias, M.; Reinhardt, R.; Clark, M. S.; Gisbert, E.; Power, D. M.</t>
  </si>
  <si>
    <t>Comparative analysis of a teleost skeleton transcriptome provides insight into its regulation</t>
  </si>
  <si>
    <t>Advanced teleost; Endocrine; NGS; Tissue responsiveness; Vertebrae and gill arch transcriptomes</t>
  </si>
  <si>
    <t>HORMONE-RELATED PROTEIN; ZEBRAFISH DANIO-RERIO; BREAM SPARUS-AURATA; GROWTH-FACTOR-BETA; RAINBOW-TROUT; PARATHYROID-HORMONE; SEA BREAM; CHONDROCYTE PROLIFERATION; EXPRESSION PATTERNS; GENE-EXPRESSION</t>
  </si>
  <si>
    <t>An articulated endoskeleton that is calcified is a unifying innovation of the vertebrates, however the molecular basis of the structural divergence between terrestrial and aquatic vertebrates, such as teleost fish, has not been determined. In the present study long-read next generation sequencing (NGS, Roche 454 platform) was used to characterize acellular perichondral bone (vertebrae) and chondroid bone (gill arch) in the gilthead sea bream (Sparus auratus). A total of 15.97 and 14.53 Mb were produced, respectively from vertebrae and gill arch cDNA libraries and yielded 32,374 and 28,371 contigs (consensus sequences) respectively. 10,455 contigs from vertebrae and 10,625 contigs from gill arches were annotated with gene ontology terms. Comparative analysis of the global transcriptome revealed 4249 unique transcripts in vertebrae, 4201 unique transcripts in the gill arches and 3700 common transcripts. Several core gene networks were conserved between the gilthead sea bream and mammalian skeleton. Transcripts for putative endocrine factors were identified in acellular gilthead sea bream bone suggesting that in common with mammalian bone it can act as an endocrine tissue. The acellular bone of the vertebra, in contrast to current opinion based on histological analysis, was responsive to a short fast and significant (p &lt; 0.05) down-regulation of several transcripts identified by NGS, osteonectin, osteocalcin, cathepsin K and IGFI occurred. In gill arches fasting caused a significant (p &lt; 0.05) down-regulation of osteocalcin and up-regulation of MMP9. (C) 2013 Elsevier Inc. All rights reserved.</t>
  </si>
  <si>
    <t>[Vieira, Florbela A.; Power, D. M.] Univ Algarve, Ctr Marine Sci, Faro, Portugal; [Thorne, M. A. S.; Clark, M. S.] British Antarctic Survey, Nat Environm Res Council, Cambridge CB3 0ET, England; [Stueber, K.; Reinhardt, R.] Max Planck Genome Ctr, Cologne, Germany; [Darias, M.; Gisbert, E.] Ctr St Carles de la Rapita, IRTA, San Carlos de la Rapita 43540, Spain; [Darias, M.] I SEM, UMR226, IRD, F-34196 Montpellier 5, France</t>
  </si>
  <si>
    <t>Universidade do Algarve; UK Research &amp; Innovation (UKRI); Natural Environment Research Council (NERC); NERC British Antarctic Survey; Max Planck Society; IRTA; Institut de Recherche pour le Developpement (IRD)</t>
  </si>
  <si>
    <t>Vieira, FA (corresponding author), Univ Algarve, Ctr Marine Sci, Faro, Portugal.</t>
  </si>
  <si>
    <t>fvieira@ualg.pt; mior@bas.ac.uk; stueber@mpipz.mpg.de; maria.darias@ird.fr; rr@mol-gen.mpg.de; mscl@bas.ac.uk; Enric.Gisbert@irta.cat; dpower@ualg.pt</t>
  </si>
  <si>
    <t>Power, Deborah M/D-3333-2011; Darias, Maria J./D-5715-2012; Gisbert, Enric/I-7224-2019; Clark, Melody/D-7371-2014</t>
  </si>
  <si>
    <t>Power, Deborah M/0000-0003-1366-0246; Darias, Maria J./0000-0003-1954-6284; Gisbert, Enric/0000-0002-7457-8468; Reinhardt, Richard/0000-0001-9376-2132; Thorne, Michael/0000-0001-7759-612X; Clark, Melody/0000-0002-3442-3824</t>
  </si>
  <si>
    <t>Lifecycle EU-FP7 [222719]; Science and Technology Foundation (FCT), Portugal [BPD/73597/ 2010]; Natural Environment Research Council; Natural Environment Research Council [bas0100025] Funding Source: researchfish; NERC [bas0100025] Funding Source: UKRI</t>
  </si>
  <si>
    <t>Lifecycle EU-FP7; Science and Technology Foundation (FCT), Portugal(Fundacao para a Ciencia e a Tecnologia (FCT));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</si>
  <si>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The authors thank Angela Ramos for extraction of RNA. The study was funded by Lifecycle EU-FP7 222719. FAV was in receipt of a Post-doctoral Grant (BPD/73597/ 2010) from the Science and Technology Foundation (FCT), Portugal. MAST and MSC were funded by Natural Environment Research Council core funding to the British Antarctic Survey.</t>
  </si>
  <si>
    <t>10.1016/j.ygcen.2013.05.025</t>
  </si>
  <si>
    <t>210YD</t>
  </si>
  <si>
    <t>WOS:000323870400006</t>
  </si>
  <si>
    <t>Liu, XD; Nie, YG; Sun, LG; Emslie, SD</t>
  </si>
  <si>
    <t>Liu, Xiaodong; Nie, Yaguang; Sun, Liguang; Emslie, Steven D.</t>
  </si>
  <si>
    <t>Eco-environmental implications of elemental and carbon isotope distributions in ornithogenic sediments from the Ross Sea region, Antarctica</t>
  </si>
  <si>
    <t>PERSISTENT ORGANIC POLLUTANTS; NORTHERN VICTORIA LAND; SOUTH CHINA SEA; TRACE-ELEMENTS; PENGUIN GUANO; ECOSYSTEM PROCESSES; EAST ANTARCTICA; ADELIE PENGUINS; STABLE-ISOTOPES; DONGDAO ISLAND</t>
  </si>
  <si>
    <t>Seabirds have substantial influence on geochemical circulation of elements, serving as a link for substance exchange between their foraging area and colonies. In this study, we investigated the elemental and carbon isotopic composition of five penguin-affected sediment profiles excavated from Ross Island and Beaufort Island in the Ross Sea region, Antarctica. Among the three main constituents of the sediments (including weathered bedrock, guano and algae), guano was the main source of organic matter and nutrients, causing selective enrichment of several elements in each of the sediment profiles. In the 22 measured elements, As, Cd, Cu, P, S, Se and Zn were identified as penguin bio-elements in the Ross Sea region through statistical analysis and comparison with local end-member environmental media such as weathered bedrock, fresh guano and fresh algae. Carbon isotopic composition in the ornithogenic sediments showed a mixing feature of guano and algae. Using a two-member isotope mixing equation, we were able to reconstruct the historical change of guano input and algal bio-mass. Compared with research in other parts of Antarctic, Arctic, and South China Sea, we found apparent overlap of avian bio-elements including As, Cd, Cu, P, Se, and Zn. Information on the composition and behavior of bio-elements in seabird guano on a global scale, and the role that bio-vectors play in the geochemical circulation between land and sea, will facilitate future research on avian ecology and paleoclimatic reconstruction. (C) 2013 Elsevier Ltd. All rights reserved.</t>
  </si>
  <si>
    <t>[Liu, Xiaodong; Nie, Yaguang; Sun, Liguang] Univ Sci &amp; Technol China, Sch Earth &amp; Space Sci, Inst Polar Environm, Hefei 230026, Anhui, Peoples R China; [Emslie, Steven D.] Univ N Carolina, Dept Biol &amp; Marine Biol, Wilmington, NC 28403 USA</t>
  </si>
  <si>
    <t>Chinese Academy of Sciences; University of Science &amp; Technology of China, CAS; University of North Carolina; University of North Carolina Wilmington</t>
  </si>
  <si>
    <t>Liu, XD (corresponding author), Univ Sci &amp; Technol China, Sch Earth &amp; Space Sci, Inst Polar Environm, Hefei 230026, Anhui, Peoples R China.</t>
  </si>
  <si>
    <t>ycx@ustc.edu.cn; slg@ustc.edu.cn</t>
  </si>
  <si>
    <t>Chinese Arctic and Antarctic Administration of the State Oceanic Administration; National Natural Science Foundation of China [41076123, 40876096]; Chinese Polar Environment Comprehensive Investigation &amp; Assessment Programmes [CHINARE2012-04-04-09]; National Science Foundation [ANT 0739575]; Directorate For Geosciences; Office of Polar Programs (OPP) [0739575] Funding Source: National Science Foundation</t>
  </si>
  <si>
    <t>Chinese Arctic and Antarctic Administration of the State Oceanic Administration; National Natural Science Foundation of China(National Natural Science Foundation of China (NSFC)); Chinese Polar Environment Comprehensive Investigation &amp; Assessment Programmes; National Science Foundation(National Science Foundation (NSF)); Directorate For Geosciences; Office of Polar Programs (OPP)(National Science Foundation (NSF)NSF - Directorate for Geosciences (GEO))</t>
  </si>
  <si>
    <t>We would like to thank the Chinese Arctic and Antarctic Administration of the State Oceanic Administration for project support. We also thank the United States Antarctic Program (USAP) and Raytheon Polar Services for logistical support and J. Smykla, E. Gruber and L. Coats for their valuable assistance in the field. Three anonymous reviewers are acknowledged for their constructive comments on earlier version of the manuscript. This study is supported by the National Natural Science Foundation of China (Grant Nos. 41076123 and 40876096), Chinese Polar Environment Comprehensive Investigation &amp; Assessment Programmes (CHINARE2012-04-04-09) and by National Science Foundation Grant ANT 0739575 to S. Emslie.</t>
  </si>
  <si>
    <t>10.1016/j.gca.2013.04.013</t>
  </si>
  <si>
    <t>213DU</t>
  </si>
  <si>
    <t>WOS:000324035300007</t>
  </si>
  <si>
    <t>Waluda, CM; Staniland, IJ</t>
  </si>
  <si>
    <t>Waluda, Claire M.; Staniland, Iain J.</t>
  </si>
  <si>
    <t>Entanglement of Antarctic fur seals at Bird Island, South Georgia</t>
  </si>
  <si>
    <t>Entanglement; Antarctic fur seal; Arctocephalus gazella; Marine debris; Fishery; Scotia Sea</t>
  </si>
  <si>
    <t>MAN-MADE DEBRIS; ARCTOCEPHALUS-GAZELLA; MARINE DEBRIS; PLASTIC DEBRIS; FISHING DEBRIS; ENVIRONMENT; ACCUMULATION; CALIFORNIA; INGESTION; PINNIPEDS</t>
  </si>
  <si>
    <t>Between November 1989 and March 2013, 1033 Antarctic fur seals Arctocephalus gazella were observed entangled in marine debris at Bird Island, South Georgia. The majority of entanglements involved plastic packaging bands (43%), synthetic line (25%) or fishing net (17%). Juvenile male seals were the most commonly entangled (44%). A piecewise regression analysis showed that a single breakpoint at 1994 gave the best description of inter-annual variability in the data, with higher levels of entanglements prior to 1994 (mean = 110 +/- 28) followed by persistent lower levels (mean = 28 +/- 4). Records of entanglements from other sites monitored in the Scotia Sea are also presented. Legislation imposed by the Commission for the Conservation of Antarctic Marine Living Resources (CCAMLR) has, to a certain extent, been effective, but persistent low levels of seal entanglements are still a cause for concern at South Georgia. (C) 2013 Elsevier Ltd. All rights reserved.</t>
  </si>
  <si>
    <t>[Waluda, Claire M.; Staniland, Iain J.] British Antarctic Survey, NERC, Cambridge CB3 0ET, England</t>
  </si>
  <si>
    <t>Waluda, CM (corresponding author), British Antarctic Survey, NERC, High Cross,Madingley Rd, Cambridge CB3 0ET, England.</t>
  </si>
  <si>
    <t>clwa@bas.ac.uk</t>
  </si>
  <si>
    <t>Staniland, Iain/I-4725-2012</t>
  </si>
  <si>
    <t>Staniland, Iain/0000-0003-2736-9134</t>
  </si>
  <si>
    <t>10.1016/j.marpolbul.2013.06.050</t>
  </si>
  <si>
    <t>WOS:000326211600045</t>
  </si>
  <si>
    <t>Stanton, TP; Shaw, WJ; Truffer, M; Corr, HFJ; Peters, LE; Riverman, KL; Bindschadler, R; Holland, DM; Anandakrishnan, S</t>
  </si>
  <si>
    <t>Stanton, T. P.; Shaw, W. J.; Truffer, M.; Corr, H. F. J.; Peters, L. E.; Riverman, K. L.; Bindschadler, R.; Holland, D. M.; Anandakrishnan, S.</t>
  </si>
  <si>
    <t>Channelized Ice Melting in the Ocean Boundary Layer Beneath Pine Island Glacier, Antarctica</t>
  </si>
  <si>
    <t>WEST ANTARCTICA; SHELF; SHEET</t>
  </si>
  <si>
    <t>Ice shelves play a key role in the mass balance of the Antarctic ice sheets by buttressing their seaward-flowing outlet glaciers; however, they are exposed to the underlying ocean and may weaken if ocean thermal forcing increases. An expedition to the ice shelf of the remote Pine Island Glacier, a major outlet of the West Antarctic Ice Sheet that has rapidly thinned and accelerated in recent decades, has been completed. Observations from geophysical surveys and long-term oceanographic instruments deployed down bore holes into the ocean cavity reveal a buoyancy-driven boundary layer within a basal channel that melts the channel apex by 0.06 meter per day, with near-zero melt rates along the flanks of the channel. A complex pattern of such channels is visible throughout the Pine Island Glacier shelf.</t>
  </si>
  <si>
    <t>[Stanton, T. P.; Shaw, W. J.] Naval Postgrad Sch, Dept Oceanog, Monterey, CA 93943 USA; [Truffer, M.] Univ Alaska, Inst Geophys, Fairbanks, AK 99775 USA; [Corr, H. F. J.] British Antarctic Survey, Cambridge CB3 OET, England; [Peters, L. E.; Riverman, K. L.; Anandakrishnan, S.] Penn State Univ, Dept Geosci, University Pk, PA 16802 USA; [Peters, L. E.; Riverman, K. L.; Anandakrishnan, S.] Penn State Univ, Earth &amp; Environm Syst Inst, University Pk, PA 16802 USA; [Bindschadler, R.] NASA, Goddard Space Flight Ctr, Greenbelt, MD 20771 USA; [Holland, D. M.] NYU, Dept Math, New York, NY 10012 USA</t>
  </si>
  <si>
    <t>United States Department of Defense; United States Navy; Naval Postgraduate School; University of Alaska System; University of Alaska Fairbanks; UK Research &amp; Innovation (UKRI); Natural Environment Research Council (NERC); NERC British Antarctic Survey; Pennsylvania Commonwealth System of Higher Education (PCSHE); Pennsylvania State University; Pennsylvania State University - University Park; Pennsylvania Commonwealth System of Higher Education (PCSHE); Pennsylvania State University; Pennsylvania State University - University Park; National Aeronautics &amp; Space Administration (NASA); NASA Goddard Space Flight Center; New York University</t>
  </si>
  <si>
    <t>Stanton, TP (corresponding author), Naval Postgrad Sch, Dept Oceanog, Monterey, CA 93943 USA.</t>
  </si>
  <si>
    <t>stanton@nps.edu</t>
  </si>
  <si>
    <t>Corr, Hugh/C-5398-2011; Anandakrishnan, Sridhar/JCN-5026-2023</t>
  </si>
  <si>
    <t>NSF's Office of Polar Programs under NSF [ANT-0732926]; NASA's Cryospheric Sciences Program; New York University Abhu Dabi grant [1204]; Natural Environment Research Council-British Antarctic Survey Polar Science for Planet Earth Program; NERC [bas0100027] Funding Source: UKRI; Natural Environment Research Council [bas0100027] Funding Source: researchfish</t>
  </si>
  <si>
    <t>NSF's Office of Polar Programs under NSF; NASA's Cryospheric Sciences Program(National Aeronautics &amp; Space Administration (NASA)); New York University Abhu Dabi grant; Natural Environment Research Council-British Antarctic Survey Polar Science for Planet Earth Program; NERC(UK Research &amp; Innovation (UKRI)Natural Environment Research Council (NERC)); Natural Environment Research Council(UK Research &amp; Innovation (UKRI)Natural Environment Research Council (NERC))</t>
  </si>
  <si>
    <t>Data presented here are archived with the supplementary materials and also as a MATLAB data structure at www.oc.nps.edu/similar to stanton/pig/data/data.html/PIGSITE1_first35days. The authors acknowledge the contributions of J. Stockel in software development and deployment of the ocean instruments, D. Pomraning in designing and manning the hot-water drill equipment, and M. Shortt for making the British Antarctic Survey pRES field measurements. Outstanding logistic and safety support was provided by K. Gibbon, D. Einerson, E. Steinarsson, F. Mcarthy, S. Consalvi, the PIG support camp personnel, and the NSF Antarctic support team. This research project was supported by NSF's Office of Polar Programs under NSF grants including ANT-0732926, funding from NASA's Cryospheric Sciences Program, New York University Abhu Dabi grant 1204, and the Natural Environment Research Council-British Antarctic Survey Polar Science for Planet Earth Program.</t>
  </si>
  <si>
    <t>SEP 13</t>
  </si>
  <si>
    <t>10.1126/science.1239373</t>
  </si>
  <si>
    <t>215ZA</t>
  </si>
  <si>
    <t>WOS:000324248800042</t>
  </si>
  <si>
    <t>Delgado, L; Carrión, O; Martínez, G; López-Iglesias, C; Mercadé, E</t>
  </si>
  <si>
    <t>Delgado, Lidia; Carrion, Ornella; Martinez, Gema; Lopez-Iglesias, Carmen; Mercade, Elena</t>
  </si>
  <si>
    <t>The Stack: A New Bacterial Structure Analyzed in the Antarctic Bacterium Pseudomonas deceptionensis M1T by Transmission Electron Microscopy and Tomography</t>
  </si>
  <si>
    <t>PRESSURE FROZEN SAMPLES; CRYOELECTRON TOMOGRAPHY; FREEZE-SUBSTITUTION; SYNCHRONIZATION; MESOSOMES; SECTIONS; DNA</t>
  </si>
  <si>
    <t>In recent years, improvements in transmission electron microscopy (TEM) techniques and the use of tomography have provided a more accurate view of the complexity of the ultrastructure of prokaryotic cells. Cryoimmobilization of specimens by rapid cooling followed by freeze substitution (FS) and sectioning, freeze fracture (FF) and observation of replica, or cryoelectron microscopy of vitreous sections (CEMOVIS) now allow visualization of biological samples close to their native state, enabling us to refine our knowledge of already known bacterial structures and to discover new ones. Application of these techniques to the new Antarctic cold-adapted bacterium Pseudomonas deceptionensis M1(T) has demonstrated the existence of a previously undescribed cytoplasmic structure that does not correspond to known bacterial inclusion bodies or membranous formations. This structure, which we term a stack, was mainly visualized in slow growing cultures of P. deceptionensis M1(T) and can be described as a set of stacked membranous discs usually arranged perpendicularly to the cell membrane, but not continuous with it, and found in variable number in different locations within the cell. Regardless of their position, stacks were mostly observed very close to DNA fibers. Stacks are not exclusive to P. deceptionensis M1(T) and were also visualized in slow-growing cultures of other bacteria. This new structure deserves further study using cryoelectron tomography to refine its configuration and to establish whether its function could be related to chromosome dynamics.</t>
  </si>
  <si>
    <t>[Delgado, Lidia; Martinez, Gema; Lopez-Iglesias, Carmen] Univ Barcelona, Ctr Cient, Barcelona, Spain; [Delgado, Lidia; Martinez, Gema; Lopez-Iglesias, Carmen] Univ Barcelona, Ctr Tecnol, Barcelona, Spain; [Delgado, Lidia; Carrion, Ornella; Mercade, Elena] Univ Barcelona, Fac Farm, Microbiol Lab, E-08028 Barcelona, Spain</t>
  </si>
  <si>
    <t>University of Barcelona; University of Barcelona; University of Barcelona</t>
  </si>
  <si>
    <t>López-Iglesias, C (corresponding author), Univ Barcelona, Ctr Cient, Barcelona, Spain.</t>
  </si>
  <si>
    <t>carmenli@ccit.ub.edu; mmercade@ub.edu</t>
  </si>
  <si>
    <t>Carrion, Ornella/AAS-5142-2021; DELGADO, LIDIA/H-7939-2015; Mercade, Elena/L-5218-2014</t>
  </si>
  <si>
    <t>Carrion, Ornella/0000-0002-9959-7905; Mercade, Elena/0000-0001-7828-2210</t>
  </si>
  <si>
    <t>Government of Spain (CICYT) [CTQ 2010-21183-C02-01/PPQ]; Autonomous Government of Catalonia [2009SGR1212]</t>
  </si>
  <si>
    <t>Government of Spain (CICYT)(Consejo Interinstitucional de Ciencia y Tecnologia (CICYT)); Autonomous Government of Catalonia(Generalitat de Catalunya)</t>
  </si>
  <si>
    <t>This study was supported by the Government of Spain (CICYT project CTQ 2010-21183-C02-01/PPQ) and by the Autonomous Government of Catalonia (grant 2009SGR1212). The funders had no role in study design, data collection and analysis, decision to publish, or preparation of the manuscript.</t>
  </si>
  <si>
    <t>SEP 9</t>
  </si>
  <si>
    <t>e73297</t>
  </si>
  <si>
    <t>10.1371/journal.pone.0073297</t>
  </si>
  <si>
    <t>244QV</t>
  </si>
  <si>
    <t>WOS:000326405300063</t>
  </si>
  <si>
    <t>Royles, J; Amesbury, MJ; Convey, P; Griffiths, H; Hodgson, DA; Leng, MJ; Charman, DJ</t>
  </si>
  <si>
    <t>Royles, Jessica; Amesbury, Matthew J.; Convey, Peter; Griffiths, Howard; Hodgson, Dominic A.; Leng, Melanie J.; Charman, Dan J.</t>
  </si>
  <si>
    <t>Plants and Soil Microbes Respond to Recent Warming on the Antarctic Peninsula</t>
  </si>
  <si>
    <t>CURRENT BIOLOGY</t>
  </si>
  <si>
    <t>CO2 ASSIMILATION; CLIMATE-CHANGE; SURFACE; WATER</t>
  </si>
  <si>
    <t>Annual temperatures on the Antarctic Peninsula, one of the most rapidly warming regions on Earth, have risen by up to 0.56 degrees C per decade since the 1950s [1]. Terrestrial and marine organisms have shown changes in populations and distributions over this time [2, 3], suggesting that the ecology of the Antarctic Peninsula is changing rapidly. However, these biological records are shorter in length than the meteorological data, and observed population changes cannot be securely linked to longer-term trends apparent in paleoclimate data [4]. We developed a unique time series of past moss growth and soil microbial activity from a 150-year-old moss bank at the southern limit of significant plant growth based on accumulation rates, cellulose delta C-13, and fossil testate amoebae. We show that growth rates and microbial productivity have risen rapidly since the 1960s, consistent with temperature changes [5], although recently they may have stalled [2]. The recent increase in terrestrial plant growth rates and soil microbial activity are unprecedented in the last 150 years and are consistent with climate change. Future changes in terrestrial biota are likely to track projected temperature increases closely and will fundamentally change the ecology and appearance of the Antarctic Peninsula.</t>
  </si>
  <si>
    <t>[Royles, Jessica; Convey, Peter; Hodgson, Dominic A.] British Antarctic Survey, Cambridge CB3 0ET, England; [Royles, Jessica; Griffiths, Howard] Univ Cambridge, Dept Plant Sci, Cambridge CB2 3EA, England; [Amesbury, Matthew J.; Charman, Dan J.] Univ Exeter, Coll Life &amp; Environm Sci, Exeter EX4 4RJ, Devon, England; [Leng, Melanie J.] Univ Leicester, Dept Geol, Leicester LE1 7RH, Leics, England; [Leng, Melanie J.] British Geol Survey, NERC, Isotope Geosci Lab, Nottingham NG12 5GG, England</t>
  </si>
  <si>
    <t>UK Research &amp; Innovation (UKRI); Natural Environment Research Council (NERC); NERC British Antarctic Survey; University of Cambridge; University of Exeter; University of Leicester; UK Research &amp; Innovation (UKRI); Natural Environment Research Council (NERC); NERC British Geological Survey</t>
  </si>
  <si>
    <t>Royles, J (corresponding author), British Antarctic Survey, Madingley Rd, Cambridge CB3 0ET, England.</t>
  </si>
  <si>
    <t>jesyle@bas.ac.uk</t>
  </si>
  <si>
    <t>Convey, Peter/AAV-5728-2020; Charman, Dan/K-9303-2014</t>
  </si>
  <si>
    <t>Convey, Peter/0000-0001-8497-9903; Royles, Jessica/0000-0003-0489-6863; Charman, Dan/0000-0003-3464-4536; Leng, Melanie/0000-0003-1115-5166</t>
  </si>
  <si>
    <t>Natural Environment Research Council (NERC) Antarctic Funding Initiative grant [NE/H014896/1 (AFI_11_05)]; HMS Endurance; BAS BIOFLAME program; NERC [NE/H014632/1, NE/H014810/1, bas0100024, NE/H014896/1, nigl010001, bas0100025] Funding Source: UKRI; Natural Environment Research Council [NE/H014896/1, bas0100024, bas0100025, NE/H014810/1, nigl010001, NE/H014632/1] Funding Source: researchfish</t>
  </si>
  <si>
    <t>Natural Environment Research Council (NERC) Antarctic Funding Initiative grant(UK Research &amp; Innovation (UKRI)Natural Environment Research Council (NERC)); HMS Endurance; BAS BIOFLAME program; NERC(UK Research &amp; Innovation (UKRI)Natural Environment Research Council (NERC)); Natural Environment Research Council(UK Research &amp; Innovation (UKRI)Natural Environment Research Council (NERC))</t>
  </si>
  <si>
    <t>This research was funded by the Natural Environment Research Council (NERC) Antarctic Funding Initiative grant NE/H014896/1 (AFI_11_05) to D.J.C., P.C., D.A.H., and H.G. P.C., D.A.H., and J.R. contribute to the British Antarctic Survey (BAS) Polar Science for Planet Earth core research program, and this article also contributes to the Scientific Committee on Antarctic Research Evolution and Biodiversity in Antarctica program. Stable carbon isotope analyses were performed by Chris Kendrick at the NERC Isotope Geosciences Laboratory. Collection of the monolith by P.C. was supported by HMS Endurance and the BAS BIOFLAME program.</t>
  </si>
  <si>
    <t>CELL PRESS</t>
  </si>
  <si>
    <t>50 HAMPSHIRE ST, FLOOR 5, CAMBRIDGE, MA 02139 USA</t>
  </si>
  <si>
    <t>0960-9822</t>
  </si>
  <si>
    <t>1879-0445</t>
  </si>
  <si>
    <t>CURR BIOL</t>
  </si>
  <si>
    <t>Curr. Biol.</t>
  </si>
  <si>
    <t>10.1016/j.cub.2013.07.011</t>
  </si>
  <si>
    <t>Biochemistry &amp; Molecular Biology; Biology; Cell Biology</t>
  </si>
  <si>
    <t>Biochemistry &amp; Molecular Biology; Life Sciences &amp; Biomedicine - Other Topics; Cell Biology</t>
  </si>
  <si>
    <t>295EA</t>
  </si>
  <si>
    <t>WOS:000330098200042</t>
  </si>
  <si>
    <t>Van Opzeeland, I; Van Parijs, S; Kindermann, L; Burkhardt, E; Boebel, O</t>
  </si>
  <si>
    <t>Van Opzeeland, Ilse; Van Parijs, Sofie; Kindermann, Lars; Burkhardt, Elke; Boebel, Olaf</t>
  </si>
  <si>
    <t>Calling in the Cold: Pervasive Acoustic Presence of Humpback Whales (Megaptera novaeangliae) in Antarctic Coastal Waters</t>
  </si>
  <si>
    <t>SEASONAL VARIABILITY; BALEEN WHALES; WESTERN; ICE; MIGRATION; BEHAVIOR; SONGS; GULF; BLUE</t>
  </si>
  <si>
    <t>Humpback whales migrate between relatively unproductive tropical or temperate breeding grounds and productive high latitude feeding areas. However, not all individuals of a population undertake the annual migration to the breeding grounds; instead some are thought to remain on the feeding grounds year-round, presumably to avoid the energetic demands of migration. In the Southern Hemisphere, ice and inclement weather conditions restrict investigations of humpback whale presence on feeding grounds as well as the extent of their southern range. Two years of near-continuous recordings from the PerenniAL Acoustic Observatory in the Antarctic Ocean (PALAOA, Ekstrom Iceshelf, 70 degrees 31'S, 8 degrees 13'W) are used to explore the acoustic presence of humpback whales in an Antarctic coastal area. Humpback whale calls were present during nine and eleven months of 2008 and 2009, respectively. In 2008, calls were present in January through April, June through August, November and December, whereas in 2009, calls were present throughout the year, except in September. Calls occurred in un-patterned sequences, representing non-song sound production. Typically, calls occurred in bouts, ranging from 2 to 42 consecutive days with February, March and April having the highest daily occurrence of calls in 2008. In 2009, February, March, April and May had the highest daily occurrence of calls. Whales were estimated to be within a 100 km radius off PALAOA. Calls were also present during austral winter when ice cover within this radius was &gt;90%. These results demonstrate that coastal areas near the Antarctic continent are likely of greater importance to humpback whales than previously assumed, presumably providing food resources year-round and open water in winter where animals can breathe.</t>
  </si>
  <si>
    <t>[Van Opzeeland, Ilse; Kindermann, Lars; Burkhardt, Elke; Boebel, Olaf] Alfred Wegener Inst Polar &amp; Marine Res, Ocean Acoust Lab, Bremerhaven, Germany; [Van Parijs, Sofie] Northeast Fisheries Sci Ctr, Woods Hole, MA USA</t>
  </si>
  <si>
    <t>Van Opzeeland, I (corresponding author), Alfred Wegener Inst Polar &amp; Marine Res, Ocean Acoust Lab, Bremerhaven, Germany.</t>
  </si>
  <si>
    <t>ilse.van.opzeeland@awi.de</t>
  </si>
  <si>
    <t>Bremerhavener Gesellschaft fur Innovationsforderung und Stadtentwicklung (BIS)</t>
  </si>
  <si>
    <t>Design and implementation of the PALAOA observatory was partly funded by the Bremerhavener Gesellschaft fur Innovationsforderung und Stadtentwicklung (BIS). This funder had no role in study design, data collection and analysis, decision to publish, or preparation of the manuscript. No additional external funding received for this study.</t>
  </si>
  <si>
    <t>SEP 6</t>
  </si>
  <si>
    <t>e73007</t>
  </si>
  <si>
    <t>10.1371/journal.pone.0073007</t>
  </si>
  <si>
    <t>224BO</t>
  </si>
  <si>
    <t>WOS:000324856500031</t>
  </si>
  <si>
    <t>Feng, L; Hu, CM; Chen, XL; Zhao, X</t>
  </si>
  <si>
    <t>Feng, Lian; Hu, Chuanmin; Chen, Xiaoling; Zhao, Xi</t>
  </si>
  <si>
    <t>Dramatic Inundation Changes of China's Two Largest Freshwater Lakes Linked to the Three Gorges Dam</t>
  </si>
  <si>
    <t>YANGTZE-RIVER; MODIS</t>
  </si>
  <si>
    <t>Ever since its planning in the 1990s, the Three Gorges Dam (TGD) caused endless debate in China on its potential impacts on the environment and humans. However, to date, synoptic assessment of environmental changes and their potential linkage with the TGD is still lacking. Here, we combine remote sensing, meteorological, and hydrological observations to investigate the potential influence of the TGD on the downstream freshwater lakes. A 10 year Moderate Resolution Imaging Spectroradiometer (MODIS) time series from 2000 to 2009 revealed significantly decreasing trends (3.3 and 3.6%/year) in the inundation areas of the two largest freshwater lakes of China (Poyang Lake and Dongting Lake) downstream of the TGD since its impoundment in 2003, after which both relative humidity and surface runoff coefficient of the lakes' drainages also dropped dramatically. These environmental changes appear to be linked to the TGD.</t>
  </si>
  <si>
    <t>[Feng, Lian; Chen, Xiaoling] Wuhan Univ, State Key Lab Informat Engn Surveying Mapping &amp; R, Wuhan 430079, Peoples R China; [Feng, Lian; Hu, Chuanmin] Univ S Florida, Coll Marine Sci, St Petersburg, FL 33701 USA; [Chen, Xiaoling] Jiangxi Normal Univ, Minist Educ, Key Lab Poyang Lake Wetland &amp; Watershed Res, Nanchang 330022, Peoples R China; [Zhao, Xi] Wuhan Univ, Chinese Antarctic Ctr Surveying &amp; Mapping, Wuhan 430079, Peoples R China</t>
  </si>
  <si>
    <t>Wuhan University; State University System of Florida; University of South Florida; Jiangxi Normal University; Wuhan University</t>
  </si>
  <si>
    <t>Feng, L (corresponding author), Wuhan Univ, State Key Lab Informat Engn Surveying Mapping &amp; R, Wuhan 430079, Peoples R China.</t>
  </si>
  <si>
    <t>lian.feng@whu.edu.cn; cecxl@yahoo.com</t>
  </si>
  <si>
    <t>zhao, xi/HJY-6017-2023; Feng, Lian/JQI-0512-2023; Hu, Chuanmin/AAB-9604-2021</t>
  </si>
  <si>
    <t>Feng, Lian/0000-0002-4590-3022; Hu, Chuanmin/0000-0003-3949-6560</t>
  </si>
  <si>
    <t>National Natural Science Foundation of China [41331174, 41023001]; LIESMARS (Wuhan University); University of South Florida</t>
  </si>
  <si>
    <t>National Natural Science Foundation of China(National Natural Science Foundation of China (NSFC)); LIESMARS (Wuhan University); University of South Florida</t>
  </si>
  <si>
    <t>This work was supported by the National Natural Science Foundation of China (NO: 41331174,41023001), the open-fund projects of LIESMARS (Wuhan University) and the University of South Florida. We thank NASA for providing MODIS and TRMM data, and the NTSG of the University of Montana for providing ET. We are indebted to local environmental agencies and groups who collected and provided surface runoff and rain gauge data. Three anonymous reviewers provided extensive comments that helped improve the manuscript.</t>
  </si>
  <si>
    <t>SEP 3</t>
  </si>
  <si>
    <t>10.1021/es4009618</t>
  </si>
  <si>
    <t>295CR</t>
  </si>
  <si>
    <t>WOS:000330094700010</t>
  </si>
  <si>
    <t>Jensen, SK; Nymo, IH; Forcada, J; Hall, A; Godfroid, J</t>
  </si>
  <si>
    <t>Jensen, Silje-Kristin; Nymo, Ingebjorg Helena; Forcada, Jaume; Hall, Ailsa; Godfroid, Jacques</t>
  </si>
  <si>
    <t>Brucella antibody seroprevalence in Antarctic seals (Arctocephalus gazella, Leptonychotes weddellii and Mirounga leonina)</t>
  </si>
  <si>
    <t>DISEASES OF AQUATIC ORGANISMS</t>
  </si>
  <si>
    <t>Serology; Antarctic fur seal; Weddell seal; Southern elephant seal; Pinniped; Brucella pinnipedialis</t>
  </si>
  <si>
    <t>SOUTHERN ELEPHANT SEALS; MARINE MAMMAL BRUCELLA; AUSTRALIAN FUR SEALS; ANTIBRUCELLA ANTIBODIES; NEW-ZEALAND; INFECTION; POPULATION; PINNIPEDIALIS; PATHOGENS; FORSTERI</t>
  </si>
  <si>
    <t>Brucellosis is a worldwide infectious zoonotic disease caused by Gram-negative bacteria of the genus Brucella, and Brucella infections in marine mammals were first reported in 1994. A serosurvey investigating the presence of anti-Brucella antibodies in 3 Antarctic pinniped species was undertaken with a protein A/G indirect enzyme-linked immunosorbent assay (iELISA) and the Rose Bengal test (RBT). Serum samples from 33 Weddell seals Leptonychotes weddelli were analysed, and antibodies were detected in 8 individuals (24.2%) with the iELISA and in 21 (65.6%) with the RBT. We tested 48 southern elephant seal Mirounga leonina sera and detected antibodies in 2 animals (4.7%) with both the iELISA and the RBT. None of the 21 Antarctic fur seals Arctocephalus gazella was found positive. This is the first report of anti-Brucella antibodies in southern elephant seals. The potential impact of Brucella infection in pinnipeds in Antarctica is not known, but Brucella spp. are known to cause abortion in terrestrial species and cetaceans. Our findings suggest that Brucella infection in pinnipeds is present in the Antarctic, but to date B. pinnipedialis has not been isolated from any Antarctic pinniped species, leaving the confirmation of infection pending.</t>
  </si>
  <si>
    <t>[Jensen, Silje-Kristin; Nymo, Ingebjorg Helena; Godfroid, Jacques] Norwegian Sch Vet Sci, Sect Arctic Vet Med, N-9010 Tromso, Norway; [Jensen, Silje-Kristin; Hall, Ailsa] Univ St Andrews, Scottish Oceans Inst, Sea Mammal Res Unit, St Andrews KY16 8LB, Fife, Scotland; [Forcada, Jaume] British Antarctic Survey, NERC, Cambridge CB3 0ET, England</t>
  </si>
  <si>
    <t>Norwegian University of Life Sciences; University of St Andrews; UK Research &amp; Innovation (UKRI); Natural Environment Research Council (NERC); NERC British Antarctic Survey</t>
  </si>
  <si>
    <t>Jensen, SK (corresponding author), Norwegian Sch Vet Sci, Sect Arctic Vet Med, Stakkevollveien 23, N-9010 Tromso, Norway.</t>
  </si>
  <si>
    <t>skj3@st-andrews.ac.uk</t>
  </si>
  <si>
    <t>Hall, Ailsa J/E-1596-2011; Godfroid, Jacques/HCI-7835-2022; Forcada, Jaume/GYU-0677-2022; godfroid, jacques/U-3524-2017</t>
  </si>
  <si>
    <t>Hall, Ailsa/0000-0002-7562-1771; godfroid, jacques/0000-0002-0782-7858; Nymo, Ingebjorg Helena/0000-0002-4844-8344</t>
  </si>
  <si>
    <t>NERC [bas0100025] Funding Source: UKRI; Natural Environment Research Council [smru10001, bas0100025] Funding Source: researchfish</t>
  </si>
  <si>
    <t>0177-5103</t>
  </si>
  <si>
    <t>1616-1580</t>
  </si>
  <si>
    <t>DIS AQUAT ORGAN</t>
  </si>
  <si>
    <t>Dis. Aquat. Org.</t>
  </si>
  <si>
    <t>10.3354/dao02633</t>
  </si>
  <si>
    <t>Fisheries; Veterinary Sciences</t>
  </si>
  <si>
    <t>211MF</t>
  </si>
  <si>
    <t>WOS:000323911300001</t>
  </si>
  <si>
    <t>Omkar; Rastogi, S; Pervez, A</t>
  </si>
  <si>
    <t>Omkar; Rastogi, Shruti; Pervez, Ahmad</t>
  </si>
  <si>
    <t>Demographic attributes of the parthenium beetle Zygogramma bicolorata (Coleoptera: Chrysomelidae) under different variables</t>
  </si>
  <si>
    <t>INTERNATIONAL JOURNAL OF TROPICAL INSECT SCIENCE</t>
  </si>
  <si>
    <t>SUB-ANTARCTIC CATERPILLAR; PALLISTER CHRYSOMELIDAE; BIOLOGICAL-CONTROL; FLORAL HERBIVORY; DEVELOPMENT TIME; TEMPERATURE; DIAPAUSE; LEPIDOPTERA; FITNESS; PHOTOPERIOD</t>
  </si>
  <si>
    <t>The demographic attributes of the parthenium beetle Zygogramma bicolorata Pallister were studied using Parthenium hysterophorus L. as food under different abiotic and biotic variables. Intrinsic and finite rates of increase were highest with the shortest mean generation and doubling times when Z. bicolorata was fed on inflorescences followed by the leaves and stems of P. hysterophorus. Temperature significantly affected the demographic parameters. The net reproductive rate was highest at 27 degrees C and lowest at 35 degrees C. Different photoperiodic exposures altered the demographic attributes of the beetles with long-day exposure (14L:10D) resulting in optimal values compared with other photoperiodic exposures. Continuous darkness (0L:24D) and continuous light (24L:0D) suboptimally affected the demographic attributes of the beetles. In response to the light of different wavelengths, the net reproductive rate, and intrinsic and finite rates of increase were significantly higher when the beetles were reared under a broad spectrum of white light followed by those under similar to 570nm (yellow), similar to 475nm (blue) and similar to 650nm (red). Information gained in this study may be helpful in the mass multiplication of Z. bicolorata, and thereby strengthening the biocontrol of parthenium weed.</t>
  </si>
  <si>
    <t>Omkar (corresponding author), Univ Lucknow, Dept Zool, Ladybird Res Lab, Lucknow 226001, Uttar Pradesh, India.</t>
  </si>
  <si>
    <t>omkaar55@hotmail.com</t>
  </si>
  <si>
    <t>Pervez, Ahmad/AFA-5391-2022</t>
  </si>
  <si>
    <t>1742-7584</t>
  </si>
  <si>
    <t>1742-7592</t>
  </si>
  <si>
    <t>INT J TROP INSECT SC</t>
  </si>
  <si>
    <t>Int. J. Trop. Insect Sci.</t>
  </si>
  <si>
    <t>SEP</t>
  </si>
  <si>
    <t>10.1017/S1742758413000155</t>
  </si>
  <si>
    <t>Entomology</t>
  </si>
  <si>
    <t>201TJ</t>
  </si>
  <si>
    <t>WOS:000323165600004</t>
  </si>
  <si>
    <t>Aarvak, T; Oien, IJ; Krasnov, YV; Gavrilo, MV; Shavykin, AA</t>
  </si>
  <si>
    <t>Aarvak, Tomas; Oien, Ingar Jostein; Krasnov, Yuri V.; Gavrilo, Maria V.; Shavykin, Anatoly A.</t>
  </si>
  <si>
    <t>The European wintering population of Steller's Eider Polysticta stelleri reassessed</t>
  </si>
  <si>
    <t>BIRD CONSERVATION INTERNATIONAL</t>
  </si>
  <si>
    <t>PENINSULA; ALASKA</t>
  </si>
  <si>
    <t>Prolonged declines in the number of Steller's Eider Polysticta stelleri wintering in Europe have raised concerns about the conservation status of the Western Palearctic population. Coordinated helicopter surveys of all known wintering areas in Norway and Russia and ground counts in the Baltic in 2009 found c. 27,000 Steller's Eiders, similar to numbers found during the last such survey in the mid-1990s. However, around 85% of the population now winters in Russia compared to 30-50% then. The reasons for this rapid shift in distribution are unknown but are likely linked to climate change. The continuing small population size, specialist feeding and restricted distribution of Steller's Eider necessitate continued survey and research to track population changes and provide evidence for conservation management actions to safeguard the species.</t>
  </si>
  <si>
    <t>[Aarvak, Tomas; Oien, Ingar Jostein] Norwegian Ornithol Soc BirdLife Norway, N-7012 Trondheim, Norway; [Krasnov, Yuri V.; Shavykin, Anatoly A.] Murmansk Marine Biol Inst, Murmansk 183010, Russia; [Gavrilo, Maria V.] Arct &amp; Antarct Res Inst, St Petersburg, Russia</t>
  </si>
  <si>
    <t>Aarvak, T (corresponding author), Norwegian Ornithol Soc BirdLife Norway, Sandgt 30b, N-7012 Trondheim, Norway.</t>
  </si>
  <si>
    <t>tomas@birdlife.no</t>
  </si>
  <si>
    <t>Aarvak, Tomas/ABC-4783-2020; Krasnov, Yuri V/H-1581-2016; Gavrilo, Maria V/R-7091-2016; Shavykin, Anatoly/G-8072-2016</t>
  </si>
  <si>
    <t>Gavrilo, Maria V/0000-0002-3500-9617; Shavykin, Anatoly/0000-0002-2049-0698; Shavykin, Anatoliy/0000-0003-0538-8115; Aarvak, Tomas/0000-0003-4592-9123</t>
  </si>
  <si>
    <t>Norwegian Ministry of the Environment (MD); DN</t>
  </si>
  <si>
    <t>Our gratitude goes to Morten Ekker at the Norwegian Directorate for Nature Management (DN) for invaluable help during the survey. Nick Hughes at the Ice-service, the Norwegian Meteorological Institute, kindly provided ice data from the Barents and White Seas within the survey period and additional long-trend data (1979-2008) of ice distribution in the Barents Sea. Vladimir Bessonov from the Ice Center, Arctic and Antarctic Research Institute (AARI), Russia, kindly provided ice data based on high-resolution MODIS images to plan the aerial survey in Russia. We thank SPARC+ aviation enterprise and the Mi-8 helicopter pilots for good service and cooperation during survey flights in Russia and similarly to Arctic Helicopter Service AS in Norway. Mindaugas Dagys in Lithuania, Andres Kuresoo in Estonia, Antra Stipniece in Latvia, Petteri Tolvanen and Martti Hario in Finland and Leif Nilsson in Sweden kindly provided winter population estimates and advice about Steller's Eiders in their respective countries. The survey was financed by the Norwegian Ministry of the Environment (MD) and DN through the bilateral Environmental Cooperation Agreement between Norway and Russia. We are grateful to Prof. Anthony D. Fox and an anonymous referee for valuable contributions to the final manuscript.</t>
  </si>
  <si>
    <t>0959-2709</t>
  </si>
  <si>
    <t>1474-0001</t>
  </si>
  <si>
    <t>BIRD CONSERV INT</t>
  </si>
  <si>
    <t>Bird Conserv. Int.</t>
  </si>
  <si>
    <t>10.1017/S0959270912000251</t>
  </si>
  <si>
    <t>Biodiversity Conservation; Ornithology</t>
  </si>
  <si>
    <t>Biodiversity &amp; Conservation; Zoology</t>
  </si>
  <si>
    <t>300MB</t>
  </si>
  <si>
    <t>WOS:000330466900006</t>
  </si>
  <si>
    <t>Ordeal by Ice: ships of the Antarctic</t>
  </si>
  <si>
    <t>INTERNATIONAL JOURNAL OF NAUTICAL ARCHAEOLOGY</t>
  </si>
  <si>
    <t>1057-2414</t>
  </si>
  <si>
    <t>1095-9270</t>
  </si>
  <si>
    <t>INT J NAUT ARCHAEOL</t>
  </si>
  <si>
    <t>Int. J. Naut. Archaeol.</t>
  </si>
  <si>
    <t>10.1111/1095-9270.12028_22</t>
  </si>
  <si>
    <t>Archaeology</t>
  </si>
  <si>
    <t>297JP</t>
  </si>
  <si>
    <t>WOS:000330252000042</t>
  </si>
  <si>
    <t>Litantra, R; Lobionda, S; Yim, JH; Kim, HK</t>
  </si>
  <si>
    <t>Litantra, Ribka; Lobionda, Stefani; Yim, Joung Han; Kim, Hyung Kwoun</t>
  </si>
  <si>
    <t>Expression and Biochemical Characterization of Cold-Adapted Lipases from Antarctic Bacillus pumilus Strains</t>
  </si>
  <si>
    <t>JOURNAL OF MICROBIOLOGY AND BIOTECHNOLOGY</t>
  </si>
  <si>
    <t>Lipase; Bacillus pumilus; Antarctic; cold-adapted enzyme</t>
  </si>
  <si>
    <t>PHOTOBACTERIUM-LIPOLYTICUM; MICROBIAL LIPASES; GENE CLONING; ENZYMES; BIOTECHNOLOGY; PURIFICATION</t>
  </si>
  <si>
    <t>Two lipase genes (bpl1 and bpl3) from Antarctic Bacillus pumilus strains were expressed in Bacillus subtilis. Both recombinant lipases BPL1 and BPL2 were secreted to the culture medium and their activities reached 3.5 U/ml and 5.0 U/ml, respectively. Their molecular masses apparent using SDS-PAGE were 23 kDa for BPL1 and 19 kDa for BPL3. Both lipases were purified to homogeneity using ammonium sulfate precipitation and HiTrap SP FF column and Superose 12 column chromatographies. The final specific activities were estimated to be 328 U/mg for BPL1 and 310 U/mg for BPL3. Both lipases displayed an optimum temperature of 35 degrees C, similar to other mesophilic enzymes. However, they maintained as much as 70% and 80% of the maximum activities at 10 degrees C. Accordingly, their calculated activation energy at a temperature range of 10-35 degrees C was 5.32 kcal/mol for BPL1 and 4.26 kcal/mol for BPL3, typical of cold-adapted enzymes. The optimum pH of BPL1 and BPL3 was 8.5 and 8.0, respectively, and they were quite stable at pH 7.0-11.0, showing their strong alkaline tolerance. Both lipases had a preference toward medium chain length (C-6-C-10) fatty acid substrates. These results indicate the potential for the two Antarctic B. pumilus lipases as catalysts in bioorganic synthesis, food, and detergent industries.</t>
  </si>
  <si>
    <t>[Litantra, Ribka; Lobionda, Stefani; Kim, Hyung Kwoun] Catholic Univ Korea, Div Biotechnol, Puchon 420743, South Korea; [Litantra, Ribka; Lobionda, Stefani] Atma Jaya Catholic Univ, Fac Biotechnol, Jakarta 12930, Indonesia; [Yim, Joung Han] Korea Polar Res Inst, Inchon 406840, South Korea</t>
  </si>
  <si>
    <t>Catholic University of Korea; University Katolik Indonesia Atma Jaya; Korea Institute of Ocean Science &amp; Technology (KIOST); Korea Polar Research Institute (KOPRI)</t>
  </si>
  <si>
    <t>Kim, HK (corresponding author), Catholic Univ Korea, Div Biotechnol, Puchon 420743, South Korea.</t>
  </si>
  <si>
    <t>hkkim@catholic.ac.kr</t>
  </si>
  <si>
    <t>Gyeonggi Regional Research Center (GRRC) at the Catholic University of Korea; Catholic University of Korea</t>
  </si>
  <si>
    <t>This work was supported by Gyeonggi Regional Research Center (GRRC) at the Catholic University of Korea and by the Research Fund 2013 of The Catholic University of Korea.</t>
  </si>
  <si>
    <t>KOREAN SOC MICROBIOLOGY &amp; BIOTECHNOLOGY</t>
  </si>
  <si>
    <t>KOREA SCI TECHNOL CENTER #507, 635-4 YEOGSAM-DONG, KANGNAM-GU, SEOUL 135-703, SOUTH KOREA</t>
  </si>
  <si>
    <t>1017-7825</t>
  </si>
  <si>
    <t>1738-8872</t>
  </si>
  <si>
    <t>J MICROBIOL BIOTECHN</t>
  </si>
  <si>
    <t>J. Microbiol. Biotechnol.</t>
  </si>
  <si>
    <t>10.4014/jmb.1305.05006</t>
  </si>
  <si>
    <t>Biotechnology &amp; Applied Microbiology; Microbiology</t>
  </si>
  <si>
    <t>295DZ</t>
  </si>
  <si>
    <t>WOS:000330098100005</t>
  </si>
  <si>
    <t>Gerginova, M; Manasiev, J; Yemendzhiev, H; Terziyska, A; Peneva, N; Alexieva, Z</t>
  </si>
  <si>
    <t>Gerginova, Maria; Manasiev, Jordan; Yemendzhiev, Husein; Terziyska, Anna; Peneva, Nadejda; Alexieva, Zlatka</t>
  </si>
  <si>
    <t>Biodegradation of Phenol by Antarctic Strains of Aspergillus fumigatus</t>
  </si>
  <si>
    <t>ZEITSCHRIFT FUR NATURFORSCHUNG SECTION C-A JOURNAL OF BIOSCIENCES</t>
  </si>
  <si>
    <t>Phenol; Aspergillus fumigatus; Phenol Hydroxylase Gene</t>
  </si>
  <si>
    <t>FILAMENTOUS FUNGI; HYDROXYLASE; DEGRADATION; IDENTIFICATION; CATECHOL; CANDIDA; ENZYME; YEAST; GENE; BIOREMEDIATION</t>
  </si>
  <si>
    <t>Taxonomic identification of three newly isolated Antarctic fungal strains by their 18S rDNA sequences revealed their affiliation with Aspergillus fttmigatus. Phenol (0.5 g/l) as the sole carbon source was completely degraded by all strains within less than two weeks. Intracellular activities of three key enzymes involved in the phenol catabolism were determined. Activities of phenol hydroxylase (EC 1.14.13.7), hydroquinone hydroxylase (EC 1.14.13.x), and catechol 1,2-dioxygenase (EC 1.13.11.1) varied significantly between strains. The rates of phenol degradation in the three strains correlated best with the activity of catechol 1,2-dioxygenase. Six pairs of oligonucleotide primers were designed on the basis of the Aspergillus fumigatus Af293 genome sequence (NCBI Acc. No. XM 743491.1) and used to amplify phenol hydroxylase-related gene sequences. DNA sequences of about 1200 bp were amplified from all three strains and found to have a high degree of sequence identity with the corresponding gene of Aspergillus fumigatus Af293.</t>
  </si>
  <si>
    <t>[Gerginova, Maria; Manasiev, Jordan; Yemendzhiev, Husein; Terziyska, Anna; Peneva, Nadejda; Alexieva, Zlatka] Bulgarian Acad Sci, Inst Microbiol, BU-1113 Sofia, Bulgaria</t>
  </si>
  <si>
    <t>Bulgarian Academy of Sciences; Medical University Sofia</t>
  </si>
  <si>
    <t>Alexieva, Z (corresponding author), Bulgarian Acad Sci, Inst Microbiol, Acad G Bontchev Str,Bl 26, BU-1113 Sofia, Bulgaria.</t>
  </si>
  <si>
    <t>zlatkama@yahoo.com</t>
  </si>
  <si>
    <t>Gerginova, Maria Gerginova/K-7815-2016; Alexieva, Zlatka/K-7822-2016</t>
  </si>
  <si>
    <t>Alexieva, Zlatka/0000-0002-2727-5667</t>
  </si>
  <si>
    <t>Council of Science Research of the Bulgarian Ministry of Education, Youth and Science [DTK 02/74]</t>
  </si>
  <si>
    <t>Council of Science Research of the Bulgarian Ministry of Education, Youth and Science</t>
  </si>
  <si>
    <t>This work was supported by the Council of Science Research of the Bulgarian Ministry of Education, Youth and Science under project No. DTK 02/74.</t>
  </si>
  <si>
    <t>WALTER DE GRUYTER GMBH</t>
  </si>
  <si>
    <t>GENTHINER STRASSE 13, D-10785 BERLIN, GERMANY</t>
  </si>
  <si>
    <t>0939-5075</t>
  </si>
  <si>
    <t>1865-7125</t>
  </si>
  <si>
    <t>Z NATURFORSCH C</t>
  </si>
  <si>
    <t>Z.Naturforsch.(C)</t>
  </si>
  <si>
    <t>SEP-OCT</t>
  </si>
  <si>
    <t>Biochemistry &amp; Molecular Biology; Pharmacology &amp; Pharmacy</t>
  </si>
  <si>
    <t>287SD</t>
  </si>
  <si>
    <t>WOS:000329561600006</t>
  </si>
  <si>
    <t>Suzuki, K; Yamanouchi, T; Kawamura, K; Motoyama, H</t>
  </si>
  <si>
    <t>Suzuki, Kazue; Yamanouchi, Takashi; Kawamura, Kenji; Motoyama, Hideaki</t>
  </si>
  <si>
    <t>The spatial and seasonal distributions of air-transport origins to the Antarctic based on 5-day backward trajectory analysis</t>
  </si>
  <si>
    <t>POLAR SCIENCE</t>
  </si>
  <si>
    <t>Trajectory; Antarctic; Moisture transport; Surface mass balance</t>
  </si>
  <si>
    <t>DRONNING MAUD LAND; ATMOSPHERIC CIRCULATION; ISOTOPIC COMPOSITION; SURFACE SNOW; PRECIPITATION; RESOLUTION; CHEMISTRY; FIELDS; SITE</t>
  </si>
  <si>
    <t>Transport of moisture-bearing air to the Antarctic is one of the important factors that control the mass balance of the ice sheet. Here, we investigate the distribution of air-parcel transport using a backward trajectory analysis over the entire Antarctic ice sheet, based on whether the air parcel was located inside or outside of Antarctica at 5 days before arrival. At this time, we considered the air from outside Antarctica to be moisture rich. Oceanic air was found to dominate in West Antarctica throughout the year, whereas air from inland was more prominently distributed around East Antarctica, especially in summer. In East Antarctica, there was a significant seasonal variation: air from inland dominated in summer, while air of oceanic origin dominated in winter. The distribution of air parcels that came from oceanic/inland sources was similar to the accumulation map (based on satellite data), which indicates that oceanic air parcels could be a substitute for moisture transport to the Antarctic. To determine the future impacts of climate change (e.g., sea level rise), more precise predictions of the variations in the surface mass balance will be required. Our results contribute towards the improved understanding of the spatial distributions of accumulation and aerosols found in Antarctic snow and ice cores. (C) 2013 Elsevier B.V. and NIPR. All rights reserved.</t>
  </si>
  <si>
    <t>[Suzuki, Kazue; Yamanouchi, Takashi; Kawamura, Kenji; Motoyama, Hideaki] Natl Inst Polar Res, Tachikawa, Tokyo 1908518, Japan; [Yamanouchi, Takashi; Kawamura, Kenji; Motoyama, Hideaki] Grad Univ Adv Studies, Tachikawa, Tokyo 1908518, Japan</t>
  </si>
  <si>
    <t>Research Organization of Information &amp; Systems (ROIS); National Institute of Polar Research (NIPR) - Japan; Graduate University for Advanced Studies - Japan</t>
  </si>
  <si>
    <t>Suzuki, K (corresponding author), Inst Stat Math, 10-3 Midori Cho, Tachikawa, Tokyo 1908562, Japan.</t>
  </si>
  <si>
    <t>kazue@ism.ac.jp</t>
  </si>
  <si>
    <t>Yamanouchi, Takashi/P-2041-2015; Kawamura, Kenji/C-7660-2011</t>
  </si>
  <si>
    <t>Kawamura, Kenji/0000-0003-1163-700X</t>
  </si>
  <si>
    <t>National Institute of Polar Research [KP-3]; Ministry of Education, Culture, Sports, Science and Technology (MEXT) [21221002, 21671001]; Grants-in-Aid for Scientific Research [21221002, 21671001] Funding Source: KAKEN</t>
  </si>
  <si>
    <t>National Institute of Polar Research(National Institute of Polar Research (NIPR) - Japan); Ministry of Education, Culture, Sports, Science and Technology (MEXT)(Ministry of Education, Culture, Sports, Science and Technology, Japan (MEXT)); Grants-in-Aid for Scientific Research(Ministry of Education, Culture, Sports, Science and Technology, Japan (MEXT)Japan Society for the Promotion of ScienceGrants-in-Aid for Scientific Research (KAKENHI))</t>
  </si>
  <si>
    <t>We would like to thank Yoshihiro Tomikawa for his help with the trajectory model NITRAM (http://www.firp-nitram.nipt.ac.jp/) and suggestions for this article. We also thank Toshiyuki Murayama for providing ceilometer data for the Southern Ocean and also for confirming the height of the ABL. The European Centre for Medium-range Weather Forecasts (ECMWF) provided the metrological data used in this study. This research was supported by the National Institute of Polar Research through Project Research no.KP-3. This study was also supported by Scientific Research (S) grant number 21221002 and Young Scientists (S) grant number 21671001, provided by the Ministry of Education, Culture, Sports, Science and Technology (MEXT).</t>
  </si>
  <si>
    <t>1873-9652</t>
  </si>
  <si>
    <t>1876-4428</t>
  </si>
  <si>
    <t>POLAR SCI</t>
  </si>
  <si>
    <t>Polar Sci.</t>
  </si>
  <si>
    <t>SEP-DEC</t>
  </si>
  <si>
    <t>10.1016/j.polar.2013.08.001</t>
  </si>
  <si>
    <t>Ecology; Geosciences, Multidisciplinary</t>
  </si>
  <si>
    <t>280FS</t>
  </si>
  <si>
    <t>WOS:000329014700001</t>
  </si>
  <si>
    <t>Kazama, T; Hayakawa, H; Higashi, T; Ohsono, S; Iwanami, S; Hanyu, T; Ohta, H; Doi, K; Aoyama, Y; Fukuda, Y; Nishijima, J; Shibuya, K</t>
  </si>
  <si>
    <t>Kazama, Takahito; Hayakawa, Hideaki; Higashi, Toshihiro; Ohsono, Shingo; Iwanami, Shunsuke; Hanyu, Tomoko; Ohta, Harumi; Doi, Koichiro; Aoyama, Yuichi; Fukuda, Yoichi; Nishijima, Jun; Shibuya, Kazuo</t>
  </si>
  <si>
    <t>Gravity measurements with a portable absolute gravimeter A10 in Syowa Station and Langhovde, East Antarctica</t>
  </si>
  <si>
    <t>Absolute gravity; Antarctica; A10 gravimeter; Ice mass balance; Glacial isostatic adjustment</t>
  </si>
  <si>
    <t>MOVEMENT; MISSION</t>
  </si>
  <si>
    <t>Absolute gravity values were measured with a portable absolute gravimeter A10 in East Antarctica, for the first time by the Japanese Antarctic Research Expedition. This study aims to investigate regional spatiotemporal variations of ice mass distributions and associated crustal deformations around Syowa Station by means of repeated absolute gravity measurements, and we obtained the first absolute gravity value in Southern Langhovde on the Antarctic Continent. The average absolute gravity value at the newly installed benchmark AGS01 in Langhovde (obtained on 3 February 2012) was 982535584.2 +/- 0.7 mu gal (1 [mu gal] = 1 x 10(-8) [m/s(2)]), which was in agreement with the gravity values obtained by the past relative gravity measurements within 1 mgal. In addition, the average absolute gravity value obtained at AGSaux in Syowa Station was consistent with both previous absolute gravity values and those obtained by simultaneous measurements using an FG5 gravimeter, owing to adequate data corrections associated with tidal effects and time variations in atomic clock frequencies. In order to detect the gravity changes associated with the ice mass changes and other tectonic phenomena, we plan to conduct absolute gravity measurements at AGS01 again and at other campaign sites around Syowa Station as well in the near future, with careful attention paid to the impacts of severe environmental conditions in Antarctica on gravity data collection. (C) 2013 Elsevier B.V. and NIPR. All rights reserved.</t>
  </si>
  <si>
    <t>[Kazama, Takahito; Fukuda, Yoichi] Kyoto Univ, Grad Sch Sci, Kyoto 6068502, Japan; [Hayakawa, Hideaki; Hanyu, Tomoko; Doi, Koichiro; Aoyama, Yuichi; Shibuya, Kazuo] Natl Inst Polar Res, Tokyo 1908518, Japan; [Higashi, Toshihiro] TerraGrav LLC, Kyoto 6128017, Japan; [Ohsono, Shingo] GNSS Technol Inc, Tokyo 1600022, Japan; [Iwanami, Shunsuke] Tomakomai Natl Coll Technol, Sapporo, Hokkaido 0591275, Japan; [Ohta, Harumi] Global Ocean Dev Inc, Kanagawa 2330002, Japan; [Nishijima, Jun] Kyushu Univ, Grad Sch Engn, Fukuoka 8190395, Japan</t>
  </si>
  <si>
    <t>Kyoto University; Research Organization of Information &amp; Systems (ROIS); National Institute of Polar Research (NIPR) - Japan; Kyushu University</t>
  </si>
  <si>
    <t>Kazama, T (corresponding author), Kyoto Univ, Grad Sch Sci, Kyoto 6068502, Japan.</t>
  </si>
  <si>
    <t>takujin@kugi.kyoto-u.ac.jp</t>
  </si>
  <si>
    <t>Hanyu, Tomoko/0000-0001-7179-3931; Kazama, Takahito/0000-0001-7892-333X</t>
  </si>
  <si>
    <t>project of the 53rd Japanese Antarctic Research Expedition (JARE-53) [AP18-53]; Grants-in-Aid for Scientific Research [25887035] Funding Source: KAKEN</t>
  </si>
  <si>
    <t>project of the 53rd Japanese Antarctic Research Expedition (JARE-53); Grants-in-Aid for Scientific Research(Ministry of Education, Culture, Sports, Science and Technology, Japan (MEXT)Japan Society for the Promotion of ScienceGrants-in-Aid for Scientific Research (KAKENHI))</t>
  </si>
  <si>
    <t>This study was conducted as a project of the 53rd Japanese Antarctic Research Expedition (JARE-53; project number: AP18-53). The icebreaker Shirase(5003) (Japan Maritime Self-Defense Force), Helicopter Resources Pty. Ltd., and construction members of JARE-52/53 supported us in the transportation of the A10 #017 and the FG5 #210 to Antarctica. The Geospatial Information Authority of Japan (GSI) provided us with the cesium clock in the Gravity Hut at Syowa Station, the relative gravity data obtained by JARE-48, and the previous absolute gravity data at IAGBN(A). We thank S. Miyazaki, T. Ohkura (Kyoto University), Y. Ohta (Tohoku University), T. Kim (National Institute of Polar Research), N. Izumi (Japan Coast Guard), and Y. Tamura (National Astronomical Observatory of Japan) for their helpful advice regarding the processing of GPS and tide data. We also thank J. Deal, O. Francis, and one anonymous reviewer for their help in improving the manuscript. GMT (version 4.5.7; Wessel and Smith, 1998) and Google Earth (Version 5.1.2600.3; http://earth.google.com/) were used to create some of the figures in this report.</t>
  </si>
  <si>
    <t>10.1016/j.polar.2013.07.001</t>
  </si>
  <si>
    <t>WOS:000329014700005</t>
  </si>
  <si>
    <t>Karg, W; Schorlemmer, A</t>
  </si>
  <si>
    <t>Karg, Wolfgang; Schorlemmer, Anita</t>
  </si>
  <si>
    <t>Origin of five unique Mite-Genera in geological periods compared to other groups of Gamasina (Acarina, Parasitiformes) and description of two new species of Rykellus Lee and Oloopticus Karg</t>
  </si>
  <si>
    <t>ZOOSYSTEMATICS AND EVOLUTION</t>
  </si>
  <si>
    <t>Phylogeny; Historical Zoogeography; Continental drifting; geological time intervals; origin of new taxa-species; progression rule; keys for genera</t>
  </si>
  <si>
    <t>SOUTH-AMERICA; RAIN-FORESTS; MESOSTIGMATA; SYSTEMATICS; INSIGHTS; BREAKUP</t>
  </si>
  <si>
    <t>At the centre of our investigation are the five genera Africoseius Krantz, 1962, Afrogamasellus Loots et Ryke, 1968, Rykellus Lee, 1970, Laelaspisella Marias et Loots, 1969 and Oloopticus Karg, 1978. These genera are distinguished by their extraordinary distribution in Africa and South America. We detected relations between the origin of these genera and the development of the earth's continents. These five genera must have developed during a geological period when the African and the South American continents were still connected, but separate from the other continents. The five genera belong to different super families and families of Gamasina. Within these groups, the cited genera are distinguished by extraordinary organ-formations in relation to their primary groups. Further, we identified genera that are with high probability the sister genera of the investigated five genera in agreement with the progression rule explained by W. Hennig. We also discuss the question, what time frames within geological periods are necessary for the development of higher categories, such as genera, families and even cohorts. The development of the five genera named above is placed at an estimated range of 20 to 30 million years. Results of investigations from the Galapagos Archipel and an island of the Lesser Antilles showed that within 4 million years new species developed, but no new genera. The family Leptolaelapidae Karg which includes 11 genera with 42 species are distributed over Sub Antarctic, South Africa, South America, Malaysia and Australia. These continents formed during the Mid Jurassic to the upper of Cretaceous period the Gondwanian super-continent. This means, a period of 60 to 80 million years was necessary to allow the development of this mite family. Corresponding findings refer to the Ologamasidae and, Trigynaspida. The origin of higher systematic categories, such as super-families and cohorts, has to be attributed to the oversized continent Pangaea. Several systematic groups, which are today distributed worldwide, already existed in the Permian and Triassic. Regarding the Parasitiformes the following groups of soil mites are significant: Gamasina, and Margotrichina. The subsequent gradual splitting of the Pangaea continent over 150 to 160 million years forced the development of these ancient higher systematic groups. Finally, we revise the subfamily Hypoaspidinae, the genera Oloopticus Karg, Laelaspisella Marais et Loots and Rykellus Lee including two new species and complete it with keys for 9 genera and 20 species. ((c) 2013 WILEY-VCH Verlag GmbH &amp; Co. KGaA, Weinheim)</t>
  </si>
  <si>
    <t>[Schorlemmer, Anita] Univ Hawaii, Dept Mol Biosci &amp; Bioengn, Honolulu, HI 96813 USA; [Schorlemmer, Anita] Univ Hawaii, Dept Med, Honolulu, HI 96813 USA</t>
  </si>
  <si>
    <t>University of Hawaii System; University of Hawaii System</t>
  </si>
  <si>
    <t>Karg, W (corresponding author), Hohe Kiefer 152, D-14532 Kleinmachnow, Germany.</t>
  </si>
  <si>
    <t>Udo.Karg@arcor.de</t>
  </si>
  <si>
    <t>1435-1935</t>
  </si>
  <si>
    <t>1860-0743</t>
  </si>
  <si>
    <t>ZOOSYST EVOL</t>
  </si>
  <si>
    <t>Zoosyst. Evol.</t>
  </si>
  <si>
    <t>10.1002/zoos.201300006</t>
  </si>
  <si>
    <t>280KZ</t>
  </si>
  <si>
    <t>WOS:000329029800001</t>
  </si>
  <si>
    <t>Ju, XL; Shen, YZ; Zhang, ZZ</t>
  </si>
  <si>
    <t>Ju Xiao-Lei; Shen Yun-Zhong; Zhang Zi-Zhan</t>
  </si>
  <si>
    <t>Antarctic ice mass change analysis based on GRACE RL05 data</t>
  </si>
  <si>
    <t>Antarctic mass change; GRACE; Fan filter; Decorrelated filter</t>
  </si>
  <si>
    <t>GRAVITY; VISCOSITY</t>
  </si>
  <si>
    <t>The spatial resolution, accuracy and periodical characteristics of the latest release RL05 data by CSR (Centre for Space Research) are all superior to RL04 data. In this paper, the north-south stripe errors and other model errors of RL05 and RL04 data are reduced by using Fan filtering of 300 km radius and P5M11 decorrelated filtering, and the Paulson2007 model is used for the GIA (Glacial Isostatic Adjustment) correction. Both RL05 and RL04 data are used to analyze the Antarctic mass change series and the spatial distribution characteristics from 2002 to 2012. Meanwhile the mass change series of 8 characteristic points are further analyzed. Moreover the Antarctic mass changes are also processed and analyzed using the RL05 data of JPL (Jet Propulsion Laboratory) and GFZ (GeoForschungsZentrum). The Antarctic mass change rates derived from the RL05 data of CSR, JPL and GFZ are -195.7 +/- 20. 5 Gt/a, -203.8 +/- 23.1 Gt/a, and -133.2 +/- 29.9 Gt/a, the correspondent sea rising rates are 0.54 +/- 0.06 mm/a, 0.56 +/- 0.06 mm/a, and 0.37 +/- 0.09 mm/a, respectively.</t>
  </si>
  <si>
    <t>[Ju Xiao-Lei; Shen Yun-Zhong] Tongji Univ, Coll Surveying &amp; Geoinformat Engn, Shanghai 200092, Peoples R China; [Ju Xiao-Lei; Shen Yun-Zhong] Tongji Univ, Ctr Spatial Informat Sci &amp; Sustainable Dev, Shanghai 200092, Peoples R China; [Zhang Zi-Zhan] Chinese Acad Sci, Inst Geodesy &amp; Geophys, State Key Lab Geodesy &amp; Earths Dynam, Wuhan 430077, Peoples R China</t>
  </si>
  <si>
    <t>Tongji University; Tongji University; Chinese Academy of Sciences; Innovation Academy for Precision Measurement Science &amp; Technology, CAS</t>
  </si>
  <si>
    <t>Ju, XL (corresponding author), Tongji Univ, Coll Surveying &amp; Geoinformat Engn, Shanghai 200092, Peoples R China.</t>
  </si>
  <si>
    <t>leilei_0410@hotmail.com; yzshen@tongji.edu.cn</t>
  </si>
  <si>
    <t>Zhang, Zizhan/F-5705-2016</t>
  </si>
  <si>
    <t>10.6038/cjg20130906</t>
  </si>
  <si>
    <t>276BR</t>
  </si>
  <si>
    <t>WOS:000328723600006</t>
  </si>
  <si>
    <t>Levy, JS; Fountain, AG; O'Connor, JE; Welch, KA; Lyons, WB</t>
  </si>
  <si>
    <t>Levy, Joseph S.; Fountain, Andrew G.; O'Connor, Jim E.; Welch, Kathy A.; Lyons, W. Berry</t>
  </si>
  <si>
    <t>Garwood Valley, Antarctica: A new record of Last Glacial Maximum to Holocene glaciofluvial processes in the McMurdo Dry Valleys</t>
  </si>
  <si>
    <t>GROUNDED ICE-SHEET; BENTHIC MICROBIAL MATS; SOUTHERN VICTORIA LAND; TAYLOR VALLEY; ROSS SEA; HISTORY; LAKE; CALIBRATION; CHRONOLOGY; DEPOSITS</t>
  </si>
  <si>
    <t>We document the age and extent of late Quaternary glaciofluvial processes in Garwood Valley, McMurdo Dry Valleys, Antarctica, using mapping, stratigraphy, geochronology, and geochemical analysis of sedimentary and ice deposits. Geomorphic and stratigraphic evidence indicates damming of the valley at its Ross Sea outlet by the expanded Ross Sea ice sheet during the Last Glacial Maximum. Damming resulted in development of a pro-glacial lake in Garwood Valley that persisted from late Pleistocene to mid-Holocene time, and in the formation of a multilevel delta complex that overlies intact, supraglacial till and buried glacier ice detached from the Ross Sea ice sheet. Radiocarbon dating of delta deposits and inferred relationships between paleolake level and Ross Sea ice sheet grounding line positions indicate that the Ross Sea ice sheet advanced north of Garwood Valley at ca. 21.5 ka and retreated south of the valley between 7.3 and 5.5 ka. Buried ice remaining in Garwood Valley has a similar geochemical fingerprint to grounded Ross Sea ice sheet material elsewhere in the southern Dry Valleys. The sedimentary sequence in Garwood Valley preserves evidence of glaciofluvial interactions and climate-driven hydrological activity from the end of the Pleistocene through the mid-Holocene, making it an unusually complete record of climate activity and paleoenvironmental conditions from the terrestrial Antarctic.</t>
  </si>
  <si>
    <t>[Levy, Joseph S.] Oregon State Univ, Coll Earth Ocean &amp; Atmospher Sci, Corvallis, OR 97331 USA; [Fountain, Andrew G.] Portland State Univ, Dept Geol, Portland, OR 97201 USA; [O'Connor, Jim E.] US Geol Survey, Oregon Water Sci Ctr, Portland, OR 97201 USA; [Welch, Kathy A.; Lyons, W. Berry] Ohio State Univ, Sch Earth Sci, Columbus, OH 43210 USA; [Welch, Kathy A.; Lyons, W. Berry] Ohio State Univ, Byrd Polar Res Ctr, Columbus, OH 43210 USA</t>
  </si>
  <si>
    <t>Oregon State University; Portland State University; United States Department of the Interior; United States Geological Survey; University System of Ohio; Ohio State University; University System of Ohio; Ohio State University</t>
  </si>
  <si>
    <t>Levy, JS (corresponding author), Univ Texas Austin, Inst Geophys, Austin, TX 78758 USA.</t>
  </si>
  <si>
    <t>joe.levy@utexas.edu</t>
  </si>
  <si>
    <t>Levy, Joseph/0000-0002-6222-139X; Welch, Kathleen/0000-0003-1028-3086</t>
  </si>
  <si>
    <t>U.S. National Science Foundation (NSF) Antarctic Earth Sciences program [ANT-1212307]; Directorate For Geosciences; Office of Polar Programs (OPP) [1115245, 1343835] Funding Source: National Science Foundation</t>
  </si>
  <si>
    <t>U.S. National Science Foundation (NSF) Antarctic Earth Sciences program(National Science Foundation (NSF)NSF - Directorate for Geosciences (GEO)); Directorate For Geosciences; Office of Polar Programs (OPP)(National Science Foundation (NSF)NSF - Directorate for Geosciences (GEO))</t>
  </si>
  <si>
    <t>This work was supported by the U.S. National Science Foundation (NSF) Antarctic Earth Sciences program under award ANT-1212307 to Levy, Fountain, and Lyons. Many thanks go to the extensive team that made this research possible, notably, to Captain Dustin Black for bringing the Garwood Valley ice cliff to the attention of the research team, and to all the PHI pilots and ground staff for providing reliable and safe access to the site; to Thomas Nylen, Hasan Basagic, James Dickson, Rickard Pettersson, and James Jerome Bethune for field assistance; to Deb Leslie for stable isotope analyses of ice samples; to Jennifer McKay for stable isotope analysis of Garwood carbonates; to the Arizona Accelerator Mass Spectrometry (AMS) Laboratory for radiocarbon dating services; to Paul Morin and the Polar Geospatial Center for access to satellite image data; and to John Dilles, Federico Cernushi, Matt Lowen, and Mark Ford for assistance in X-ray diffraction analysis of sediments. Light detection and ranging (LiDAR) topography used in this paper was kindly made possible through a joint effort from the NSF, the National Aeronautics and Space Administration, and the U.S. Geological survey, with basic postprocessing from the Byrd Polar Research Center. This manuscript has benefited from thoughtful reviews from Brenda Hall, and two anonymous reviewers.</t>
  </si>
  <si>
    <t>10.1130/B30783.1</t>
  </si>
  <si>
    <t>273BA</t>
  </si>
  <si>
    <t>WOS:000328506500006</t>
  </si>
  <si>
    <t>Maridet, O; Costeur, L; Legendre, S</t>
  </si>
  <si>
    <t>Maridet, Olivier; Costeur, Loic; Legendre, Serge</t>
  </si>
  <si>
    <t>European Neogene rodent communities: explaining family-level replacements through a spatiotemporal approach</t>
  </si>
  <si>
    <t>HISTORICAL BIOLOGY</t>
  </si>
  <si>
    <t>Europe; Rodentia; life-history traits; family-level adaptive potential; Neogene; paleobiogeography</t>
  </si>
  <si>
    <t>ANTARCTIC ICE-SHEET; MESSINIAN SALINITY CRISIS; MIOCENE CLIMATIC OPTIMUM; SPECIES RICHNESS; MAMMALIAN COMMUNITIES; DIGESTIVE-TRACT; WESTERN-EUROPE; MIDDLE; BASIN; VEGETATION</t>
  </si>
  <si>
    <t>We analyse the changes in rodent regional assemblages based on 657 fossil-bearing western European localities distributed ranging from ca. 27Ma (Late Oligocene) to ca. 3Ma (Late Pliocene). We compare temporal and spatial patterns in order to identify the factors that drive the evolutions of communities. Regional assemblages are analysed based on the distribution of species richness among families. First, communities are temporally analysed to identify significant changes in their composition. Second, regional communities are spatially compared to indentify diversity gradients. The temporal analysis reveals that communities' evolution is marked by several breaks in their composition, related to either migration or environmental/climatic events. This evolution can be summarised in terms of shifts in the relative abundances of glirids, cricetids and murids within assemblages. In contrast, spatial analysis shows that only environmental changes induce long-lasting changes in diversity gradients. Some observations made on cricetids and murids extant relatives indicate that they have undergone a large dietary diversification enabled by a specific digestive tract (along with the diversification of other life-history traits), whereas glirids are more specialised. The opposite diversity dynamics of these groups emphasises the importance of family-level adaptive potential in diversity conservation issues when facing environmental changes.</t>
  </si>
  <si>
    <t>[Maridet, Olivier] Nat Hist Museum Wien, Geol &amp; Palaontol Abt, A-1010 Vienna, Austria; [Maridet, Olivier; Legendre, Serge] Univ Lyon 1, CNRS, UMR 5276, Lab Geol Lyon, F-69622 Villeurbanne, France; [Costeur, Loic] Nat Hist Museum Basel, CH-4001 Basel, Switzerland</t>
  </si>
  <si>
    <t>Centre National de la Recherche Scientifique (CNRS); CNRS - National Institute for Earth Sciences &amp; Astronomy (INSU); Universite Claude Bernard Lyon 1; Ecole Normale Superieure de Lyon (ENS de LYON)</t>
  </si>
  <si>
    <t>Maridet, O (corresponding author), Nat Hist Museum Wien, Geol &amp; Palaontol Abt, Burgring 7, A-1010 Vienna, Austria.</t>
  </si>
  <si>
    <t>olivier.maridet@nhm-wien.ac.at</t>
  </si>
  <si>
    <t>Maridet, Olivier/H-5313-2019; Legendre, Serge/B-4042-2008</t>
  </si>
  <si>
    <t>Maridet, Olivier/0000-0002-0956-0712; Legendre, Serge/0000-0003-4867-6790; Costeur, Loic/0000-0001-6213-8556</t>
  </si>
  <si>
    <t>French Ministry of Education and Research; Austrian Science Fund [FWF-M1375-B17]</t>
  </si>
  <si>
    <t>French Ministry of Education and Research; Austrian Science Fund(Austrian Science Fund (FWF))</t>
  </si>
  <si>
    <t>The results stem in part from the PhD thesis of O. M which was supported by the French Ministry of Education and Research. O. M.'s present research is currently supported by a Lise Meitner fellowship from the Austrian Science Fund (FWF-M1375-B17). The authors are also grateful to G. Escarguel and M. Hugueney who contributed to this work through most instructive discussions and comments on earlier drafts of this paper. C. Sullivan and D. Hone also kindly helped to improve the English text. The comments of several anonymous reviewers also contributed to improving this study.</t>
  </si>
  <si>
    <t>0891-2963</t>
  </si>
  <si>
    <t>1029-2381</t>
  </si>
  <si>
    <t>HIST BIOL</t>
  </si>
  <si>
    <t>Hist. Biol.</t>
  </si>
  <si>
    <t>SEP 1</t>
  </si>
  <si>
    <t>5-6</t>
  </si>
  <si>
    <t>10.1080/08912963.2012.739170</t>
  </si>
  <si>
    <t>Biology; Paleontology</t>
  </si>
  <si>
    <t>Life Sciences &amp; Biomedicine - Other Topics; Paleontology</t>
  </si>
  <si>
    <t>264HJ</t>
  </si>
  <si>
    <t>WOS:000327867300006</t>
  </si>
  <si>
    <t>Park, HS</t>
  </si>
  <si>
    <t>Park, Hyun Seok</t>
  </si>
  <si>
    <t>To Apply or to Declare, or Both? Links between the Two Types of Intervention under the ICJ Statute</t>
  </si>
  <si>
    <t>JOURNAL OF EAST ASIA AND INTERNATIONAL LAW</t>
  </si>
  <si>
    <t>Intervention as of Right; Discretionary Intervention; Non-Party Intervener; Intervener as a Party; ICJ Statute; Article 62; Article 63</t>
  </si>
  <si>
    <t>It is conceivable that the construction of a convention is in question in a case brought before ICJ and a State that is a party to the convention but not to the case has legal interests which may be affected by the construction given by the judgment in the case. As hinted at in the Whaling in the Antarctic case and the Sovereignty over Pulau Ligitan and Pulau Sipadan case, such a third State might intervene in the proceedings under Article 62 as well as Article 63 of the Statute unless it should be interpreted otherwise. In light of relevant provisions of the Statute and jurisprudence of the Court, this paper explores the question whether such a State has the choice, to submit an application to intervene under Article 62 or to make a declaration of intervention under Article 63.</t>
  </si>
  <si>
    <t>[Park, Hyun Seok] Hongik Univ, Coll Law, Seoul, South Korea</t>
  </si>
  <si>
    <t>Hongik University</t>
  </si>
  <si>
    <t>Park, HS (corresponding author), 94 Wausan Ro, Seoul 121791, South Korea.</t>
  </si>
  <si>
    <t>ctrl_83@hanmail.net</t>
  </si>
  <si>
    <t>YIJUN INST INT LAW</t>
  </si>
  <si>
    <t>562 GWANGNARURO, KWANGJIN-GU, NO 201 KYUNGWOO BD, SEOUL, 05033, SOUTH KOREA</t>
  </si>
  <si>
    <t>1976-9229</t>
  </si>
  <si>
    <t>J E ASIA INT LAW</t>
  </si>
  <si>
    <t>J. East Asia Int. Law</t>
  </si>
  <si>
    <t>FAL</t>
  </si>
  <si>
    <t>260LU</t>
  </si>
  <si>
    <t>hybrid, Green Submitted</t>
  </si>
  <si>
    <t>WOS:000327597200005</t>
  </si>
  <si>
    <t>Guerra, MBB; Neto, EL; Prianti, MTA; Pereira, ER; Schaefer, CEGR</t>
  </si>
  <si>
    <t>Bueno Guerra, Marcelo Braga; Neto, Elias Lima; Antunes Prianti, Marcelo Tesser; Pereira-Filho, Edenir Rodrigues; Goncalves Reynaud Schaefer, Carlos Ernesto</t>
  </si>
  <si>
    <t>Post-fire study of the Brazilian Scientific Antarctic Station: Toxic element contamination and potential mobility on the surrounding environment</t>
  </si>
  <si>
    <t>MICROCHEMICAL JOURNAL</t>
  </si>
  <si>
    <t>Soil pollution; PCA; Antarctica; Fire; X-Ray Fluorescence</t>
  </si>
  <si>
    <t>KING GEORGE ISLAND; HEAVY-METAL CONTAMINATION; ADMIRALTY BAY; SEDIMENTS; LICHENS; WATER</t>
  </si>
  <si>
    <t>We evaluated the new on site soil conditions and their potential risks immediately after a fire that completely destroyed the Brazilian Antarctic Station, on February 2012. The investigated variables were the concentration of potentially toxic elements (Cd, Cr, Cu, Mn, Ni, Pb, V and Zn) in soil samples collected close to the station and inside the burnt station's ruins. Soil samples collected 4 years before the fire were used as reference samples for comparative purposes. Principal Component Analysis (PCA) and mu-X-Ray Fluorescence were used as preliminary tools to provide fast and reliable qualitative information about soil pollution. Inductively Coupled Plasma Optical Emission Spectrometry (ICP OES) was chosen for the quantitative determination of the chemical elements under study. A Toxicity Characteristic Leaching Procedure was applied to access the potential mobility of the chemical elements in the environment. We found high pseudototal concentrations of Cu, Pb and Zn in soils collected within the station's ruins reaching the alarming levels of 34,000 +/- 4,000, 13,700 +/- 500 and 42,200 +/- 1,700 mg kg(-1), respectively. A point that deserves a close and special attention is the possible contamination of nearby lakes that supply the station with water, due to the high leachable Pb and Zn concentrations of the contaminated soil. Also, attention should be given to the possible development of melting channels carrying contaminated water to the coastal marine ecosystem. Due to its high risk of contamination, a complete clean-up procedure ought to be carried out, with barriers to avoid leaching/washing, removal of all debris and underlying soil, and careful disposal of the contaminated material, followed by remediation. (C) 2013 Elsevier B.V. All rights reserved.</t>
  </si>
  <si>
    <t>[Bueno Guerra, Marcelo Braga; Neto, Elias Lima; Antunes Prianti, Marcelo Tesser; Goncalves Reynaud Schaefer, Carlos Ernesto] Univ Fed Vicosa, Dept Soil Sci, BR-36570000 Vicosa, MG, Brazil; [Pereira-Filho, Edenir Rodrigues] Univ Fed Sao Carlos, Dept Chem, Grp Appl Instrumental Anal, BR-13565905 Sao Carlos, SP, Brazil</t>
  </si>
  <si>
    <t>Universidade Federal de Vicosa; Universidade Federal de Sao Carlos</t>
  </si>
  <si>
    <t>Pereira, ER (corresponding author), Univ Fed Sao Carlos, Dept Chem, Grp Appl Instrumental Anal, POB 676, BR-13565905 Sao Carlos, SP, Brazil.</t>
  </si>
  <si>
    <t>erpf@ufscar.br</t>
  </si>
  <si>
    <t>Schaefer, Carlos Ernesto/AAY-4977-2020; Guerra, Marcelo B. B./D-3294-2015; Pereira-Filho, Edenir/F-5789-2010; Pereira Filho, Edenir/E-2283-2012</t>
  </si>
  <si>
    <t>Ernesto Goncalves Reynaud Schaefer, Carlos/0000-0001-5735-3227; Pereira Filho, Edenir/0000-0003-0608-0278; Braga Bueno Guerra, Marcelo/0000-0002-0058-2640; Tesser Antunes Prianti, Marcelo/0000-0002-7040-3804; de Lima Neto, Elias/0000-0002-5985-9245; Ernesto Goncalves Reynaud Schaefer, Carlos/0000-0001-7060-1598</t>
  </si>
  <si>
    <t>CNPq (DTI-2 grant) [382189/2012-4]</t>
  </si>
  <si>
    <t>CNPq (DTI-2 grant)</t>
  </si>
  <si>
    <t>The authors are thankful to the Coordenacao de Aperfeicoamento de Pessoal de Nivel Superior (CAPES) for granting a sabbatical leave for Carlos Schaefer (Cambridge), to the Fundacao de Amparo a Pesquisa do Estado de Sao Paulo - FAPESP (process numbers 2008/08260-3 and 2012/16203-5), to the Fundacao de Amparo a Pesquisa do Estado de Minas Gerais - FAPEMIG (process number: 12.070/2009) and to the CNPq (DTI-2 grant, process number: 382189/2012-4). This is a contribution of the INCT da Criosfera. We also would like to thank Dr. Roberto Ferreira Michel for his help during sample collection and to Paula de Freitas Rosa for her assistance during preliminary sample treatments.</t>
  </si>
  <si>
    <t>0026-265X</t>
  </si>
  <si>
    <t>1095-9149</t>
  </si>
  <si>
    <t>MICROCHEM J</t>
  </si>
  <si>
    <t>Microchem J.</t>
  </si>
  <si>
    <t>10.1016/j.microc.2013.01.007</t>
  </si>
  <si>
    <t>250KH</t>
  </si>
  <si>
    <t>WOS:000326851200004</t>
  </si>
  <si>
    <t>Klimenko, VV; Luk'yanova, RY; Klimenko, MV</t>
  </si>
  <si>
    <t>Klimenko, V. V.; Luk'yanova, R. Yu.; Klimenko, M. V.</t>
  </si>
  <si>
    <t>Simulation of the electric field in Earth's ionosphere during a geomagnetic storm</t>
  </si>
  <si>
    <t>RUSSIAN JOURNAL OF PHYSICAL CHEMISTRY B</t>
  </si>
  <si>
    <t>ionosphere; geomagnetic storm; electric field; field-aligned currents; numerical simulations</t>
  </si>
  <si>
    <t>ALIGNED CURRENTS; DISTURBANCE DYNAMO; MODEL; THERMOSPHERE; MAGNETOSPHERE; PROTONOSPHERE; SUBSTORM</t>
  </si>
  <si>
    <t>Previously, a global self-consistent model of the thermosphere, ionosphere, and protonosphere (GSM TIP) was used to study the ionospheric effects of geomagnetic storms in 2005, 2006, 2010, and 2011. In these studies, the input parameters of the model were specified using different dependences of variations of the potential difference across the polar caps and of the spatial distribution of Region 2 field-aligned currents during geomagnetic storms on the geomagnetic activity indices, solar wind parameters, and interplanetary magnetic field parameters. In the present work, we have tried to examine how correct was the choice of these relationships and how faithful are the obtained global distributions of the electric field in the ionosphere. For this, we present the results of a comparative analysis of the electric field in the ionosphere during geomagnetic storms of May 2-3, 2010, obtained using two models (GSM TIP and LC06) based on different approaches to solving this problem.</t>
  </si>
  <si>
    <t>[Klimenko, V. V.; Klimenko, M. V.] Russian Acad Sci, Western Dept, Pushkov Inst Terr Magnetism Ionosphere &amp; Radio Wa, Kaliningrad, Russia; [Luk'yanova, R. Yu.] Arctic &amp; Antarctic Res Inst, St Petersburg 199226, Russia; [Luk'yanova, R. Yu.] Russian Acad Sci, Inst Space Res, Moscow V71, Russia</t>
  </si>
  <si>
    <t>Russian Academy of Sciences; Pushkov Institute of Terrestrial Magnetism, Ionosphere &amp; Radio Wave Propagation; Arctic &amp; Antarctic Research Institute; Russian Academy of Sciences; Space Research Institute of the Russian Academy of Sciences</t>
  </si>
  <si>
    <t>Klimenko, VV (corresponding author), Russian Acad Sci, Western Dept, Pushkov Inst Terr Magnetism Ionosphere &amp; Radio Wa, Kaliningrad, Russia.</t>
  </si>
  <si>
    <t>maksim.klimenko@mail.ru</t>
  </si>
  <si>
    <t>Lukianova, Renata/K-3293-2012; Klimenko, Maxim/N-4792-2016</t>
  </si>
  <si>
    <t>Lukianova, Renata/0000-0003-2343-9174; Klimenko, Maxim/0000-0002-7103-6612; Klimenko, Vladimir/0000-0003-0026-7234</t>
  </si>
  <si>
    <t>Russian Foundation for Basic Research [12-05-31217]; Presidium of the Russian Academy of Sciences [22]</t>
  </si>
  <si>
    <t>Russian Foundation for Basic Research(Russian Foundation for Basic Research (RFBR)Spanish Government); Presidium of the Russian Academy of Sciences(Russian Academy of Sciences)</t>
  </si>
  <si>
    <t>This work was supported by the Russian Foundation for Basic Research, project no. 12-05-31217 and the Presidium of the Russian Academy of Sciences (Fundamental Research Program no. 22).</t>
  </si>
  <si>
    <t>1990-7931</t>
  </si>
  <si>
    <t>1990-7923</t>
  </si>
  <si>
    <t>RUSS J PHYS CHEM B+</t>
  </si>
  <si>
    <t>Russ. J. Phys. Chem. B</t>
  </si>
  <si>
    <t>10.1134/S1990793113050205</t>
  </si>
  <si>
    <t>Physics, Atomic, Molecular &amp; Chemical</t>
  </si>
  <si>
    <t>248NE</t>
  </si>
  <si>
    <t>WOS:000326706300016</t>
  </si>
  <si>
    <t>Fukuda, W; Kimura, T; Araki, S; Miyoshi, Y; Atomi, H; Imanaka, T</t>
  </si>
  <si>
    <t>Fukuda, Wakao; Kimura, Tomomi; Araki, Shigeo; Miyoshi, Yuki; Atomi, Haruyuki; Imanaka, Tadayuki</t>
  </si>
  <si>
    <t>Lysobacter oligotrophicus sp nov., isolated from an Antarctic freshwater lake in Antarctica</t>
  </si>
  <si>
    <t>GEN. NOV.; SOIL; ALIGNMENT; BACTERIA; ACID</t>
  </si>
  <si>
    <t>A Gram-stain-negative, non-spore-forming, rod-shaped, aerobic bacterium (strain 107-E2(T)) was isolated from freshwater samples containing microbial mats collected at a lake in Skarvsnes, Antarctica (temporary lake name, Lake Tanago Ike). Strain 107-E2(T) grew between 5 and 25 degrees C, with an optimum of 23 degrees C. Moreover, colony formation was observed on agar media even at -5 degrees C. The pH range for growth was between 6.0 and 9.0, with an optimum of pH 7.0-8.0. The range of NaCl concentration for growth was between 0.0 and 0.5% (w/v), with an optimum of 0.0%. No growth was observed in media containing organic compounds at high concentrations, which indicated that strain 107-E2(T) was an oligotroph. In the late stationary phase, strain 107-E2(T) produced a dark brown water-soluble pigment. Esterase, amylase and protease production was observed. Antimicrobial-lytic activities for Gram-negative bacteria and yeast were observed. Ubiquinone-8 was the major respiratory quinone. The major fatty acids were iso-C-15:0, iso-C-17:1 omega 9c and iso-C-15:1 at 5. The G+C content of genomic DNA was 66.1 mol%. Analysis of the 16S rRNA gene sequences revealed that strain 107-E2(T) belonged to the genus Lysobacter, and low DNA-DNA relatedness values with closely related species distinguished strain 107-E2(T) from recognized species of the genus Lysobacter. The phylogenetic situation and physiological characteristics indicated that strain 107-E2(T) should be classified as a representative of a novel species of the genus Lysobacter, for which the name Lysobacter oligotrophicus sp. nov. is proposed. The type strain is 107-E2(T) (=JCM 18257(T)=ATCC BAA-2438(T)).</t>
  </si>
  <si>
    <t>[Fukuda, Wakao; Kimura, Tomomi; Araki, Shigeo; Imanaka, Tadayuki] Ritsumeikan Univ, Coll Life Sci, Dept Biotechnol, Kusatsu, Shiga 5258577, Japan; [Miyoshi, Yuki; Atomi, Haruyuki] Kyoto Univ, Grad Sch Engn, Dept Synthet Chem &amp; Biol Chem, Nishikyo Ku, Kyoto 6158510, Japan</t>
  </si>
  <si>
    <t>Ritsumeikan University; Kyoto University</t>
  </si>
  <si>
    <t>Imanaka, T (corresponding author), Ritsumeikan Univ, Coll Life Sci, Dept Biotechnol, 1-1-1 Nojihigashi, Kusatsu, Shiga 5258577, Japan.</t>
  </si>
  <si>
    <t>imanaka@sk.ritsumei.ac.jp</t>
  </si>
  <si>
    <t>Atomi, Haruyuki/0000-0001-9687-6426</t>
  </si>
  <si>
    <t>JSPS KAKENHI [19205022, 23657068]; Grants-in-Aid for Scientific Research [23657068, 19205022] Funding Source: KAKEN</t>
  </si>
  <si>
    <t>JSPS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</si>
  <si>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The authors would like to express their sincere thanks to all members concerned to the 46th Japanese Antarctic Research Expedition. This study was supported by JSPS KAKENHI (19205022 and 23657068).</t>
  </si>
  <si>
    <t>CHARLES DARWIN HOUSE, 12 ROGER ST, LONDON WC1N 2JU, ERKS, ENGLAND</t>
  </si>
  <si>
    <t>10.1099/ijs.0.051805-0</t>
  </si>
  <si>
    <t>244YM</t>
  </si>
  <si>
    <t>WOS:000326426100030</t>
  </si>
  <si>
    <t>Wu, YH; Yu, PS; Zhou, YD; Xu, L; Wang, CS; Wu, M; Oren, A; Xu, XW</t>
  </si>
  <si>
    <t>Wu, Yue-Hong; Yu, Pei-Song; Zhou, Ya-Dong; Xu, Lin; Wang, Chun-Sheng; Wu, Min; Oren, Aharon; Xu, Xue-Wei</t>
  </si>
  <si>
    <t>Muricauda antarctica sp nov., a marine member of the Flavobacteriaceae isolated from Antarctic seawater</t>
  </si>
  <si>
    <t>FLAVESCENS SP-NOV; EMENDED DESCRIPTION; DEOXYRIBONUCLEIC-ACID; DNA HYBRIDIZATION; TIDAL FLAT; SALT LAKE; SEA</t>
  </si>
  <si>
    <t>A Gram-stain-negative, rod-shaped bacterium with appendages, designated Ar-22(T), was isolated from a seawater sample collected from the western part of Prydz Bay, near Cape Darnley, Antarctica. Strain Ar-22(T) grew optimally at 35 degrees C, at pH 7.5 and in the presence of 1-3% (w/v) NaCl. The isolate was positive for casein, gelatin and Tween 20 decomposition and negative for H2S production and indole formation. Chemotaxonomic analysis showed that MK-6 was the major isoprenoid quinone and phosphatidylethanolamine was the major polar lipid. The major fatty acids were iso-C-17:0 3-OH, iso-C-15:1 G, iso-C-15:0 and C-16:1 omega 7c/iso-C-15:0 2OH. The genomic DNA G+C content was 44.8 mol%. Comparative 16S rRNA gene sequence analysis revealed that strain Ar-22(T) is closely related to members of the genus Muricauda, sharing 94.2-97.3% sequence similarity with the type strains of species of the genus Muricauda and being most closely related to the Muricauda aquimarina. Phylogenetic analysis based on the 16S rRNA gene sequence comparison confirmed that strain Ar-22(T) formed a deep lineage with Muricauda flavescens. Sequence similarity between strain Ar-22(T) and Muricauda ruestringensis DSM 13258(T), the type species of the genus Muricauda, was 96.9%. Strain Ar-22(T) exhibited mean DNA-DNA relatedness values of 40.1%, 49.4% and 25.7% to M. aquimarina JCM 11811(T), M. flavescens JCM 11812(T) and Muricauda lutimaris KCTC 22173(T), respectively. On the basis of phenotypic and genotypic data, strain Ar-22(T) represents a novel species of the genus Muricauda, for which the name Muricauda antarctica sp. nov. (type strain Ar-22(T)=CGMCC 1.12174(T)=JCM 18450(T)) is proposed.</t>
  </si>
  <si>
    <t>[Wu, Yue-Hong; Yu, Pei-Song; Zhou, Ya-Dong; Xu, Lin; Wang, Chun-Sheng; Xu, Xue-Wei] State Ocean Adm, Lab Marine Ecosyst &amp; Biogeochem, Hangzhou 310012, Zhejiang, Peoples R China; [Wu, Yue-Hong; Yu, Pei-Song; Zhou, Ya-Dong; Xu, Lin; Wang, Chun-Sheng; Xu, Xue-Wei] State Ocean Adm, Inst Oceanog 2, Hangzhou 310012, Zhejiang, Peoples R China; [Wu, Min] Zhejiang Univ, Coll Life Sci, Hangzhou 310058, Zhejiang, Peoples R China; [Oren, Aharon] Hebrew Univ Jerusalem, Inst Life Sci, IL-91904 Jerusalem, Israel</t>
  </si>
  <si>
    <t>Zhejiang University; Hebrew University of Jerusalem</t>
  </si>
  <si>
    <t>Xu, XW (corresponding author), State Ocean Adm, Lab Marine Ecosyst &amp; Biogeochem, Hangzhou 310012, Zhejiang, Peoples R China.</t>
  </si>
  <si>
    <t>xuxw@sio.org.cn</t>
  </si>
  <si>
    <t>Wang, Chunsheng/GLR-4364-2022; Wang, Jin/GYA-2019-2022; Oren, Aharon/JOZ-0901-2023; xu, xuewei/J-9219-2013</t>
  </si>
  <si>
    <t>Wang, Chunsheng/0000-0001-5927-0804; Oren, Aharon/0000-0002-5828-0995;</t>
  </si>
  <si>
    <t>Polar Science Strategic Research Foundation of China; Key Laboratory Open Foundation of Polar Science, State Oceanic Administration [20100216]; Public Science and Technology Research Funds Projects of Ocean [201005032-3]; Scientific Research Fund of the Second Institute of Oceanography, State Oceanic Administration [JT1011]</t>
  </si>
  <si>
    <t>Polar Science Strategic Research Foundation of China; Key Laboratory Open Foundation of Polar Science, State Oceanic Administration; Public Science and Technology Research Funds Projects of Ocean; Scientific Research Fund of the Second Institute of Oceanography, State Oceanic Administration</t>
  </si>
  <si>
    <t>This work was supported by grants from the Polar Science Strategic Research Foundation of China and the Key Laboratory Open Foundation of Polar Science, State Oceanic Administration (20100216), the Public Science and Technology Research Funds Projects of Ocean (201005032-3) and the Scientific Research Fund of the Second Institute of Oceanography, State Oceanic Administration (JT1011).</t>
  </si>
  <si>
    <t>10.1099/ijs.0.048355-0</t>
  </si>
  <si>
    <t>WOS:000326426100050</t>
  </si>
  <si>
    <t>Dadic, R; Mullen, PC; Schneebeli, M; Brandt, RE; Warren, SG</t>
  </si>
  <si>
    <t>Dadic, Ruzica; Mullen, Peter C.; Schneebeli, Martin; Brandt, Richard E.; Warren, Stephen G.</t>
  </si>
  <si>
    <t>Effects of bubbles, cracks, and volcanic tephra on the spectral albedo of bare ice near the Transantarctic Mountains: Implications for sea glaciers on Snowball Earth</t>
  </si>
  <si>
    <t>albedo; blue ice; Snowball Earth; radiative transfer modeling; snow; ice morphology; Antarctica</t>
  </si>
  <si>
    <t>INDEPENDENT SPHERES; SOLAR-RADIATION; BLUE-ICE; FIRN-DENSIFICATION; OPTICAL-PROPERTIES; ANTARCTIC SNOW; SURFACE-AREA; AIR BUBBLES; ABSORPTION; CLIMATE</t>
  </si>
  <si>
    <t>Spectral albedo was measured along a 6km transect near the Allan Hills in East Antarctica. The transect traversed the sequence from new snow through old snow, firn, and white ice, to blue ice, showing a systematic progression of decreasing albedo at all wavelengths, as well as decreasing specific surface area (SSA) and increasing density. Broadband albedos under clear-sky range from 0.80 for snow to 0.57 for blue ice, and from 0.87 to 0.65 under cloud. Both air bubbles and cracks scatter sunlight; their contributions to SSA were determined by microcomputed tomography on core samples of the ice. Although albedo is governed primarily by the SSA (and secondarily by the shape) of bubbles or snow grains, albedo also correlates highly with porosity, which, as a proxy variable, would be easier for ice sheet models to predict than bubble sizes. Albedo parameterizations are therefore developed as a function of density for three broad wavelength bands commonly used in general circulation models: visible, near-infrared, and total solar. Relevance to Snowball Earth events derives from the likelihood that sublimation of equatorward-flowing sea glaciers during those events progressively exposed the same sequence of surface materials that we measured at Allan Hills, with our short 6km transect representing a transect across many degrees of latitude on the Snowball ocean. At the equator of Snowball Earth, climate models predict thick ice, or thin ice, or open water, depending largely on their albedo parameterizations; our measured albedos appear to be within the range that favors ice hundreds of meters thick.</t>
  </si>
  <si>
    <t>[Dadic, Ruzica] Victoria Univ Wellington, Antarctic Res Ctr, Wellington, New Zealand; [Mullen, Peter C.; Brandt, Richard E.; Warren, Stephen G.] Univ Washington, Dept Atmospher Sci, Seattle, WA 98195 USA; [Schneebeli, Martin] SLF, WSL Inst Snow &amp; Avalanche Res, Davos, Switzerland; [Brandt, Richard E.] SUNY Albany, Atmospher Sci Res Ctr, Albany, NY 12222 USA; [Warren, Stephen G.] Univ Washington, Astrobiol Program, Seattle, WA 98195 USA</t>
  </si>
  <si>
    <t>Victoria University Wellington; University of Washington; University of Washington Seattle; Swiss Federal Institutes of Technology Domain; Swiss Federal Institute for Forest, Snow &amp; Landscape Research; State University of New York (SUNY) System; State University of New York (SUNY) Albany; University of Washington; University of Washington Seattle</t>
  </si>
  <si>
    <t>Dadic, Ruzica/O-4458-2019; Schneebeli, Martin/B-1063-2008</t>
  </si>
  <si>
    <t>Schneebeli, Martin/0000-0003-2872-4409; Dadic, Ruzica/0000-0003-1303-1896</t>
  </si>
  <si>
    <t>U.S. NSF [ANT-07-39779, ANT-11-42963]; Swiss National Science Foundation [124273]; Directorate For Geosciences; Office of Polar Programs (OPP) [1142963] Funding Source: National Science Foundation</t>
  </si>
  <si>
    <t>U.S. NSF(National Science Foundation (NSF)); Swiss National Science Foundation(Swiss National Science Foundation (SNSF)); Directorate For Geosciences; Office of Polar Programs (OPP)(National Science Foundation (NSF)NSF - Directorate for Geosciences (GEO))</t>
  </si>
  <si>
    <t>We thank John Schutt and Andrei Kurbatov for advice on locating our field camp. In the field, we benefited from the experience of the Kurbatov group, whose camp was nearby, and they provided an ice sample from 10 m depth for our analysis. Melanie Fitzpatrick organized the logistics, and both she and Regina Carns participated in the fieldwork and discussions about the measurements. Logistical support by the U.S. Antarctic Program was excellent. We thank Sarah Doherty for measuring the absorption spectrum of the volcanic ash samples, Dean Hegg for instructions on the use of his electrobalance for weighing the filters, Matthias Jaggi and Margret Matzl for their help with the micro-CT measurements and data evaluation, Fabienne Riche for her help with stereology and Huw Horgan for numerous discussions about bubbles. This research was supported by U.S. NSF grants ANT-07-39779 and ANT-11-42963. Ruzica Dadic was supported by a postdoctoral fellowship from the Swiss National Science Foundation (Project 124273).</t>
  </si>
  <si>
    <t>10.1002/jgrf.20098</t>
  </si>
  <si>
    <t>238VC</t>
  </si>
  <si>
    <t>WOS:000325978500032</t>
  </si>
  <si>
    <t>Bhatia, A; Pal, R</t>
  </si>
  <si>
    <t>Bhatia, Abhijeet; Pal, Ranabir</t>
  </si>
  <si>
    <t>Impact of Antarctica winters on vital parameters and anthropometric variables (vol 3, pg 170, 2013)</t>
  </si>
  <si>
    <t>TRAVEL MEDICINE AND INFECTIOUS DISEASE</t>
  </si>
  <si>
    <t>[Bhatia, Abhijeet] Natl Ctr Antarctic &amp; Ocean Res, Vasco Da Gama, Goa, India; [Pal, Ranabir] Sikkim Manipal Inst Med Sci, Dept Community Med, Gangtok, India</t>
  </si>
  <si>
    <t>Ministry of Earth Sciences (MoES) - India; National Centre for Polar and Ocean Research (NCPOR); Sikkim Manipal University</t>
  </si>
  <si>
    <t>Bhatia, A (corresponding author), Natl Ctr Antarctic &amp; Ocean Res, Vasco Da Gama, Goa, India.</t>
  </si>
  <si>
    <t>mediquest@aol.com</t>
  </si>
  <si>
    <t>Pal, Ranabir/M-6693-2013; PAL, RANABIR/HKV-0556-2023</t>
  </si>
  <si>
    <t>PAL, RANABIR/0000-0002-8602-0162</t>
  </si>
  <si>
    <t>1477-8939</t>
  </si>
  <si>
    <t>1873-0442</t>
  </si>
  <si>
    <t>TRAVEL MED INFECT DI</t>
  </si>
  <si>
    <t>Travel Med. Infect. Dis.</t>
  </si>
  <si>
    <t>10.1016/j.tmaid.2013.06.006</t>
  </si>
  <si>
    <t>Public, Environmental &amp; Occupational Health; Infectious Diseases</t>
  </si>
  <si>
    <t>245BG</t>
  </si>
  <si>
    <t>WOS:000326433300014</t>
  </si>
  <si>
    <t>Bouilloux, A; Valet, JP; Bassinot, F; Joron, JL; Blanc-Valleron, MM; Moreno, E; Dewilde, F; Kars, M; Lagroix, F</t>
  </si>
  <si>
    <t>Bouilloux, Alexandra; Valet, Jean-Pierre; Bassinot, Franck; Joron, Jean-Louis; Blanc-Valleron, Marie-Madeleine; Moreno, Eva; Dewilde, Fabien; Kars, Myriam; Lagroix, France</t>
  </si>
  <si>
    <t>Diagenetic modulation of the magnetic properties in sediments from the Northern Indian Ocean</t>
  </si>
  <si>
    <t>paleomagnetism; paleoenvironment; goethite; magnetite; Indian ocean</t>
  </si>
  <si>
    <t>DEEP-SEA SEDIMENTS; EASTERN EQUATORIAL ATLANTIC; MARINE-SEDIMENTS; ARABIAN SEA; PACIFIC-OCEAN; ABYSSAL-PLAIN; CLIMATE; IRON; SCALE; CORE</t>
  </si>
  <si>
    <t>Large changes in magnetic mineral concentration dependent parameters by more than 1 order of magnitude occur over 50-150 cm intervals in two marine sediment cores from the oxygen minimum zone in the Gulf of Aden. High-resolution sedimentological and chemical analyses indicate that these intervals are not associated with turbiditic events or sediment reworking, they do not result from changes in carbonate dilution or differences in sediment properties, and they do not correspond to volcanic layers. Magnetic mineralogical analyses reveal a change in magnetic mineral concentration from a magnetite-goethite assemblage to pure magnetite within the peak. The peaks almost disappear when the abundance of magnetic minerals is calculated after correcting for the magnetic moments of each magnetic mineral. Therefore, under the assumption that the variability of the magnetic parameters results from postdepositional mineralogical transformations, a relatively constant amount of magnetite was present at the surface of the sediment. Changes in redox conditions and nonsteady state diagenesis transformations have effectively been observed along both cores. Large values of total organic carbon coincide with poor preservation of biogenic and detrital magnetite, which reflects reductive dissolution of the finer magnetite grains. At the same levels, Fe2+ release from reductively dissolved magnetite favored precipitation of goethite. The susceptibility peaks coincide with episodes of magnetite preservation caused by reduced surface productivity and/or enhanced bottom-water ventilation accompanying northward extension of Glacial Antarctic Intermediate Water into the Indian Ocean.</t>
  </si>
  <si>
    <t>[Bouilloux, Alexandra; Valet, Jean-Pierre; Joron, Jean-Louis; Lagroix, France] Univ Paris Diderot, Inst Phys Globe Paris, Sorbonne Paris Cite, UMR CNRS 7154, FR-75238 Paris 05, France; [Bassinot, Franck; Dewilde, Fabien] Lab Sci Climat &amp; Environm CEA CNRS UVSQ, Domaine CNRS, Gif Sur Yvette, France; [Joron, Jean-Louis] CEA Saclay, Lab Pierre Sue, F-91191 Gif Sur Yvette, France; [Blanc-Valleron, Marie-Madeleine; Moreno, Eva] Museum Natl Hist Nat, UMR CNRS 7207, F-75231 Paris, France; [Kars, Myriam] Univ Montpellier 2, Geosci Montpellier UMR 5243, Montpellier, France</t>
  </si>
  <si>
    <t>Universite Paris Cite; CEA; Centre National de la Recherche Scientifique (CNRS); Universite Paris Saclay; CEA; Universite Paris Saclay; Museum National d'Histoire Naturelle (MNHN); Sorbonne Universite; Centre National de la Recherche Scientifique (CNRS); CNRS - National Institute for Earth Sciences &amp; Astronomy (INSU); Universite de Montpellier</t>
  </si>
  <si>
    <t>Bouilloux, A (corresponding author), Univ Paris Diderot, Inst Phys Globe Paris, Sorbonne Paris Cite, UMR CNRS 7154, 1 Rue Jussieu, FR-75238 Paris 05, France.</t>
  </si>
  <si>
    <t>valet@ipgp.fr</t>
  </si>
  <si>
    <t>Lagroix, France/A-6112-2011; BLANC-VALLERON, Marie-Madeleine/A-7460-2011; Valet, Jean-Pierre/A-6332-2011; Moreno, Eva/AAV-1161-2020</t>
  </si>
  <si>
    <t>Lagroix, France/0000-0003-2873-2767; Moreno, Eva/0000-0002-2951-5265; Kars, Myriam/0000-0002-4984-1412; Blanc-Valleron, Marie-Madeleine/0000-0001-5178-5985</t>
  </si>
  <si>
    <t>MAG-ORB program from the French Agence Nationale de la Recherche [ANR-09-BLAN-0053-01]; Agence Nationale de la Recherche (ANR) [ANR-09-BLAN-0053] Funding Source: Agence Nationale de la Recherche (ANR)</t>
  </si>
  <si>
    <t>MAG-ORB program from the French Agence Nationale de la Recherche(Agence Nationale de la Recherche (ANR)); Agence Nationale de la Recherche (ANR)(Agence Nationale de la Recherche (ANR))</t>
  </si>
  <si>
    <t>The authors are pleased to acknowledge A.M Brunet (MNHN) for carbonate analyses, I. Esteve and J.Li (UPMC) for SEM and HRTEM observations and F. Baudin (UPMC) for his help concerning the TOC measurements. Andy Roberts generously improved the manuscript and provided helpful comments with another anonymous reviewer. This work was supported by the MAG-ORB program (ANR-09-BLAN-0053-01) from the French Agence Nationale de la Recherche. This is IPGP contribution 3412 and LSCE contribution 5033.</t>
  </si>
  <si>
    <t>10.1002/ggge.20234</t>
  </si>
  <si>
    <t>242MZ</t>
  </si>
  <si>
    <t>Bronze, Green Published, Green Submitted</t>
  </si>
  <si>
    <t>WOS:000326247700028</t>
  </si>
  <si>
    <t>Goubanova, K; Illig, S; Machu, E; Garçon, V; Dewitte, B</t>
  </si>
  <si>
    <t>Goubanova, Katerina; Illig, Serena; Machu, Eric; Garcon, Veronique; Dewitte, Boris</t>
  </si>
  <si>
    <t>SST subseasonal variability in the central Benguela upwelling system as inferred from satellite observations (1999-2009)</t>
  </si>
  <si>
    <t>Benguela upwelling; satellite observations; intraseasonal variability; wind-SST relationship; mean vertical stratification; Antarctic oscillation</t>
  </si>
  <si>
    <t>SEA-SURFACE TEMPERATURE; INTRASEASONAL VARIABILITY; ANTARCTIC OSCILLATION; EQUATORIAL ATLANTIC; SEASONAL CYCLE; FRONTAL ZONE; OCEAN; DYNAMICS; PACIFIC; LEVEL</t>
  </si>
  <si>
    <t>Subseasonal variability of Sea Surface Temperature (SST) in the central Benguela upwelling system is investigated using TMI satellite-derived data over the period 1999-2009. Spatial patterns and time-frequency characteristics of subseasonal variability are documented based on Empirical Orthogonal Functions (EOF) decomposition and wavelet analysis. Despite the land contamination of the TMI satellite data within approximately 100 km off the coast the first EOF of SST anomalies allows characterizing the coastal upwelling variability at the subseasonal scale. Two regimes of variability are evidenced: a submonthly (2-30 days) regime with a dominant 11 days oscillation and a lower frequency intraseasonal (30-90 days) regime with a dominant 61 days oscillation. Both regimes are modulated, to a large extent, by the local surface wind stress and are consistent with Ekman dynamics. The seasonality of the relationship between wind stress and SST for submonthly (intraseasonal) regime is characterized by a marked semiannual (annual) cycle, which is explained in terms of the impact of seasonal change of the upper ocean stratification on the vertical advection process. The wind-driven SST subseasonal variability is shown to be associated with eastward propagating disturbances in the midlatitudes corresponding to a wave number 4. The results also suggest an important role of the Antarctic Oscillation in modulating the intraseasonal wind-driven SST variability. The characteristics of the equatorial intraseasonal Kelvin waves are documented in order to discuss possible impact of remote oceanic forcing on SST variability along the coast in the Benguela upwelling system.</t>
  </si>
  <si>
    <t>[Goubanova, Katerina; Illig, Serena; Garcon, Veronique; Dewitte, Boris] CNRS IRD UPS CNES, Lab Etud Geophys &amp; Oceanog Spatiales, FR-31400 Toulouse, France; [Machu, Eric] CNRS Ifremer IRD UBO, UMR6523, Lab Phys Oceans, Paris, France</t>
  </si>
  <si>
    <t>Universite de Toulouse; Universite Toulouse III - Paul Sabatier; Centre National de la Recherche Scientifique (CNRS); Institut de Recherche pour le Developpement (IRD); Laboratoire d'Etudes en Geophysique et oceanographie spatiales; Centre National de la Recherche Scientifique (CNRS); CNRS - National Institute for Earth Sciences &amp; Astronomy (INSU); Ifremer; Institut de Recherche pour le Developpement (IRD)</t>
  </si>
  <si>
    <t>Goubanova, K (corresponding author), CNRS IRD UPS CNES, Lab Etud Geophys &amp; Oceanog Spatiales, 14 Ave, FR-31400 Toulouse, France.</t>
  </si>
  <si>
    <t>katerina.goubanova@legos.obs-mip.fr</t>
  </si>
  <si>
    <t>Dewitte, Boris/S-4909-2019; Machu, Eric/L-2572-2016; Dewitte, Boris/F-5132-2015; Illig, Serena/F-5058-2018</t>
  </si>
  <si>
    <t>Dewitte, Boris/0000-0003-3817-8691; Illig, Serena/0000-0001-5490-3326; Goubanova, Katerina/0009-0002-2143-0352</t>
  </si>
  <si>
    <t>NASA Earth Science MEaSUREs DISCOVER Project; CNES (Centre National d'Etudes Spatiales, France) (OSTST project EBUS-SOUTH); ESA (The European Space Agency) (project Ocean-Flux); CNES; IRD (Institut de Recherche pour le Developpement, France)</t>
  </si>
  <si>
    <t>NASA Earth Science MEaSUREs DISCOVER Project; CNES (Centre National d'Etudes Spatiales, France) (OSTST project EBUS-SOUTH); ESA (The European Space Agency) (project Ocean-Flux); CNES(Centre National D'etudes Spatiales); IRD (Institut de Recherche pour le Developpement, France)</t>
  </si>
  <si>
    <t>The authors wish to acknowledge use of the Ferret program (http://ferret.pmel.noaa.gov) for analysis and graphics in this paper. Ferret is a product of NOAA's Pacific Marine Environmental Laboratory. TMI data are produced by Remote Sensing Systems and sponsored by the NASA Earth Science MEaSUREs DISCOVER Project. Wind stress data were obtained from the Centre de Recherche et d'Exploitation Satellitaire (CERSAT), at IFREMER, Plouzane (France). We thank the CNES (Centre National d'Etudes Spatiales, France) (OSTST project EBUS-SOUTH) and ESA (The European Space Agency) (project Ocean-Flux) for financial support. Katerina Goubanova was supported by post-doctoral fellowships from CNES and IRD (Institut de Recherche pour le Developpement, France). We thank Isabelle Dadou and Bruno Michon for stimulating discussions. The three anonymous reviewers are also thanked for their constructive comments.</t>
  </si>
  <si>
    <t>10.1002/jgrc.20287</t>
  </si>
  <si>
    <t>242HQ</t>
  </si>
  <si>
    <t>WOS:000326230200007</t>
  </si>
  <si>
    <t>Johnson, GC; Chambers, DP</t>
  </si>
  <si>
    <t>Johnson, Gregory C.; Chambers, Don P.</t>
  </si>
  <si>
    <t>Ocean bottom pressure seasonal cycles and decadal trends from GRACE Release-05: Ocean circulation implications</t>
  </si>
  <si>
    <t>ocean general circulation; seasonal cycle; sea level variability; sea level trends; ocean mass variability; GRACE</t>
  </si>
  <si>
    <t>SEA-LEVEL VARIATIONS; SOUTHERN-OCEAN; NORTH PACIFIC; GLOBAL OCEAN; MODEL; VARIABILITY; FLUCTUATIONS; EXTENSION; ENSO</t>
  </si>
  <si>
    <t>Ocean mass variations are important for diagnosing sea level budgets, the hydrological cycle, the global energy budget, and ocean circulation variability. Here seasonal cycles and decadal trends of ocean mass from January 2003 to December 2012, both global and regional, are analyzed using GRACE Release-05 data. The trend of global flux of mass into the ocean approaches 2 cm decade(-1) in equivalent sea level rise. Regional trends are of similar magnitude, with the North Pacific, South Atlantic, and South Indian oceans generally gaining mass and other regions losing mass. These trends suggest a spin-down of the North Pacific western boundary current extension and the Antarctic Circumpolar Current in the South Atlantic and South Indian oceans. The global average seasonal cycle of ocean mass is about 1 cm in amplitude, with a maximum in early October and volume fluxes in and out of the ocean reaching 0.5 Sv (1 Sv=1 x 10(6) m(3) s(-1)) when integrated over the area analyzed here. Regional patterns of seasonal ocean mass change have typical amplitudes of 1-4 cm, and include maxima in the subtropics and minima in the subpolar regions in hemispheric winters. The subtropical mass gains and subpolar mass losses in the winter spin-up both subtropical and subpolar gyres, hence the western boundary current extensions. Seasonal variations in these currents are order 10 Sv, but since the associated depth-averaged current variations are only order 0.1 cm s(-1), they would be difficult to detect using in situ oceanographic instruments.</t>
  </si>
  <si>
    <t>[Johnson, Gregory C.] NOAA, Pacific Marine Environm Lab, Seattle, WA 98115 USA; [Chambers, Don P.] Univ S Florida, Coll Marine Sci, St Petersburg, FL 33701 USA</t>
  </si>
  <si>
    <t>National Oceanic Atmospheric Admin (NOAA) - USA; State University System of Florida; University of South Florida</t>
  </si>
  <si>
    <t>Johnson, GC (corresponding author), NOAA, Pacific Marine Environm Lab, 7600 Sand Point Way NE Bldg 3, Seattle, WA 98115 USA.</t>
  </si>
  <si>
    <t>gregory.c.johnson@noaa.gov</t>
  </si>
  <si>
    <t>Johnson, Gregory C/I-6559-2012</t>
  </si>
  <si>
    <t>Johnson, Gregory C/0000-0002-8023-4020; Chambers, Don/0000-0002-5439-0257</t>
  </si>
  <si>
    <t>NOAA Research; NOAA Climate Program Office; NASA [NNX12AL28G]</t>
  </si>
  <si>
    <t>NOAA Research(National Oceanic Atmospheric Admin (NOAA) - USA); NOAA Climate Program Office(National Oceanic Atmospheric Admin (NOAA) - USA); NASA(National Aeronautics &amp; Space Administration (NASA))</t>
  </si>
  <si>
    <t>NOAA Research and the NOAA Climate Program Office funded G.C.J. and NASA funded D. P. C. through grant NNX12AL28G. GRACE ocean data were processed by DPC, supported by the NASA MEASURES Program, and are available at http://grace.-jpl.nasa.gov. Three anonymous reviewers provided thoughtful comments that improved the manuscript. PMEL publication 3999.</t>
  </si>
  <si>
    <t>10.1002/jgrc.20307</t>
  </si>
  <si>
    <t>WOS:000326230200016</t>
  </si>
  <si>
    <t>Jensen, MF; Fer, I; Darelius, E</t>
  </si>
  <si>
    <t>Jensen, Mari F.; Fer, Ilker; Darelius, Elin</t>
  </si>
  <si>
    <t>Low frequency variability on the continental slope of the southern Weddell Sea</t>
  </si>
  <si>
    <t>coastal-trapped waves; Weddell Sea</t>
  </si>
  <si>
    <t>COASTAL-TRAPPED WAVES; SHELF WAVES; CIRCULATION; WATER; EXCHANGE; OVERFLOW; CURRENTS</t>
  </si>
  <si>
    <t>One-year long records of temperature, salinity, and currents show seasonally varying, energetic oscillations with a dominant period of approximately 35 h on the upper continental slope of the southern Weddell Sea. The data set is sampled by five moorings deployed on the slope of the Crary Fan, east of the main outflow site of the Filchner overflow plume. The characteristics of the observed oscillations are compared to idealized coastal trapped waves inferred from a numerical code. The variability at 35 h period is identified as mode 1 waves with wavelengths less than 200 km and group velocity opposing the phase speed, indicating energy propagation toward east. Filchner Depression and the nearby ridges on the slope are suggested as the generation site where the dynamics associated with the overflow plume can force the variability. Historical time series at the overflow site are revisited to identify the source of previously reported variability at 3 and 6 day time scales. Mode 2 waves at wavelengths of about 100 and 1000 km were found to bear resemblance to the 3 day and 6 day variability, respectively. The seasonal variation in the energy in the 35 h band shows small but significant correlation with the low frequency easterly winds. The presence of coastal trapped waves along the continental slope of the Weddell Sea can increase the heat exchange across the shelf break and affect the dense water production rates.</t>
  </si>
  <si>
    <t>[Jensen, Mari F.; Fer, Ilker; Darelius, Elin] Univ Bergen, Inst Geophys, NO-5007 Bergen, Norway</t>
  </si>
  <si>
    <t>University of Bergen</t>
  </si>
  <si>
    <t>Fer, I (corresponding author), Univ Bergen, Inst Geophys, Allegaten 70, NO-5007 Bergen, Norway.</t>
  </si>
  <si>
    <t>Ilker.Fer@gfi.uib.no</t>
  </si>
  <si>
    <t>Fer, Ilker/C-7820-2012; Darelius, Elin/O-4096-2015</t>
  </si>
  <si>
    <t>Fer, Ilker/0000-0002-2427-2532; Jensen, Mari F./0000-0002-0344-1827; Darelius, Elin/0000-0003-3060-0317</t>
  </si>
  <si>
    <t>Research Council of Norway, NARE program, under the project Antarctic Ice Shelves and Ocean Climate''</t>
  </si>
  <si>
    <t>Research Council of Norway, NARE program, under the project Antarctic Ice Shelves and Ocean Climate''(Research Council of Norway)</t>
  </si>
  <si>
    <t>This study was funded by the Research Council of Norway, NARE program, under the project Antarctic Ice Shelves and Ocean Climate.'' We thank K. Brink for providing the numerical code, and British Antarctic Survey for providing the wind data from Halley. Two anonymous reviewers have provided valuable comments that greatly improved the manuscript.</t>
  </si>
  <si>
    <t>10.1002/jgrc.20309</t>
  </si>
  <si>
    <t>WOS:000326230200018</t>
  </si>
  <si>
    <t>Stephenson, GR; Gille, ST; Sprintall, J</t>
  </si>
  <si>
    <t>Stephenson, Gordon R., Jr.; Gille, Sarah T.; Sprintall, Janet</t>
  </si>
  <si>
    <t>Processes controlling upper-ocean heat content in Drake Passage</t>
  </si>
  <si>
    <t>Antarctic circumpolar current; Southern Ocean; heat; temperature; variability; eddies</t>
  </si>
  <si>
    <t>ANTARCTIC CIRCUMPOLAR CURRENT; NINO-SOUTHERN-OSCILLATION; HEMISPHERE ANNULAR MODE; SEA-ICE EXTENT; EL-NINO; INTERANNUAL VARIABILITY; CLIMATE-CHANGE; TEMPERATURE; WIND; CIRCULATION</t>
  </si>
  <si>
    <t>A 16 year record of expendable bathythermograph transects across Drake Passage is used to examine variability in upper-ocean heat content that is not associated with the annual cycle. Links between upper-ocean heat content and anomalous heat fluxes, winds, two large-scale climate indices, and mesoscale eddies and meanders are examined. Results suggest that interannual variations in surface heat fluxes explain approximate to 5 to 10% of the variance in upper-ocean heat content. Anomalous surface heat fluxes are linked to meridional wind anomalies upstream of Drake Passage, which in turn are linked to forcing by El Nino/Southern Oscillation (ENSO) and the Southern Annular Mode (SAM). ENSO and SAM are correlated with upper-ocean heat content at near-zero lags, and statistically significant correlations occur at longer time lags as well. The impact of mesoscale eddies and meanders on upper-ocean heat content is explored with the use of a tracked eddy database. An empirical relationship is constructed relating upper-ocean heat content anomalies to eddy length scales and amplitudes. Eddies and meanders are estimated to account for more than one third of the nonannual cycle variance in Drake Passage upper-ocean heat content.</t>
  </si>
  <si>
    <t>[Stephenson, Gordon R., Jr.; Gille, Sarah T.; Sprintall, Janet] Univ Calif San Diego, Scripps Inst Oceanog, La Jolla, CA 92093 USA</t>
  </si>
  <si>
    <t>University of California System; University of California San Diego; Scripps Institution of Oceanography</t>
  </si>
  <si>
    <t>Stephenson, GR (corresponding author), Bangor Univ, Sch Ocean Sci, Menai Bridge LL59 5AB, Anglesey, Wales.</t>
  </si>
  <si>
    <t>g.stephenson@bangor.ac.uk</t>
  </si>
  <si>
    <t>Gille, Sarah T./B-3171-2012</t>
  </si>
  <si>
    <t>Gille, Sarah/0000-0001-9144-4368</t>
  </si>
  <si>
    <t>NSF [ARRA OCE08050350, ANT0943818]; NASA [NNX08AI82G]; NASA Earth and Space Science Fellowship; ARCS Foundation; NASA [100288, NNX08AI82G] Funding Source: Federal RePORTER</t>
  </si>
  <si>
    <t>NSF(National Science Foundation (NSF)); NASA(National Aeronautics &amp; Space Administration (NASA)); NASA Earth and Space Science Fellowship; ARCS Foundation; NASA(National Aeronautics &amp; Space Administration (NASA))</t>
  </si>
  <si>
    <t>Data collection and analysis for this project was funded by NSF grants to S.T.G. (ARRA OCE08050350) and J.S. (ANT0943818) and a NASA grant to S.T.G. (NNX08AI82G). G.R.S. acknowledges a NASA Earth and Space Science Fellowship and the ARCS Foundation for their support. S.T.G. acknowledges sabbatical support from the French Centre National de la Recherche Scientifique and Observatoire Midi-Pyrenees. NCEP Reanalysis 2 data were provided by the NOAA/OAR/ESRL PSD, Boulder, Colorado, USA, from their web site at http://www.esrl.noaa.gov/psd. ECMWF-Interim Reanalysis data were provided by the European Centre for Medium-Range Weather Forecasts from their web site at http://data-portal.ecmwf.int/. Chelton et al.'s [2011b] tracked eddy database was provided by D. Chelton and M. Schlax from their web site at http://cioss.coas.oregonstate.edu/eddies/.</t>
  </si>
  <si>
    <t>10.1002/jgrc.20315</t>
  </si>
  <si>
    <t>WOS:000326230200028</t>
  </si>
  <si>
    <t>Gol'din, PE; Vishnyakova, KA</t>
  </si>
  <si>
    <t>Gol'din, Pavel E.; Vishnyakova, Karina A.</t>
  </si>
  <si>
    <t>Africanacetus from the sub-Antarctic region: The southernmost record of fossil beaked whales</t>
  </si>
  <si>
    <t>Mammalia; Cetacea; Ziphiidae; hypermorphosis; sexual selection; Antarctic</t>
  </si>
  <si>
    <t>MESOPLODON DENSIROSTRIS; SEXUAL-DIMORPHISM; SEA-FLOOR; ZIPHIIDAE; MAMMALIA; CETACEA; ROSTRUM; ODONTOCETI; PHYLOGENY; SKULL</t>
  </si>
  <si>
    <t>We report two partial skulls of fossil beaked whales (Odontoceti, Ziphiidae) of uncertain age trawled from the sea floor of the sub-Antarctic Indian Ocean (58 to 60 degrees S), representing the southernmost record of the family. The skulls possess diagnostic features of the genus Africanacetus, several specimens of which have been recovered from the sea floor off South Africa, but differ from the type and only known species Africanacetus ceratopsis in their larger size. This difference may either reflect intraspecific variation or indicate the existence of a hitherto unrecognised species. The two specimens are characterised by unusually developed mesorostral ossifications, combined with maxillary crests occurring in the facial region. Both of the latter are found in a range of extant and extinct ziphiids, and known to be sexually dimorphic in extant beaked whales. These structures may be the result of hypermorphosis driven by sexual selection, and could be involved in male-specific behaviour.</t>
  </si>
  <si>
    <t>[Gol'din, Pavel E.; Vishnyakova, Karina A.] Taurida Natl Univ, UA-95007 Simferopol, Crimea, Ukraine; [Vishnyakova, Karina A.] South Sci Res Inst Marine Fisheries &amp; Oceanog, UA-98000 Kerch, Crimea, Ukraine</t>
  </si>
  <si>
    <t>VI Vernadsky Crimean Federal University; Ministry of Education &amp; Science of Ukraine; Taurida National V.I.Vernadsky University</t>
  </si>
  <si>
    <t>Gol'din, PE (corresponding author), Taurida Natl Univ, 4 Vernadsky Ave, UA-95007 Simferopol, Crimea, Ukraine.</t>
  </si>
  <si>
    <t>pavelgoldin412@gmail.com; karinavishnyakova@gmail.com</t>
  </si>
  <si>
    <t>Gol'din, Pavel/C-2061-2016</t>
  </si>
  <si>
    <t>Gol'din, Pavel/0000-0001-6118-1384; Vishnyakova, Karina/0000-0002-6455-6601</t>
  </si>
  <si>
    <t>Sepkoski Grant from the Paleontological Society International Research Program</t>
  </si>
  <si>
    <t>The authors thank Nikolay Ivanin, Ivan Timonin, Nikolay Kononov, Evgeny Gubanov, Valentin Serbin, Illia Slypko, and Nikolay Kukharev (YugNIRO) for their assistance and for data related to the examined specimens. We are grateful to Vincent Ridoux and Willy Dabin (University of La Rochelle, France), Vladimir Lobkov (Odessa National University, Odessa, Ukraine), Gennady Baryshnikov (Zoological Institute of the Russian Academy of Sciences, St. Petersburg, Russia), and Mogens Andersen (Zoological Museum of the University of Copenhagen, Denmark) for providing access to collections of extant cetaceans. We also thank Colin MacLeod (University of Aberdeen, UK) and Olivier Lambert (Royal Belgian Institute of Natural Sciences, Brussels, Belgium) for providing literature and numerous helpful remarks on an early draft of the manuscript, Olivier Lambert for providing photographs of Africanacetus ceratopsis, Giovanni Bianucci (University of Pisa, Italy) and Olivier Lambert for their helpful reviews, and Felix Marx (University of Otago, Dunedin, New Zealand) for editing and proofreading the manuscript. This study was partially supported by a Sepkoski Grant from the Paleontological Society International Research Program.</t>
  </si>
  <si>
    <t>10.4202/app.2011.0097</t>
  </si>
  <si>
    <t>231VI</t>
  </si>
  <si>
    <t>WOS:000325446100001</t>
  </si>
  <si>
    <t>Dubin, AD; Petkun, AS; Sysoeva, TI; Charakhchyan, AA; Kuchin, VA</t>
  </si>
  <si>
    <t>Dubin, A. D.; Petkun, A. S.; Sysoeva, T. I.; Charakhchyan, A. A.; Kuchin, V. A.</t>
  </si>
  <si>
    <t>IRA and vetrodui series devices for measuring the height behavior of the radiation background and surface wind parameters</t>
  </si>
  <si>
    <t>BULLETIN OF THE LEBEDEV PHYSICS INSTITUTE</t>
  </si>
  <si>
    <t>balloon studies; devices for measuring the surface wind and radiation</t>
  </si>
  <si>
    <t>The devices for measuring the radiation level and wind speed in the balloon version are described. The results of measurements in Antarctica and during the Academician Fedorov research ship travel are presented.</t>
  </si>
  <si>
    <t>[Dubin, A. D.; Petkun, A. S.; Sysoeva, T. I.; Charakhchyan, A. A.] Russian Acad Sci, Lebedev Phys Inst, Moscow 119991, Russia; [Kuchin, V. A.] Arctic &amp; Antarctic Res Inst, St Petersburg 199397, Russia</t>
  </si>
  <si>
    <t>Russian Academy of Sciences; Russian Academy of Science Lebedev Physical Institute; Arctic &amp; Antarctic Research Institute</t>
  </si>
  <si>
    <t>Dubin, AD (corresponding author), Russian Acad Sci, Lebedev Phys Inst, Leninskii Pr 53, Moscow 119991, Russia.</t>
  </si>
  <si>
    <t>sysoevatamara@mail.ru</t>
  </si>
  <si>
    <t>ALLERTON PRESS INC</t>
  </si>
  <si>
    <t>18 WEST 27TH ST, NEW YORK, NY 10001 USA</t>
  </si>
  <si>
    <t>1068-3356</t>
  </si>
  <si>
    <t>1934-838X</t>
  </si>
  <si>
    <t>B LEBEDEV PHYS INST+</t>
  </si>
  <si>
    <t>Bull. Lebedev Phys. Inst.</t>
  </si>
  <si>
    <t>10.3103/S1068335613090029</t>
  </si>
  <si>
    <t>234AP</t>
  </si>
  <si>
    <t>WOS:000325611500002</t>
  </si>
  <si>
    <t>Borisov, DG; Murdmaa, IO; Ivanova, EV; Roslyakov, AG; Anan'ev, RA</t>
  </si>
  <si>
    <t>Borisov, D. G.; Murdmaa, I. O.; Ivanova, E. V.; Roslyakov, A. G.; Anan'ev, R. A.</t>
  </si>
  <si>
    <t>Erosion-accumulative activity of the bottom currents on the continental rise of Brazil</t>
  </si>
  <si>
    <t>Several high-resolution SES 2000 deep seismic profiles and a core of bottom sediments were obtained in cruises 33, 35, and 37 of the R/V Akademik Ioffe in the area of the Columbia channel (continental rise of Brazil, South America). The analysis of seismic facies and direct correlation of acoustic and lithological data indicates that sedimentation in this area is mostly controlled by the contour current of the Antarctic Bottom Water (AABW). The gravity flows from seamounts and continental slope only episodically contributed coarser material to the deposition of the muddy contourites. The mixed gravitite-contourite systems consisting of accumulative bodies (drifts) and erosion channels are the results of interaction of these sedimentation processes.</t>
  </si>
  <si>
    <t>[Borisov, D. G.; Murdmaa, I. O.; Ivanova, E. V.; Anan'ev, R. A.] Russian Acad Sci, PP Shirshov Oceanol Inst, Moscow 117997, Russia; [Roslyakov, A. G.] Moscow MV Lomonosov State Univ, Moscow 119991, Russia</t>
  </si>
  <si>
    <t>Russian Academy of Sciences; Shirshov Institute of Oceanology; Lomonosov Moscow State University</t>
  </si>
  <si>
    <t>Borisov, DG (corresponding author), Russian Acad Sci, PP Shirshov Oceanol Inst, Nakhmovskii Pr 36, Moscow 117997, Russia.</t>
  </si>
  <si>
    <t>Ivanova, Elena/AAW-2881-2020; Ananiev, Roman/HNB-9719-2023; Borisov, Dmitrii/Y-9194-2019; Ivanova, Elena V/B-3775-2016; Ananiev, Roman/D-5589-2013; Murdmaa, Ivar/T-3538-2017</t>
  </si>
  <si>
    <t>Ivanova, Elena/0000-0003-3926-0590; Ananiev, Roman/0000-0002-4486-8974; Borisov, Dmitrii/0000-0001-8109-6603;</t>
  </si>
  <si>
    <t>Presidium of the Russian Academy of Sciences Fundamental Problems of Oceanology [23]; Russian Foundation for Basic Research [11-05-01000a]</t>
  </si>
  <si>
    <t>Presidium of the Russian Academy of Sciences Fundamental Problems of Oceanology; Russian Foundation for Basic Research(Russian Foundation for Basic Research (RFBR)Spanish Government)</t>
  </si>
  <si>
    <t>This work was partly supported by Program no. 23 of the Presidium of the Russian Academy of Sciences Fundamental Problems of Oceanology and the Russian Foundation for Basic Research (project no. 11-05-01000a).</t>
  </si>
  <si>
    <t>10.1134/S1028334X13090146</t>
  </si>
  <si>
    <t>234FZ</t>
  </si>
  <si>
    <t>WOS:000325629000021</t>
  </si>
  <si>
    <t>Omta, AW; van Voorn, GAK; Rickaby, REM; Follows, MJ</t>
  </si>
  <si>
    <t>Omta, Anne Willem; van Voorn, George A. K.; Rickaby, Rosalind E. M.; Follows, Michael J.</t>
  </si>
  <si>
    <t>On the potential role of marine calcifiers in glacial-interglacial dynamics</t>
  </si>
  <si>
    <t>sawtooth cycle; glacial-interglacial; calcifiers; autocatalysis; carbonate compensation</t>
  </si>
  <si>
    <t>BENTHIC FORAMINIFERAL B/CA; CARBONATE SATURATION STATE; DEEP-SEA SEDIMENTS; FOOD-WEB DYNAMICS; ATMOSPHERIC CO2; CALCIUM-CARBONATE; LATE-PLEISTOCENE; ATLANTIC-OCEAN; SOUTHERN-OCEAN; CORAL-REEF</t>
  </si>
  <si>
    <t>Ice core measurements have revealed a highly asymmetric cycle in Antarctic temperature and atmospheric CO2 over the last 800 kyr. Both CO2 and temperature decrease over 100 kyr going into a glacial period and then rise steeply over less than 10 kyr at the end of a glacial period. There does not yet exist wide agreement about the causes of this cycle or about the origin of its shape. Here we explore the possibility that an ecologically driven oscillator plays a role in the dynamics. A conceptual model describing the interaction between calcifying plankton and ocean alkalinity shows interesting features: (i) It generates an oscillation in atmospheric CO2 with the characteristic asymmetric shape observed in the ice core record, (ii) the system can transform a sinusoidal Milankovitch forcing into a sawtooth-shaped output, and (iii) there are spikes of enhanced calcifier productivity at the glacial-interglacial transitions, consistent with several sedimentary records. This suggests that ecological processes might play an active role in the observed glacial-interglacial cycles.</t>
  </si>
  <si>
    <t>[Omta, Anne Willem; Follows, Michael J.] MIT, Dept Earth Atmospher &amp; Planetary Sci, Cambridge, MA 02139 USA; [van Voorn, George A. K.] Wageningen Univ &amp; Res, Wageningen, Netherlands; [Rickaby, Rosalind E. M.] Univ Oxford, Dept Earth Sci, Oxford OX1 3PR, England</t>
  </si>
  <si>
    <t>Massachusetts Institute of Technology (MIT); Wageningen University &amp; Research; University of Oxford</t>
  </si>
  <si>
    <t>Omta, AW (corresponding author), MIT, Dept Earth Atmospher &amp; Planetary Sci, 77 Massachusetts Ave, Cambridge, MA 02139 USA.</t>
  </si>
  <si>
    <t>omta@mit.edu</t>
  </si>
  <si>
    <t>Follows, Michael J/G-9824-2011</t>
  </si>
  <si>
    <t>Rickaby, Rosalind/0000-0002-6095-8419</t>
  </si>
  <si>
    <t>Netherlands Organisation for Scientific Research (NWO); National Science Foundation (NSF); Netherlands Ministry of Economic Affairs; European Research Council (ERC) [SP2-GA-2008-200915]; National Oceanic and Atmospheric Administration (NOAA); National Aeronautics and Space Administration (NASA); Division Of Ocean Sciences; Directorate For Geosciences [1155295] Funding Source: National Science Foundation</t>
  </si>
  <si>
    <t>Netherlands Organisation for Scientific Research (NWO)(Netherlands Organization for Scientific Research (NWO)); National Science Foundation (NSF)(National Science Foundation (NSF)); Netherlands Ministry of Economic Affairs(Ministry of Economic Affairs, Netherlands); European Research Council (ERC)(European Research Council (ERC)Spanish Government); National Oceanic and Atmospheric Administration (NOAA)(National Oceanic Atmospheric Admin (NOAA) - USA); National Aeronautics and Space Administration (NASA)(National Aeronautics &amp; Space Administration (NASA)); Division Of Ocean Sciences; Directorate For Geosciences(National Science Foundation (NSF)NSF - Directorate for Geosciences (GEO))</t>
  </si>
  <si>
    <t>We would like to thank Robbie Toggweiler, Wolfgang Koeve, and three anonymous reviewers for inspiring discussions and helpful comments. Anne Willem Omta is grateful for support from the Netherlands Organisation for Scientific Research (NWO) through a Rubicon fellowship and from the National Science Foundation (NSF). The work of George A. K. van Voorn was part of the strategic research program Knowledge Base IV (KBIV) sustainable spatial development of ecosystems, landscapes, seas and regions funded by the Netherlands Ministry of Economic Affairs. Rosalind E. M. Rickaby was supported through European Research Council (ERC) grant SP2-GA-2008-200915. Michael J. Follows was funded by the National Oceanic and Atmospheric Administration (NOAA), the National Aeronautics and Space Administration (NASA), and NSF.</t>
  </si>
  <si>
    <t>10.1002/gbc.20060</t>
  </si>
  <si>
    <t>232JA</t>
  </si>
  <si>
    <t>WOS:000325488600007</t>
  </si>
  <si>
    <t>Dufour, CO; Le Sommer, J; Gehlen, M; Orr, JC; Molines, JM; Simeon, J; Barnier, B</t>
  </si>
  <si>
    <t>Dufour, Carolina O.; Le Sommer, Julien; Gehlen, Marion; Orr, James C.; Molines, Jean-Marc; Simeon, Jennifer; Barnier, Bernard</t>
  </si>
  <si>
    <t>Eddy compensation and controls of the enhanced sea-to-air CO2 flux during positive phases of the Southern Annular Mode</t>
  </si>
  <si>
    <t>Southern Ocean; natural CO2; eddies; southern annular mode</t>
  </si>
  <si>
    <t>ANTARCTIC CIRCUMPOLAR CURRENT; RECENT CLIMATE-CHANGE; MESOSCALE EDDIES; ANTHROPOGENIC CO2; OCEAN RESPONSE; DRAKE PASSAGE; TRANSPORT; CIRCULATION; CARBON; VARIABILITY</t>
  </si>
  <si>
    <t>The current positive trend in the Southern Annular Mode (SAM) is thought to reduce the growth rate of the Southern Ocean CO2 sink because enhanced wind-driven upwelling of dissolved inorganic carbon (DIC) increases outgassing of natural CO2. However, no study to date has quantified the potentially large role of mesoscale eddies in compensating intensified upwelling nor the mixed-layer processes in terms of their effects on CO2 fluxes. Here we report on results from two new simulations in a regional 0.5 degrees eddying model of the Southern Ocean. The first simulation is forced with interannually varying atmospheric reanalysis and coupled to a biogeochemistry model run under constant preindustrial atmospheric CO2. The second simulation is like the first except that superimposed on the forcing is a poleward shifted and intensified westerlies wind anomaly consistent with the positive phase of the SAM. In response to the SAM, the Southern Ocean's sea-to-air CO2 flux is enhanced by 0.1PgCyr(-1) per standard deviation of the SAM, mostly from the Antarctic Zone (AZ), where enhanced surface DIC is only partly compensated by enhanced surface alkalinity. Increased mixed-layer DIC in the AZ results from a combination of increased upwelling below the mixed layer and increased vertical diffusion at the base of the mixed layer. Previous studies overlooked the latter. Thus, upward supply of DIC and alkalinity depends on associated vertical gradients just below the mixed layer, which are affected by interior ocean transport. Our eddying model study suggests that about one third of the SAM enhancement of the Ekman-induced northward DIC transport is compensated by southward transport from standing and transient eddies.</t>
  </si>
  <si>
    <t>[Dufour, Carolina O.] CNRS Univ Grenoble, Lab Ecoulements Geophys &amp; Ind, Grenoble, France; [Dufour, Carolina O.; Gehlen, Marion; Orr, James C.; Simeon, Jennifer] CEA CNRS UVSQ, Lab Sci Climat &amp; Environm, LSCE, IPSL, Gif Sur Yvette, France; [Le Sommer, Julien; Molines, Jean-Marc; Barnier, Bernard] CNRS Univ Grenoble, Lab Glaciol &amp; Geophys Environm, Grenoble, France</t>
  </si>
  <si>
    <t>Communaute Universite Grenoble Alpes; Institut National Polytechnique de Grenoble; Universite Grenoble Alpes (UGA); Centre National de la Recherche Scientifique (CNRS); Universite Paris Cite; CEA; Centre National de la Recherche Scientifique (CNRS); Universite Paris Saclay; Communaute Universite Grenoble Alpes; Universite Grenoble Alpes (UGA)</t>
  </si>
  <si>
    <t>Dufour, CO (corresponding author), Princeton Univ, Program Atmospher &amp; Ocean Sci, Princeton, NJ 08544 USA.</t>
  </si>
  <si>
    <t>cdu-four@princeton.edu</t>
  </si>
  <si>
    <t>Le Sommer, Julien/ABG-8801-2021; Orr, James C/C-5221-2009; Dufour, Carolina/GZA-9986-2022; Barnier, Bernard/F-2400-2016</t>
  </si>
  <si>
    <t>Le Sommer, Julien/0000-0002-6882-2938; Dufour, Carolina/0000-0002-1441-3880; Orr, James/0000-0002-8707-7080; Gehlen, Marion/0000-0002-9688-0692</t>
  </si>
  <si>
    <t>French CEA (Commissariat a l'Energie Atomique et aux Energies Alternatives); European Project on Ocean Acidification (EPOCA); European Community [211384]; EU [264879]; French CNRS (Centre National de la Recherche Scientifique); ANR [ANR-08-JCJC-0777-01]; CNRS through LEFE/INSU program [CO2SUD]</t>
  </si>
  <si>
    <t>French CEA (Commissariat a l'Energie Atomique et aux Energies Alternatives); European Project on Ocean Acidification (EPOCA); European Community; EU(European Union (EU)); French CNRS (Centre National de la Recherche Scientifique)(Centre National de la Recherche Scientifique (CNRS)); ANR(Agence Nationale de la Recherche (ANR)); CNRS through LEFE/INSU program</t>
  </si>
  <si>
    <t>C.O. Dufour was supported by the French CEA (Commissariat a l'Energie Atomique et aux Energies Alternatives). Funding for this study came from the European Project on Ocean Acidification (EPOCA) funded by the European Community's Seventh Framework Programme (FP7/2007-2013) under grant agreement 211384, as well as by the EU FP7 project CarboChange (grant agreement 264879). J. Le Sommer and B. Barnier were supported by the French CNRS (Centre National de la Recherche Scientifique). This work benefited from funding of the ANR (through contract ANR-08-JCJC-0777-01) and from CNRS through LEFE/INSU program (project CO2SUD). This work was granted access to the HPC resources of [CCRT/TGCC/CINES/IDRIS] under the allocation 2011-016035 made by GENCI (Grand Equipement National de Calcul Intensif). Simulations were carried out at the CINES super computer facility in Montpellier, France. We thank C. Ethe, L. Bopp, and O. Aumont for providing initialization fields and for discussions about model setup, analysis, and results. We also thank L. Merlivat for her advice on the mixed-layer term balance analysis.</t>
  </si>
  <si>
    <t>10.1002/gbc.20090</t>
  </si>
  <si>
    <t>WOS:000325488600030</t>
  </si>
  <si>
    <t>Tenfjord, P; Ostgaard, N</t>
  </si>
  <si>
    <t>Tenfjord, P.; Ostgaard, N.</t>
  </si>
  <si>
    <t>Energy transfer and flow in the solar wind-magnetosphere-ionosphere system: A new coupling function</t>
  </si>
  <si>
    <t>energy transfer; coupling function; magnetospheric response</t>
  </si>
  <si>
    <t>INTERPLANETARY MAGNETIC-FIELD; ART. NO. 1246; MAGNETOPAUSE RECONNECTION; EARTHS MAGNETOSPHERE; ELECTRON-PRECIPITATION; GEOMAGNETIC INDEXES; MHD SIMULATION; MAGNETOTAIL; STORM; SUBSTORMS</t>
  </si>
  <si>
    <t>In this paper we describe and quantify the energy transfer, flow, and distribution. Our high-resolution data set covers 13 years of OMNI, SuperMAG, and Kyoto data. We employ what we consider to be the best estimates for energy sinks and relate these to SuperMAG indices for better coverage and spatial resolution. For the energy input, we have used the method of dimensional analysis that is presented in unit power and makes it appropriate for energy analysis. A cross-correlation analysis parameterizes the magnetospheric response on the solar wind parameters during a wide range of conditions, ranging from substorms and storms up to a decade. The determined functional form is then evaluated and scaled using superposed epoch analysis of geomagnetic storms, revealing that the effective area of interaction cannot be considered static. Instead, we present a dynamic area which depends to the first order on the cube of the interplanetary magnetic field B-z component. Also, we find that for longer time periods, this area must be increased compared to the area used for geomagnetic storms. We argue that some of the terms in the energy coupling function are contributory to describing magnetosheath conditions and discuss how our coupling function can be related to Maxwell stress components. Also, we quantify the relative importance of the different energy sinks during substorms, geomagnetic storms, and long time series and present the coupling efficiency of the solar wind. Our energy coupling functions are compared with the epsilon parameter and perform better for almost any event.</t>
  </si>
  <si>
    <t>[Tenfjord, P.; Ostgaard, N.] Birkeland Ctr Space Sci, Bergen, Norway; [Tenfjord, P.; Ostgaard, N.] Univ Bergen, Dept Phys &amp; Technol, NO-5007 Bergen, Norway</t>
  </si>
  <si>
    <t>Tenfjord, P (corresponding author), Univ Bergen, Dept Phys &amp; Technol, Allegt 55, NO-5007 Bergen, Norway.</t>
  </si>
  <si>
    <t>paul.tenfjord@ift.uib.no</t>
  </si>
  <si>
    <t>Research Council of Norway [223252/F50, 216872/F50]</t>
  </si>
  <si>
    <t>Research Council of Norway(Research Council of Norway)</t>
  </si>
  <si>
    <t>This study was funded by Research Council of Norway under contract 223252/F50 to the Birkeland Centre for Space Science as well as contract 216872/F50. We acknowledge the use of NASA/GSFC's Space Physics Data Facility's OMNIWeb service and OMNI data. For the ground magnetometer data, we gratefully acknowledge the following: INTERMAGNET; USGS, Jeffrey J. Love; Danish Meteorological Institute; CARISMA, Ian Mann; CANMOS; the S-RAMP Database, K. Yumoto and K. Shiokawa; the SPIDR database; AARI, Oleg Troshichev; the MACCS program, M. Engebretson, Geomagnetism Unit of the Geological Survey of Canada; GIMA; MEASURE, UCLA IGPP, and Florida Institute of Technology; SAMBA, Eftyhia Zesta; 210 Chain, K. Yumoto; SAMNET, Farideh Honary; the institutes who maintain the IMAGE magnetometer array, Eija Tanskanen; AUTUMN, Martin Conners; Greenland magnetometers operated by DTU Space; South Pole and McMurdo magnetometer, Louis J. Lanzarotti and Alan T. Weatherwax; ICESTAR; RapidMag; PENGUIn; British Antarctic Survey; McMAC, Peter Chi; BGS, Susan Macmillan; Pushkov Institute of Terrestrial Magnetism, Ionosphere and Radio Wave Propagation (IZMIRAN); and SuperMAG, Jesper W. Gjerloev.</t>
  </si>
  <si>
    <t>10.1002/jgra.50545</t>
  </si>
  <si>
    <t>232HN</t>
  </si>
  <si>
    <t>WOS:000325483800023</t>
  </si>
  <si>
    <t>Adkins, JF</t>
  </si>
  <si>
    <t>Adkins, Jess F.</t>
  </si>
  <si>
    <t>The role of deep ocean circulation in setting glacial climates</t>
  </si>
  <si>
    <t>review; deep circulation; tracers</t>
  </si>
  <si>
    <t>OXYGEN ISOTOPIC COMPOSITION; WESTERN NORTH-ATLANTIC; CARBON-DIOXIDE CONCENTRATION; VOSTOK ICE CORE; ATMOSPHERIC CO2; SOUTHERN-OCEAN; BENTHIC FORAMINIFERA; LAST DEGLACIATION; PACIFIC-OCEAN; THERMOHALINE CIRCULATION</t>
  </si>
  <si>
    <t>The glacial cycles of the Pleistocene involve changes in the circulation of the deep ocean in important ways. This review seeks to establish what were the robust patterns of deep-sea water mass changes and how they might have influenced important parts of the last glacial cycle. After a brief review of how tracers in the modern ocean can be used to understand the distribution of water masses, I examine the data for biogeochemical, circulation rate, and conservative tracers during glacial climates. Some of the robust results from the literature of the last 30 years include: a shoaled version of northern source deep water in the Atlantic, expanded southern source water in the abyss and deep ocean, salt (rather than heat) stratification of the last glacial maximum (LGM) deep-sea, and several lines of evidence for slower overturning circulation in the southern deep cell. We combine these observations into a new idea for how the ocean-atmosphere system moves from interglacial to glacial periods across a single cycle. By virtue of its influence on the melting of land-based ice around Antarctica, cooling North Atlantic Deep Water (NADW) leads to a cold and salty version of Antarctic Bottom Water (AABW). This previously underappreciated feedback can lead to a more stratified deep ocean that operates as a more effective carbon trap than the modern, helping to lower atmospheric CO2 and providing a mechanism for the deep ocean to synchronize the hemispheres in a positive feedback that drives the system to further cooling.</t>
  </si>
  <si>
    <t>CALTECH, Div Geol &amp; Planetary Sci, Pasadena, CA 91125 USA</t>
  </si>
  <si>
    <t>Adkins, JF (corresponding author), CALTECH, Div Geol &amp; Planetary Sci, MS 131-124, Pasadena, CA 91125 USA.</t>
  </si>
  <si>
    <t>jess@gps.caltech.edu</t>
  </si>
  <si>
    <t>Adkins, Jess/GYI-8778-2022</t>
  </si>
  <si>
    <t>NSF [OCE 1204211, OCE 0929272]</t>
  </si>
  <si>
    <t>This work has greatly benefited from conversations with many people over the years. Ed Boyle and Danny Sigman have taught me much of what I know about the carbonate system, though any mistakes about CO2 feedbacks in this paper are mine alone. A sabbatical in the CNRS lab at Gif-sur-Yvette provided the time and intellectual space for the initial idea about feedbacks between NADW and AABW formation to germinate into a nascent theory of glacial to interglacial change. I thank them immensely for their hospitality, good humor, and critical ears. My group at Caltech has provided both new ideas and a sounding board for this paper during its long development. Madeline Miller and Andrea Burke are especially thanked for close readings of a fairly complete draft. Two reviewers, Luke Skinner and one anonymous, provided a careful, close, and critical reading of the manuscript that helped improve it greatly. Finally, Chris Charles was an extremely patient editor as well as an important critic of this paper during its several incarnations. I am deeply indebted to him for his help. This work was partially supported by NSF grants OCE 1204211 and OCE 0929272.</t>
  </si>
  <si>
    <t>10.1002/palo.20046</t>
  </si>
  <si>
    <t>234FW</t>
  </si>
  <si>
    <t>WOS:000325628700014</t>
  </si>
  <si>
    <t>Cortese, G; Dunbar, GB; Carter, L; Scott, G; Bostock, H; Bowen, M; Crundwell, M; Hayward, BW; Howard, W; Martínez, JI; Moy, A; Neil, H; Sabaa, A; Sturm, A</t>
  </si>
  <si>
    <t>Cortese, G.; Dunbar, G. B.; Carter, L.; Scott, G.; Bostock, H.; Bowen, M.; Crundwell, M.; Hayward, B. W.; Howard, W.; Martinez, J. I.; Moy, A.; Neil, H.; Sabaa, A.; Sturm, A.</t>
  </si>
  <si>
    <t>Southwest Pacific Ocean response to a warmer world: Insights from Marine Isotope Stage 5e</t>
  </si>
  <si>
    <t>Interglacial climate; Foraminifera; South Pacific Ocean; Marine Isotope Stage 5; Sea surface temperature</t>
  </si>
  <si>
    <t>EAST AUSTRALIAN CURRENT; SEA-SURFACE TEMPERATURES; ANTARCTIC CIRCUMPOLAR CURRENT; SOUTHERN INDIAN-OCEAN; NEW-ZEALAND; SUBTROPICAL FRONT; PLANKTONIC-FORAMINIFERA; AUCKLAND CURRENT; CAMPBELL PLATEAU; LATE PLEISTOCENE</t>
  </si>
  <si>
    <t>Paleoceanographic archives derived from 17 marine sediment cores reconstruct the response of the Southwest Pacific Ocean to the peak interglacial, Marine Isotope Stage (MIS) 5e (ca. 125ka). Paleo-Sea Surface Temperature (SST) estimates were obtained from the Random Forest modelan ensemble decision tree toolapplied to core-top planktonic foraminiferal faunas calibrated to modern SSTs. The reconstructed geographic pattern of the SST anomaly (maximum SST between 120 and 132ka minus mean modern SST) seems to indicate how MIS 5e conditions were generally warmer in the Southwest Pacific, especially in the western Tasman Sea where a strengthened East Australian Current (EAC) likely extended subtropical influence to ca. 45 degrees S off Tasmania. In contrast, the eastern Tasman Sea may have had a modest cooling except around 45 degrees S. The observed pattern resembles that developing under the present warming trend in the region. An increase in wind stress curl over the modern South Pacific is hypothesized to have spun-up the South Pacific Subtropical Gyre, with concurrent increase in subtropical flow in the western boundary currents that include the EAC. However, warmer temperatures along the Subtropical Front and Campbell Plateau to the south suggest that the relative influence of the boundary inflows to eastern New Zealand may have differed in MIS 5e, and these currents may have followed different paths compared to today.</t>
  </si>
  <si>
    <t>[Cortese, G.; Scott, G.; Crundwell, M.] GNS Sci, Lower Hutt 5040, New Zealand; [Dunbar, G. B.; Carter, L.] Victoria Univ Wellington, Antarctic Res Ctr, Wellington, New Zealand; [Bostock, H.; Neil, H.] Natl Inst Water &amp; Atmospher Res NIWA, Wellington, New Zealand; [Bowen, M.] Univ Auckland, Sch Environm, Auckland 1, New Zealand; [Hayward, B. W.; Sabaa, A.] Geomarine Res, Auckland, New Zealand; [Howard, W.] Australian Natl Univ, Res Sch Earth Sci, Canberra, ACT, Australia; [Martinez, J. I.] Univ EAFIT, Dept Geol, Medellin, Colombia; [Moy, A.] Australian Antarctic Div, Dept Sustainabil Environm Water Populat &amp; Communi, Kingston, Tas, Australia; [Moy, A.] Univ Tasmania, Antarctic Climate &amp; Ecosyst Cooperat Res Ctr, Hobart, Tas, Australia; [Sturm, A.] Alfred Wegener Inst Polar &amp; Marine Res, Bremerhaven, Germany</t>
  </si>
  <si>
    <t>GNS Science - New Zealand; Victoria University Wellington; National Institute of Water &amp; Atmospheric Research (NIWA) - New Zealand; University of Auckland; Australian National University; Universidad EAFIT; Australian Antarctic Division; University of Tasmania; Antarctic Climate &amp; Ecosystems Cooperative Research Centre (ACE CRC); Helmholtz Association; Alfred Wegener Institute, Helmholtz Centre for Polar &amp; Marine Research</t>
  </si>
  <si>
    <t>Cortese, G (corresponding author), GNS Sci, POB 30368, Lower Hutt 5040, New Zealand.</t>
  </si>
  <si>
    <t>g.cortese@gns.cri.nz</t>
  </si>
  <si>
    <t>Bostock, Helen/A-6834-2013; HAYWARD, BRUCE W/AAG-2597-2019</t>
  </si>
  <si>
    <t>Bostock, Helen/0000-0002-8903-8958; Hayward, Bruce W./0000-0003-1302-7686; /0000-0002-2111-6817; Moy, Andrew/0000-0002-7664-9960; Cortese, Giuseppe/0000-0003-1780-3371</t>
  </si>
  <si>
    <t>Foundation for Research, Science, and Technology (FRST); Global Change through Time (GCT) Program at GNS Science</t>
  </si>
  <si>
    <t>Foundation for Research, Science, and Technology (FRST)(New Zealand Foundation for Research, Science and Technology); Global Change through Time (GCT) Program at GNS Science</t>
  </si>
  <si>
    <t>This research was supported financially by a Foundation for Research, Science, and Technology (FRST) Grant (GD, LC) and by the Global Change through Time (GCT) Program at GNS Science (GC, GS, MC). We would like to thank Patrick DeDeckker (ANU) for tracking down foraminiferal census data and samples in The Australian National University archives, Michal Kucera (University of Tubingen) for granting access to the MARGO data set, and two anonymous reviewers, whose comments greatly improved the final manuscript.</t>
  </si>
  <si>
    <t>10.1002/palo.20052</t>
  </si>
  <si>
    <t>WOS:000325628700017</t>
  </si>
  <si>
    <t>Zúñiga-Reinoso, A; Muñoz-Escobar, C; Hernández, CE</t>
  </si>
  <si>
    <t>Zuniga-Reinoso, Alvaro; Munoz-Escobar, Christian; Hernandez, Cristian E.</t>
  </si>
  <si>
    <t>Patterns and causes of geographical latitudinal structure of oribatid (Acari: Oribatida) in Patagonia and Antarctica</t>
  </si>
  <si>
    <t>REVISTA CHILENA DE HISTORIA NATURAL</t>
  </si>
  <si>
    <t>biogeography; geographic distance; macroecology; species change; metacommunity source-sink</t>
  </si>
  <si>
    <t>NESTED SUBSET PATTERNS; MITES ACARI; NULL MODEL; ISLANDS; FAUNA; COLONIZATION; COMMUNITIES; MICROARTHROPOD; METACOMMUNITY; HYPOTHESES</t>
  </si>
  <si>
    <t>Traditionally Antarctica has been divided into three biogeographic regions, and the Chilean Patagonia and Falkland/Malvinas as a unit. However, the underlying causes of this pattern are still poorly understood. In this study we use oribatid mites to evaluate (1) biogeographic regions described for Antarctic and Patagonia, (2) the role of distance on the structuring pattern and (3) the source-sink metacommunity dynamic as an explanation for the geographic patterns of oribatologic assemblages. The study used a database compiled from oribatids literature of Chilean Patagonia, Falkland/Malvinas Islands, Scotia Arc and Antarctic Peninsula. The latitudinal structures patterns were assessed first by cluster analysis with the Sorensen index under the UPGMA algorithm, and then by similarity profile routine to statistically delimit the biogeographic regions. To evaluate the role of distance in the biogeographic structure, was correlated the similarity matrix with a distance matrix. As a final point, to evaluate if a source-sink metacommunity dynamic models the assemblages between biogeographic units, we perform a nestedness analysis (NODE) using the total matrix, Antarctica, and Patagonia. The analysis supporting 9 subdivisions within the four previously proposed biogeographic regions: (1) Temperate Zone with five units (i.e. Aysen, Ultima Esperanza, Magellanes, Beagle Channel, and Falkland/Malvinas Islands); (2) Subantarctic Region with two units (i.e. South Georgia, and South Sandwich Islands); (3) Maritime Antarctic as a single group; and (4) Continental Antarctica as another single large group. Our results shows that the geographic distance significantly restricts and structured the species turnover (i.e. isolation by distance), and consequently the distance can limit the spread of new colonizers. On the other hand, the matrix is significantly nested, which could be explained by a source-sink dynamic. Finally, the source-sink metacommunity dynamic can be modeling the species richness in the region, which would be maintained largely by the contribution of individuals colonizers from species that inhabiting areas with higher species richness.</t>
  </si>
  <si>
    <t>[Zuniga-Reinoso, Alvaro; Munoz-Escobar, Christian; Hernandez, Cristian E.] Univ Concepcion, Dept Zool, Fac Ciencias Nat &amp; Oceanog, Concepcion, Chile</t>
  </si>
  <si>
    <t>Universidad de Concepcion</t>
  </si>
  <si>
    <t>Hernández, CE (corresponding author), Univ Concepcion, Dept Zool, Fac Ciencias Nat &amp; Oceanog, Casilla 160-C, Concepcion, Chile.</t>
  </si>
  <si>
    <t>cristianhernand@udec.cl</t>
  </si>
  <si>
    <t>Hernández, Cristián E./GLS-1111-2022; Hernández, Cristián E./AAS-1286-2020</t>
  </si>
  <si>
    <t>Hernández, Cristián E./0000-0002-9811-2881; Hernández, Cristián E./0000-0002-9811-2881</t>
  </si>
  <si>
    <t>SOC BIOLGIA CHILE</t>
  </si>
  <si>
    <t>SANTIAGO</t>
  </si>
  <si>
    <t>CASILLA 16164, SANTIAGO 9, CHILE</t>
  </si>
  <si>
    <t>0716-078X</t>
  </si>
  <si>
    <t>0717-6317</t>
  </si>
  <si>
    <t>REV CHIL HIST NAT</t>
  </si>
  <si>
    <t>Rev. Chil. Hist. Nat.</t>
  </si>
  <si>
    <t>10.4067/S0716-078X2013000300005</t>
  </si>
  <si>
    <t>231TX</t>
  </si>
  <si>
    <t>WOS:000325442400005</t>
  </si>
  <si>
    <t>García-Olivares, A; Herrero, C</t>
  </si>
  <si>
    <t>Garcia-Olivares, Antonio; Herrero, Carmen</t>
  </si>
  <si>
    <t>Simulation of glacial-interglacial cycles by simple relaxation models: consistency with observational results</t>
  </si>
  <si>
    <t>Climatic changes; Paleoclimate; Glacial oscillations; Relaxation models; Oceanic CO2</t>
  </si>
  <si>
    <t>ATMOSPHERIC CO2 CONCENTRATIONS; ANTARCTIC ICE-SHEET; SOUTHERN-OCEAN; SEA-LEVEL; CARBON-CYCLE; CLIMATE; CIRCULATION; ATLANTIC; RECORD; TEMPERATURE</t>
  </si>
  <si>
    <t>The model of Paillard and Parrenin (Earth Planet Sci Lett 227:263-271, 2004) was modified to obtain a closer fit to delta O-18 and CO2 time series for the last 800 kyr. The model performance can be improved if its CO2 sensitivity to I-65 insolation is eliminated and if different response times are assumed for ablation/accumulation of ice. Correlations between simulated and experimental time series for CO2 and ice volume V increase from 0.59 and 0.63 to 0.79 and 0.88, respectively. According to these models, terminations are produced by I-65 amplification through CO2-T and T-CO2 feedbacks, in synergy with an extra CO2 contribution from the deep ocean. This contribution is strongly dependent on ice-sheet extent and ice volume (or alternatively, CO2 concentration, which is a good proxy of Antarctic temperature) but is insensitive to Southern Ocean (SO) insolation on 21 February (I-60). Change of deep SO state may be the order parameter for nonlinear deglacial changes. According to these models, 100 kyr periodicity of glacial cycles arises from the characteristic time of Antarctic ice sheet advance to the continental slope.</t>
  </si>
  <si>
    <t>[Garcia-Olivares, Antonio; Herrero, Carmen] Inst Ciencias Mar CSIC, Barcelona 08003, Spain</t>
  </si>
  <si>
    <t>Consejo Superior de Investigaciones Cientificas (CSIC); CSIC - Centro Mediterraneo de Investigaciones Marinas y Ambientales (CMIMA); CSIC - Instituto de Ciencias del Mar (ICM)</t>
  </si>
  <si>
    <t>García-Olivares, A (corresponding author), Inst Ciencias Mar CSIC, Ps Maritim Barceloneta 37-49, Barcelona 08003, Spain.</t>
  </si>
  <si>
    <t>agolivares@icm.csic.es; herrero@icm.csic.es</t>
  </si>
  <si>
    <t>; Herrero, Carmen/J-5030-2012</t>
  </si>
  <si>
    <t>Garcia-Olivares, Antonio/0000-0003-0052-101X; Herrero, Carmen/0000-0002-2199-1371</t>
  </si>
  <si>
    <t>Spanish R + D Plan; CSIC JAE-Predoc scholarship; European Social Fund (FSE)</t>
  </si>
  <si>
    <t>Spanish R + D Plan; CSIC JAE-Predoc scholarship; European Social Fund (FSE)(European Social Fund (ESF))</t>
  </si>
  <si>
    <t>This is a contribution to the TIC-MOC project funded by the 2008-2011 Spanish R + D Plan. We thank Dr. Carles Pelejero and Dr. Eva Calvo for their interesting suggestions and help with the experimental data and to an anonymous reviewer whose exhaustive review contributed greatly to improve the manuscript. The work of one of the authors (C. Herrero) was supported by a CSIC JAE-Predoc scholarship co-financed by the European Social Fund (FSE).</t>
  </si>
  <si>
    <t>10.1007/s00382-012-1614-7</t>
  </si>
  <si>
    <t>226YO</t>
  </si>
  <si>
    <t>WOS:000325073700012</t>
  </si>
  <si>
    <t>de Boer, B; van de Wal, RSW; Lourens, LJ; Bintanja, R; Reerink, TJ</t>
  </si>
  <si>
    <t>de Boer, B.; van de Wal, R. S. W.; Lourens, L. J.; Bintanja, R.; Reerink, T. J.</t>
  </si>
  <si>
    <t>A continuous simulation of global ice volume over the past 1 million years with 3-D ice-sheet models</t>
  </si>
  <si>
    <t>Pleistocene; Oxygen isotopes; Ice sheet; Glacial cycles</t>
  </si>
  <si>
    <t>LAST GLACIAL MAXIMUM; OXYGEN-ISOTOPE RATIO; AREAL DISTRIBUTION; BALANCE MODEL; PISM-PIK; CLIMATE; GREENLAND; TEMPERATURE; SENSITIVITY; HOLOCENE</t>
  </si>
  <si>
    <t>Sea-level records show large glacial-interglacial changes over the past million years, which on these time scales are related to changes of ice volume on land. During the Pleistocene, sea-level changes induced by ice volume are largely caused by the waxing and waning of the large ice sheets in the Northern Hemisphere. However, the individual contributions of ice in the Northern and Southern Hemisphere are poorly constrained. In this study, for the first time a fully coupled system of four 3-D ice-sheet models is used, simulating glaciations on Eurasia, North America, Greenland and Antarctica. The ice-sheet models use a combination of the shallow ice and shelf approximations to determine sheet, shelf and sliding velocities. The framework consists of an inverse forward modelling approach to derive a self-consistent record of temperature and ice volume from deep-sea benthic delta O-18 data over the past 1 million years, a proxy for ice volume and temperature. It is shown that for both eustatic sea level and sea water delta O-18 changes, the Eurasian and North American ice sheets are responsible for the largest part of the variability. The combined contribution of the Antarctic and Greenland ice sheets is about 10 % for sea level and about 20 % for sea water delta O-18 during glacial maxima. However, changes in interglacials are mainly caused by melt of the Greenland and Antarctic ice sheets, with an average time lag of 4 kyr between melt and temperature. Furthermore, we have tested the separate response to changes in temperature and sea level for each ice sheet, indicating that ice volume can be significantly influenced by changes in eustatic sea level alone. Hence, showing the importance of a simultaneous simulation of all four ice sheets. This paper describes the first complete simulation of global ice-volume variations over the late Pleistocene with the possibility to model changes above and below present-day ice volume, constrained by observations of benthic delta O-18 proxy data.</t>
  </si>
  <si>
    <t>[de Boer, B.; van de Wal, R. S. W.; Reerink, T. J.] Univ Utrecht, Inst Marine &amp; Atmospher Res Utrecht, NL-3584 CC Utrecht, Netherlands; [Lourens, L. J.] Univ Utrecht, Fac Geosci, Dept Earth Siences, NL-3584 CD Utrecht, Netherlands; [Bintanja, R.] Royal Netherlands Meteorol Inst KNMI, NL-3732 GK De Bilt, Netherlands</t>
  </si>
  <si>
    <t>Utrecht University; Utrecht University; Royal Netherlands Meteorological Institute</t>
  </si>
  <si>
    <t>de Boer, B (corresponding author), Univ Utrecht, Inst Marine &amp; Atmospher Res Utrecht, Princetonpl 5, NL-3584 CC Utrecht, Netherlands.</t>
  </si>
  <si>
    <t>van de wal, roderik/0000-0003-2543-3892; de Boer, Bas/0000-0002-3696-6654; Reerink, Thomas/0000-0002-9983-6195; Bintanja, Richard/0000-0002-0465-5923</t>
  </si>
  <si>
    <t>SARA Computing and Networking Services</t>
  </si>
  <si>
    <t>For the use of the PMIP2 GCM model output, we acknowledge the international modelling groups for providing their data for analysis, the Laboratoire des Sciences du Climat et de l'Environnement (LSCE) for collecting and archiving the model data. The analyses were performed using version 01-07-2010 of the database. Part of the computations were performed on the Lisa Compute Cluster, we thank SARA Computing and Networking Services for their support. David Pollard is thanked for providing Antarctic ice volume data over the past 5 Myr. We would like to thank two anonymous reviewers for valuable comments on the manuscript.</t>
  </si>
  <si>
    <t>10.1007/s00382-012-1562-2</t>
  </si>
  <si>
    <t>WOS:000325073700015</t>
  </si>
  <si>
    <t>Füri, E; Aléon-Toppani, A; Marty, B; Libourel, G; Zimmermann, L</t>
  </si>
  <si>
    <t>Fueri, Evelyn; Aleon-Toppani, Alice; Marty, Bernard; Libourel, Guy; Zimmermann, Laurent</t>
  </si>
  <si>
    <t>Effects of atmospheric entry heating on the noble gas and nitrogen content of micrometeorites</t>
  </si>
  <si>
    <t>micrometeorites; Orgueil; noble gases; nitrogen; entry heating; volatile flux</t>
  </si>
  <si>
    <t>INTERPLANETARY DUST PARTICLES; SOLAR ENERGETIC PARTICLES; E-RICH PHASE; EXTRATERRESTRIAL HE-3; ANTARCTIC MICROMETEORITES; COSMIC SPHERULES; ORGANIC-MATTER; EXCESS HE-3; CARBONACEOUS MICROMETEORITES; ISOTOPIC COMPOSITIONS</t>
  </si>
  <si>
    <t>Fragments of the carbonaceous chondrite Orgueil were subjected to pulse-heating sequences in order to simulate the heating conditions experienced by micrometeorites (MMs) upon entry into Earth's atmosphere. By increasing the experimental run times from 2 to 120 s at a fixed temperature of 1350 degrees C, the different textures of natural MMs (from non-vesicular fine-grained particles to melted cosmic spherules) were reproduced, and the noble gas (He, Ne, Ar) and nitrogen abundances and isotope ratios of the MM analogues were subsequently determined by CO2 laser extraction-static mass spectrometry analysis. The starting material shows a heterogeneous He-Ne-Ar-N signature, consistent with the mineralogical heterogeneity of Cl chondrites and the inhomogeneous distribution of various noble gas and nitrogen components among meteoritic minerals. Nonetheless, our experiments demonstrate that moderately to strongly heated Orgueil fragments retain only a few percent of their initial noble gas and nitrogen inventories, indicating that atmospheric entry heating results in extensive degassing of meteoritic dust particles. The evolution of the noble gas and nitrogen isotope ratios may, in part, be explained by equilibration with the atmosphere; however, the decreasing delta N-15 values may also indicate preferential degradation of a N-15-rich component by thermal processing of chondritic matter. Furthermore, the efficient loss of helium and cosmogenic neon during heating will lead to an underestimate of the He-3 and Ne-21 exposure ages of MMs, as well as to large uncertainties for cosmic dust accretion rates derived from extraterrestrial He-3 abundances in deep-sea sediments or polar ice cores. While the relative proportions of infalling cometary and asteroidal dust on Earth are unknown, the contribution of noble gases, nitrogen, and water from cosmic dust to the terrestrial volatile inventory appears negligible. (C) 2013 Elsevier B.V. All rights reserved.</t>
  </si>
  <si>
    <t>[Fueri, Evelyn; Marty, Bernard; Libourel, Guy; Zimmermann, Laurent] Univ Lorraine, Ctr Rech Petrog &amp; Geochim, 15 Rue Notre Dame des Pauvres,BP20, F-54501 Vandoeuvre Les Nancy, France; [Aleon-Toppani, Alice] Univ Paris 11, Inst Astrophys Spatiale, F-91405 Orsay, France</t>
  </si>
  <si>
    <t>Universite de Lorraine; Sorbonne Universite; Universite Paris Saclay</t>
  </si>
  <si>
    <t>Füri, E (corresponding author), Univ Lorraine, Ctr Rech Petrog &amp; Geochim, 15 Rue Notre Dame des Pauvres,BP20, F-54501 Vandoeuvre Les Nancy, France.</t>
  </si>
  <si>
    <t>efueri@crpg.cnrs-nancy.fr</t>
  </si>
  <si>
    <t>Füri, Evelyn/N-7691-2016</t>
  </si>
  <si>
    <t>Füri, Evelyn/0000-0002-7680-2478</t>
  </si>
  <si>
    <t>CNES (Centre National d'Etudes Spatiales); European Research Council under the European Community [267255]</t>
  </si>
  <si>
    <t>CNES (Centre National d'Etudes Spatiales)(Centre National D'etudes Spatiales); European Research Council under the European Community(European Research Council (ERC))</t>
  </si>
  <si>
    <t>E.F. gratefully acknowledges support from the CNES (Centre National d'Etudes Spatiales) through a postdoctoral fellowship. This study was partly funded by the European Research Council under the European Community's Seventh Framework Program (FP7/2007-2013 grant agreement number 267255 to B.M.). A. Rouillier is thanked for assistance in the high temperature experimental laboratory of the CRPG-CNRS. Orgueil samples were kindly provided by G. Matrajt at CSNSM in Orsay and by F. Robert from the Museum National d'Histoire Naturelle de Paris. We thank U. Ott, M. Genge, and an anonymous reviewer for thorough reviews, and T.M. Harrison for efficient editorial handling. This work is CRPG-CNRS contribution 2251.</t>
  </si>
  <si>
    <t>10.1016/j.epsl.2013.07.031</t>
  </si>
  <si>
    <t>228MY</t>
  </si>
  <si>
    <t>WOS:000325192100001</t>
  </si>
  <si>
    <t>Gao, ZQ; Li, DM; Meng, CX; Xu, D; Zhang, XW; Ye, NH</t>
  </si>
  <si>
    <t>Gao, Zhengquan; Li, Demao; Meng, Chunxiao; Xu, Dong; Zhang, Xiaowen; Ye, Naihao</t>
  </si>
  <si>
    <t>Survival and proliferation characteristics of the microalga Chlamydomonas sp ICE-L after hypergravitational stress pretreatment</t>
  </si>
  <si>
    <t>ICARUS</t>
  </si>
  <si>
    <t>SHEAR MODELED MICROGRAVITY; TIME QUANTITATIVE PCR; GENE-EXPRESSION; CHLOROPHYLL FLUORESCENCE; MICROBIAL-GROWTH; SPACE-FLIGHT; RESPONSES; PROTEIN; PHOTOSYNTHESIS; CARBOXYLASE</t>
  </si>
  <si>
    <t>Seeking extraterrestrial life, transferring between planets, even migrating to other planets attracts more and more attention of public and scientists. However, to make it clear for the ability to survive the forces studies is prerequisite to enable the speculations by natural means. Gravity is a critical force involved in all the life on Earth and, possibly, others planets. Organisms have been grown in microgravity habitats and in centrifuges to characterize the biological response to a range of gravitational forces and radiation levels in space and on Earth. However, little is known about the profiles of eukaryotic life under conditions of hyperacceleration attributable to extreme gravities. In this study, a eukaryotic extremophile, the Antarctic green microalga Chlamydomonas sp. ICE-L, showed amazing proliferation capacity during and after hypergravitational stress for 30 min to 48 h at 110,200, 423,400, and 670,800g. These extreme gravities also had profound effects on viability, reproduction rate, photosynthesis efficiency, and gene transcriptional expression of this microalga. Most notably, all three supergravities efficiently stimulated algal cell division, but the greater the centrifugal force and the longer the duration of treatment, the lower the viable rate and breeding potential of samples in the following incubation. These results illustrated Chlamydomonas sp. ICE-L is a useful eukaryotic model system candidate for space research. Further studies could provide new insight into the physical limits of life and its evolution and enhance the possibility for interstellar space travel and the quest for extraterrestrial life according to panspermia theory. Also, it indicated that life come from the outer space is not always prokaryotes but may be eukaryotes. (C) 2013 Elsevier Inc. All rights reserved.</t>
  </si>
  <si>
    <t>[Gao, Zhengquan; Meng, Chunxiao] Shandong Univ Technol, Sch Life Sci, Zibo 255049, Peoples R China; [Xu, Dong; Zhang, Xiaowen; Ye, Naihao] Chinese Acad Fishery Sci, Yellow Sea Fisheries Res Inst, Qingdao 266071, Peoples R China; [Li, Demao] Chinese Acad Sci, Tianjin Inst Ind Biotechnol, Tianjin Key Lab Ind Biol Syst &amp; Bioproc Eng, Tianjin 300308, Peoples R China</t>
  </si>
  <si>
    <t>Shandong University of Technology; Chinese Academy of Fishery Sciences; Yellow Sea Fisheries Research Institute, CAFS; Chinese Academy of Sciences; Tianjin Institute of Industrial Biotechnology, CAS</t>
  </si>
  <si>
    <t>Ye, NH (corresponding author), Chinese Acad Fishery Sci, Yellow Sea Fisheries Res Inst, Qingdao 266071, Peoples R China.</t>
  </si>
  <si>
    <t>yenh@ysfri.ac.cn</t>
  </si>
  <si>
    <t>Shandong Science and Technology plan project [2011GHY11528]; Hi-Tech Research and Development Program (863) of China [2012AA052103]; Specialized Fund for the Basic Research Operating expenses Program [20603022012004, 2010-ts-03]; National Natural Science Foundation of China [41176153]; Natural Science Foundation of Shandong Province [2009ZRA02075, ZR2011DM006, ZR2011CQ010]; Qingdao Municipal Science and Technology plan project [11-3-1-5-hy]; National Marine Public Welfare Research Project [200805069]; National Science &amp; Technology Pillar Program [2008BAD95B11, 2010BAC68B03]; Supporting Project for Young Teachers in Shandong University of Technology [4072-110045]; science and technology support key project plan of Tianjin [12ZCZDSFO2000]</t>
  </si>
  <si>
    <t>Shandong Science and Technology plan project; Hi-Tech Research and Development Program (863) of China(National High Technology Research and Development Program of China); Specialized Fund for the Basic Research Operating expenses Program; National Natural Science Foundation of China(National Natural Science Foundation of China (NSFC)); Natural Science Foundation of Shandong Province(Natural Science Foundation of Shandong Province); Qingdao Municipal Science and Technology plan project; National Marine Public Welfare Research Project; National Science &amp; Technology Pillar Program; Supporting Project for Young Teachers in Shandong University of Technology; science and technology support key project plan of Tianjin</t>
  </si>
  <si>
    <t>The present study was supported by Shandong Science and Technology plan project (2011GHY11528), the Hi-Tech Research and Development Program (863) of China (2012AA052103), the Specialized Fund for the Basic Research Operating expenses Program (20603022012004, 2010-ts-03), National Natural Science Foundation of China (41176153,), Natural Science Foundation of Shandong Province (2009ZRA02075, ZR2011DM006, ZR2011CQ010), Qingdao Municipal Science and Technology plan project (11-3-1-5-hy), National Marine Public Welfare Research Project (200805069), and the National Science &amp; Technology Pillar Program (2008BAD95B11, 2010BAC68B03), the Supporting Project for Young Teachers in Shandong University of Technology. (4072-110045) and science and technology support key project plan of Tianjin (12ZCZDSFO2000).</t>
  </si>
  <si>
    <t>0019-1035</t>
  </si>
  <si>
    <t>1090-2643</t>
  </si>
  <si>
    <t>Icarus</t>
  </si>
  <si>
    <t>10.1016/j.icarus.2013.07.017</t>
  </si>
  <si>
    <t>222GW</t>
  </si>
  <si>
    <t>WOS:000324720200076</t>
  </si>
  <si>
    <t>Slotnick, BS; Schellenberg, SA</t>
  </si>
  <si>
    <t>Slotnick, Benjamin S.; Schellenberg, Stephen A.</t>
  </si>
  <si>
    <t>Biotic response of Tethyan bathyal ostracodes through the Eocene-Oligocene Transition: The composite faunal record from the Massicore and Massignano Global Stratotype Section and Point (east central Italy)</t>
  </si>
  <si>
    <t>Ostracoda; Paleoecology; Eocene/Oligocene Transition; GSSP; Tethys (east central Italy)</t>
  </si>
  <si>
    <t>CARBON-DIOXIDE CONCENTRATIONS; ANTARCTIC GLACIATION; EOCENE/OLIGOCENE BOUNDARY; SPECIES-DIVERSITY; ICE-SHEET; MAUD RISE; ATLANTIC; SOUTHERN; QUATERNARY; OCEAN</t>
  </si>
  <si>
    <t>The Eocene-Oligocene Transition (EOT) is marked by a double-stepped positive delta O-18 excursion of similar to 1.3 parts per thousand and a deepening of the calcium compensation depth (CCD) interpreted to represent marked Antarctic glaciation and global ocean-atmosphere cooling (i.e., Oi-1 event). A similar to 0.5-m (similar to 55-70 kyr) resolution ostracode faunal study of the Massicore, drilled up-section from the Italian Massignano Quarry containing the Eocene-Oligocene Global Stratotype Section and Point (GSSP), revealed a relative increase in Krithe and decreases in faunal evenness and Shannon Index correlative to the Oi-1 event. These transient faunal changes may reflect local water column changes (e.g., export production) or intensified thermohaline flow of cooler deep waters through the paleotethyan seaway. Comparison of these Massicore ostracode faunal data to previously-published Massignano Quarry ostracode faunal data reveals similar relative abundances among common taxa where the study intervals overlap, and thereby provide a more complete Tethyan ostracode record spanning all of C13n and the broader EOT at the GSSP locality. (C) 2013 Published by Elsevier B.V.</t>
  </si>
  <si>
    <t>[Slotnick, Benjamin S.; Schellenberg, Stephen A.] San Diego State Univ, Dept Geol Sci, San Diego, CA 92182 USA; [Slotnick, Benjamin S.] Rice Univ, Dept Earth Sci, Houston, TX 77005 USA</t>
  </si>
  <si>
    <t>California State University System; San Diego State University; Rice University</t>
  </si>
  <si>
    <t>Slotnick, BS (corresponding author), San Diego State Univ, Dept Geol Sci, San Diego, CA 92182 USA.</t>
  </si>
  <si>
    <t>bss2@rice.edu; saschellenberg@mail.sdsu.edu</t>
  </si>
  <si>
    <t>BP America Hayward Malone Scholarship Program Geoscience Award</t>
  </si>
  <si>
    <t>The authors wish to thank A. Montanari for providing access to and assisting in our sampling of the Massicore. Discussions with Alexander J.P. Houben, Henk Brinkhuis, Bridget Wade, and Steven Bohaty were much appreciated. R. Jordan and two anonymous reviewers provided extremely useful and helpful comments that greatly improved the quality of the manuscript. Slotnick acknowledges student funding support from the BP America Hayward Malone Scholarship Program Geoscience Award.</t>
  </si>
  <si>
    <t>10.1016/j.marmicro.2013.03.005</t>
  </si>
  <si>
    <t>228OC</t>
  </si>
  <si>
    <t>WOS:000325195100006</t>
  </si>
  <si>
    <t>Yu, QL; Wang, H; Wan, LY; Bi, HB</t>
  </si>
  <si>
    <t>Yu Qinglong; Wang Hui; Wan Liying; Bi Haibo</t>
  </si>
  <si>
    <t>Retrieving the antarctic sea-ice concentration based on AMSR-E 89 GHz data</t>
  </si>
  <si>
    <t>sea-ice concentration; AMSR-E; antarctic; LASI algorithm</t>
  </si>
  <si>
    <t>ALGORITHMS; REDUCTION; AREA</t>
  </si>
  <si>
    <t>Sea-ice concentration is a key item in global climate change research. Recent progress in remotely sensed sea-ice concentration product has been stimulated by the use of a new sensor, advanced microwave scanning radiometer for EOS (AMSR-E), which offers a spatial resolution of 6 kmx4 km at 89GHz. A new inversion algorithm named LASI (linear ASI) using AMSR-E 89GHz data was proposed and applied in the antarctic sea areas. And then comparisons between the LASI ice concentration products and those retrieved by the other two standard algorithms, ASI (arctic radiation and turbulence interaction study sea-ice algorithm) and bootstrap, were made. Both the spatial and temporal variability patterns of ice concentration differences, LASI minus ASI and LASI minus bootstrap, were investigated. Comparative data suggest a high result consistency, especially between LASI and ASI. On the other hand, in order to estimate the LASI ice concentration errors introduced by the tie-points uncertainties, a sensitivity analysis was carried out. Additionally an LASI algorithm error estimation based on the field measurements was also completed. The errors suggest that the moderate to high ice concentration areas (&gt; 70%) are less affected (never exceeding 10%) than those in the low ice concentration. LASI and ASI consume 75 and 112 s respectively when processing the same AMSR-E time series thourghout the year 2010. To conclude, by using the LASI algorithm, not only the seaice concentration can be retrieved with at least an equal quality as that of the two extensively demonstrated operational algorithms, ASI and bootstrap, but also in a more efficient way than ASI.</t>
  </si>
  <si>
    <t>[Yu Qinglong; Wang Hui; Wan Liying] State Ocean Adm, Natl Marine Environm Forecasting Ctr, Beijing 100081, Peoples R China; [Bi Haibo] Chinese Acad Sci, Inst Remote Sensing Applicat, Beijing 100101, Peoples R China; [Bi Haibo] Chinese Acad Sci, Grad Sch, Beijing 100049, Peoples R China</t>
  </si>
  <si>
    <t>National Marine Environmental Forecasting Center; Chinese Academy of Sciences; Chinese Academy of Sciences; University of Chinese Academy of Sciences, CAS</t>
  </si>
  <si>
    <t>Bi, HB (corresponding author), Chinese Acad Sci, Inst Remote Sensing Applicat, Beijing 100101, Peoples R China.</t>
  </si>
  <si>
    <t>gis0301000501@163.com</t>
  </si>
  <si>
    <t>National Science Foundation of China [41006016]</t>
  </si>
  <si>
    <t>National Science Foundation of China(National Natural Science Foundation of China (NSFC))</t>
  </si>
  <si>
    <t>The Youth Science Fund Project of the National Science Foundation of China under contract No. 41006016.</t>
  </si>
  <si>
    <t>10.1007/s13131-013-0350-0</t>
  </si>
  <si>
    <t>221CY</t>
  </si>
  <si>
    <t>WOS:000324636300005</t>
  </si>
  <si>
    <t>Volkov, DL; Landerer, FW; Kirillov, SA</t>
  </si>
  <si>
    <t>Volkov, Denis L.; Landerer, Felix W.; Kirillov, Sergey A.</t>
  </si>
  <si>
    <t>The genesis of sea level variability in the Barents Sea</t>
  </si>
  <si>
    <t>Barents Sea; Sea level variability; Satellite altimetry; GRACE; ECCO2; Arctic seas</t>
  </si>
  <si>
    <t>GRACE; OCEAN; MODEL</t>
  </si>
  <si>
    <t>The regional variability of sea level is an integral indicator of changing oceanographic conditions due to different processes of oceanic, atmospheric, and terrestrial origin. The present study explores the nature of sea level variability in the Barents Sea a marginal shelf sea of the Arctic Ocean. A characteristic feature that distinguishes this sea from other Arctic shelf seas is that it is largely ice free throughout the year. This allows continuous monitoring of sea level by space-borne altimeters. In this work we combine satellite altimetry, ocean gravity measurements by GRACE satellites, available hydrography data, and a high-resolution ocean data synthesis product to estimate the steric and mass-related components of sea level in the Barents Sea. We present one of the first observational evidence of the local importance of the mass-related sea level changes. The observed 1-3 month phase lag between the annual cycles of sea level in the Barents Sea and in the Nordic seas (Norwegian, Iceland, Greenland seas) is explained by the annual mass-related changes. The analysis of the barotropic vorticity budget shows that the mass-related sea level variability in the central part of the Barents Sea is determined by the combined effect of wind stress, flow over the varying bottom topography, and dissipation, while the impact of vorticity fluxes is negligible. Overall, the steric sea level has smaller amplitudes and mainly varies on the seasonal time scale. The thermosteric sea level is the main contributor to the steric sea level along the pathways of the Atlantic inflow into the Barents Sea. The relative contribution of the halosteric sea level is dominant in the southeastern, eastern, and northern parts of the Barents Sea, modulated by the seasonal sea ice formation/melt as well as by continental runoff. The variability of the thermosteric sea level in the Barents Sea is mostly driven by variations in the net surface heat flux, whereas the contribution of heat advection becomes as important as the ocean-atmosphere heat exchange at interannual time scales. (C) 2013 Elsevier Ltd. All rights reserved.</t>
  </si>
  <si>
    <t>[Volkov, Denis L.] Univ Miami, Cooperat Inst Marine &amp; Atmospher Studies, Miami, FL USA; [Volkov, Denis L.] NOAA, Atlantic Oceanog &amp; Meteorol Lab, Miami, FL 33149 USA; [Landerer, Felix W.] CALTECH, Jet Prop Lab, Pasadena, CA USA; [Kirillov, Sergey A.] Arctic &amp; Antarctic Res Inst, St Petersburg 199226, Russia; [Kirillov, Sergey A.] St Petersburg State Univ, Dept Oceanol, St Petersburg 199034, Russia</t>
  </si>
  <si>
    <t>University of Miami; National Oceanic Atmospheric Admin (NOAA) - USA; Atlantic Oceanographic &amp; Meteorological Laboratory (AOML); California Institute of Technology; National Aeronautics &amp; Space Administration (NASA); NASA Jet Propulsion Laboratory (JPL); Arctic &amp; Antarctic Research Institute; Saint Petersburg State University</t>
  </si>
  <si>
    <t>Volkov, DL (corresponding author), NOAA, Atlantic Oceanog &amp; Meteorol Lab, PhOD, 4301 Rickenbacker Causeway, Miami, FL 33149 USA.</t>
  </si>
  <si>
    <t>Denis.Volkov@noaa.gov</t>
  </si>
  <si>
    <t>Volkov, Denis/A-6079-2011; Landerer, Felix W/ABG-2849-2021</t>
  </si>
  <si>
    <t>Volkov, Denis/0000-0002-9290-0502; Landerer, Felix W/0000-0003-2678-095X</t>
  </si>
  <si>
    <t>CNES; NASA MEASURES Program; NASA Physical Oceanography program; Russian Federal Targeted program</t>
  </si>
  <si>
    <t>CNES(Centre National D'etudes Spatiales); NASA MEASURES Program; NASA Physical Oceanography program(National Aeronautics &amp; Space Administration (NASA)); Russian Federal Targeted program</t>
  </si>
  <si>
    <t>The altimeter products were produced by SSALTO/DUACS and distributed by AVISO with support from CNES (http://www.aviso.oceanobs.com/duacs/). GRACE ocean data were processed by Don R Chambers, supported by the NASA MEASURES Program, and are available at http://grace.jpl.nasa.gov. The authors thank two anonymous reviewers for their comments and suggestions that helped to improve the manuscript. The ECCO2 model runs have been carried out at Jet Propulsion Laboratory, California Institute of Technology (http://ecco2.jpl.nasa.gov). DV and FL were supported by the NASA Physical Oceanography program. SK was supported by the Russian Federal Targeted program.</t>
  </si>
  <si>
    <t>10.1016/j.csr.2013.07.007</t>
  </si>
  <si>
    <t>222IL</t>
  </si>
  <si>
    <t>WOS:000324724300010</t>
  </si>
  <si>
    <t>Bhuiyan, M; Tucker, D; Watson, K</t>
  </si>
  <si>
    <t>Bhuiyan, Mohammad; Tucker, David; Watson, Kenneth</t>
  </si>
  <si>
    <t>Determination and differentiation of triacylglycerol molecular species in Antarctic and non-Antarctic yeasts by atmospheric pressure-chemical ionization-mass spectrometry</t>
  </si>
  <si>
    <t>JOURNAL OF MICROBIOLOGICAL METHODS</t>
  </si>
  <si>
    <t>Antarctic yeast; Fatty acid; HPLC-APCI-MS; Mass spectrometry; Temperature; Triacylglycerol</t>
  </si>
  <si>
    <t>PERFORMANCE LIQUID-CHROMATOGRAPHY; LIPIDS; IDENTIFICATION; OILS</t>
  </si>
  <si>
    <t>Yeast, particularly Saccharomyces cerevisiae, has long served as a model eukaryotic system for studies on the regulation of lipid metabolism. We developed a high performance liquid chromatography-atmospheric pressure chemical ionization-mass spectrometry method for the detailed analysis of triacylglycerols (TAGS) in 14 species of yeast consisting of seven Antarctic yeasts (grown at 15 degrees C and 5 degrees C) and seven non-Antarctic yeasts (grown at 25 degrees C and 15 degrees C), the latter including 3 strains of S. cerevisiae. Analysis of TAG molecular species established that the sn-2 position was invariably occupied by an unsaturated fatty acyl moiety. In S. cerevisiae the preference was for oleic add 18:1 &gt; palmitoleic acid 16:1, in Candida albicans, Cryptococcus humicolus and Rhodotorula mucilaginosa 18:1 &gt; linoleic acid 18:2 and in Zygosaccharomyces rouxii 18:2 &gt; 18:1. In the Antarctic yeasts (Cryptococcus watticus, Cryptococcus victoriae, Cryptococcus nyarrowii, Leucosporidium antarcticum, Leucosporidium fellii, Candida psychrophila and Rhodotorula mucilaginosa) the general pattern was for the sn-2 position to be occupied by 18:1, 18:2 or linolenic acid 18:3. A trend towards synthesis of increased unsaturated fatty acid in TAGs was observed as the growth temperature was lowered. The application of principal component analysis demonstrated that the yeasts were differentiated into three distinct groups. One group consisted of the three S. cerevisiae strains, a second the other four non-Antarctic yeasts and the third the seven Antarctic yeasts. The data for the Antarctic yeasts, to the best of our knowledge, have not been previously reported. (C) 2013 Elsevier B.V. All rights reserved.</t>
  </si>
  <si>
    <t>[Bhuiyan, Mohammad; Tucker, David; Watson, Kenneth] Univ New England, Sch Sci &amp; Technol, Armidale, NSW 2351, Australia</t>
  </si>
  <si>
    <t>University of New England</t>
  </si>
  <si>
    <t>Watson, K (corresponding author), Univ New England, Sch Sci &amp; Technol, Armidale, NSW 2351, Australia.</t>
  </si>
  <si>
    <t>kwatson2@une.edu.au</t>
  </si>
  <si>
    <t>University of New England; postgraduate research scholarship</t>
  </si>
  <si>
    <t>This work was supported by internal research grants from the University of New England and a postgraduate research scholarship to M.B.</t>
  </si>
  <si>
    <t>0167-7012</t>
  </si>
  <si>
    <t>1872-8359</t>
  </si>
  <si>
    <t>J MICROBIOL METH</t>
  </si>
  <si>
    <t>J. Microbiol. Methods</t>
  </si>
  <si>
    <t>10.1016/j.mimet.2013.06.012</t>
  </si>
  <si>
    <t>Biochemical Research Methods; Microbiology</t>
  </si>
  <si>
    <t>221NB</t>
  </si>
  <si>
    <t>WOS:000324664500016</t>
  </si>
  <si>
    <t>Ho, MA; Price, C; King, CK; Virtue, P; Byrne, M</t>
  </si>
  <si>
    <t>Ho, M. A.; Price, C.; King, C. K.; Virtue, P.; Byrne, M.</t>
  </si>
  <si>
    <t>Effects of ocean warming and acidification on fertilization in the Antarctic echinoid Sterechinus neumayeri across a range of sperm concentrations</t>
  </si>
  <si>
    <t>MARINE ENVIRONMENTAL RESEARCH</t>
  </si>
  <si>
    <t>Global change; Antarctica; Sea urchin; Sperm density; Temperature; pCO(2)</t>
  </si>
  <si>
    <t>LIFE-HISTORY STAGES; SEA-URCHIN; CLIMATE-CHANGE; EMBRYONIC-DEVELOPMENT; MARINE ECOSYSTEM; TEMPERATURE; IMPACT; WATER; INVERTEBRATES; VULNERABILITY</t>
  </si>
  <si>
    <t>The gametes of marine invertebrates are being spawned into an ocean that is simultaneously warming and decreasing in pH. Predicting the potential for interactive effects of these stressors on fertilization is difficult, especially for stenothermal polar invertebrates adapted to fertilization in cold, viscous water and, when decreased sperm availability may be an additional stressor. The impact of increased temperature (2-4 degrees C above ambient) and decreased pH (0.2-0.4 pH units below ambient) on fertilization in the Antarctic echinoid Sterechinus neumayeri across a range of sperm concentrations was investigated in cross-factorial experiments in context with near future ocean change projections. The high temperature treatment (+4 degrees C) was also used to assess thermal tolerance. Gametes from multiple males and females in replicate experiments were used to reflect the multiple spawner scenario in nature. For fertilization at low sperm density we tested three hypotheses, 1) increased temperature enhances fertilization success, 2)low pH reduces fertilization and, 3) due to the cold stenothermal physiology of S. neumayeri, temperature would be the more significant stressor. Temperature and sperm levels had a significant effect on fertilization, but decreased pH did not affect fertilization. Warming enhanced fertilization at the lowest sperm concentration tested likely through stimulation of sperm motility and reduced water viscosity. Our results indicate that fertilization in S. neumayeri, even at low sperm levels potentially found in nature, is resilient to near-future ocean warming and acidification. (C) 2013 Elsevier Ltd. All rights reserved.</t>
  </si>
  <si>
    <t>[Ho, M. A.; Byrne, M.] Univ Sydney, Sch Med Sci, Sydney, NSW 2006, Australia; [Price, C.; Virtue, P.] Univ Tasmania, Inst Marine &amp; Antarct Studies, Hobart, Tas, Australia; [King, C. K.] Australian Antarctic Div, Kingston, Tas, Australia; [Byrne, M.] Univ Sydney, Sch Biol Sci, Sydney, NSW 2006, Australia</t>
  </si>
  <si>
    <t>University of Sydney; University of Tasmania; Australian Antarctic Division; University of Sydney</t>
  </si>
  <si>
    <t>Byrne, M (corresponding author), Univ Sydney, Sch Med Sci, Sydney, NSW 2006, Australia.</t>
  </si>
  <si>
    <t>mbyrne@anatomy.usyd.edu.au</t>
  </si>
  <si>
    <t>King, Catherine K/G-7059-2017; Price, Cas/KHT-2225-2024; Byrne, Maria/K-6355-2016; Sedran-Price, Cassandra/F-4341-2014</t>
  </si>
  <si>
    <t>King, Catherine K/0000-0003-3356-0381; Byrne, Maria/0000-0002-8902-9808; Virtue, Patti/0000-0002-9870-1256; Sedran-Price, Cassandra/0000-0002-0196-2450</t>
  </si>
  <si>
    <t>Australian Antarctic Division (AAD); Australian Research Council</t>
  </si>
  <si>
    <t>Australian Antarctic Division (AAD); Australian Research Council(Australian Research Council)</t>
  </si>
  <si>
    <t>Supported by grants from the Australian Antarctic Division (AAD) and the Australian Research Council. Thanks to MD staff and students who provided logistical support and assistance including Adam Christensen, Glenn Wallace, Lucas Koleits, Rob King, Steve Whiteside, Jane Wasley, Andrew Bryant, Charmaine Alford, Mike Grimmer, Martin Hess, Dougie Gray, Frank Ross and also to Kate Berry of CSIRO Marine and Atmospheric Research, Hobart.</t>
  </si>
  <si>
    <t>0141-1136</t>
  </si>
  <si>
    <t>1879-0291</t>
  </si>
  <si>
    <t>MAR ENVIRON RES</t>
  </si>
  <si>
    <t>Mar. Environ. Res.</t>
  </si>
  <si>
    <t>10.1016/j.marenvres.2013.07.007</t>
  </si>
  <si>
    <t>Environmental Sciences; Marine &amp; Freshwater Biology; Toxicology</t>
  </si>
  <si>
    <t>Environmental Sciences &amp; Ecology; Marine &amp; Freshwater Biology; Toxicology</t>
  </si>
  <si>
    <t>220TQ</t>
  </si>
  <si>
    <t>WOS:000324610200016</t>
  </si>
  <si>
    <t>Martos, YM; Maldonado, A; Lobo, FJ; Hernández-Molina, FJ; Pérez, LF</t>
  </si>
  <si>
    <t>Martos, Yasmina M.; Maldonado, Andres; Lobo, Francisco J.; Hernandez-Molina, Fo Javier; Perez, Lara F.</t>
  </si>
  <si>
    <t>Tectonics and palaeoceanographic evolution recorded by contourite features in southern Drake Passage (Antarctica)</t>
  </si>
  <si>
    <t>Shackleton Fracture Zone; South Scotia Ridge; contourite features; Antarctic Circumpolar Current; Weddell Sea Deep Water; tectonic evolution</t>
  </si>
  <si>
    <t>SHACKLETON FRACTURE-ZONE; NORTHERN WEDDELL SEA; SCOTIA SEA; PLATE BOUNDARY; BOTTOM WATER; PACIFIC MARGIN; POWELL BASIN; DEEP WATERS; RIDGE; ICE</t>
  </si>
  <si>
    <t>The sedimentary record in the vicinity of the triple junction at the southern Drake Passage is analyzed in order to decode the palaeoceanographic evolution and the influence of tectonic events. The break-up of the last connection between South America and Antarctica led to the circulation of important oceanographic bottom flows, including the Antarctic Circumpolar Current (ACC) and the Weddell Sea Deep Water (WSDW). The Shackleton Fracture Zone (SFZ), a ridge crossing the central Drake Passage, has been proposed as a major barrier that constrained the free circulation of bottom flows in the area, but whose timing and importance is poorly established. Also, the South Scotia Ridge (SSR), a prominent relief composing the southern part of the Scotia Arc, has controlled oceanographic exchanges between the Weddell and Scotia seas, as bottom flows from the Weddell Sea to the Scotia Sea have been conducted across narrow gateways along the SSR. On the basis of a network of multichannel seismic profiles, we interpret the uplift dynamics of the SFZ in the southern Drake Passage and its influence on the evolution of the bottom-current circulation and by extension on contourite processes. Six main seismic units, identified and correlated between the Scotia and the Former Phoenix plates, depict a south-west-directed tilting of the deposits above a mid-Miocene reflector (Reflector c) on the Phoenix Plate. The regional correlation of the main reflections and contourite features indicates that the deepest fraction of the ACC, the Lower Circumpolar Deep Water (LCDW as the lower part of the Circumpolar Deep Water, COW), flowed freely from the latest Eocene to the middle Miocene, and that these palaeo-flows have been active until the present in the abyssal plain of the central-western Scotia Sea. SFZ uplift was initiated, at the latest, during the middle Miocene (about 12 Ma), when the SFZ began to be an effective barrier to bottom flows in the southern Drake Passage. The ridge forced the ACC and the Polar Front to shift northward contributing to the thermal isolation of Antarctica and more polar conditions. The northward displacement of the LCDW and the opening of passages along the SSR favored the insertion of WSDW flows along the southern part of the Drake Passage, westward into the Pacific Ocean and northward into the abyssal plain of the southwestern Scotia Sea. Based on the morphology and evolution of the main erosional features, we also calculate a ratio between two volumetric flow rates related to the two major branches of the WSDW in the southwestern Scotia Sea area. The highest ratio is found for the age of Reflector b and is probably related with the strongest incursions of the WSDW in the area, as well as with SFZ uplift. This work demonstrates the common occurrence of large depositional and erosional features in deep marine environments related to bottom-current activity and their important implications on decoding palaeoceanographic, climatic and tectonic events. (C) 2013 Elsevier B.V. All rights reserved.</t>
  </si>
  <si>
    <t>[Martos, Yasmina M.; Maldonado, Andres; Lobo, Francisco J.; Perez, Lara F.] Inst Andaluz Ciencias Tierra CSIC UGR, Granada 18100, Spain; [Hernandez-Molina, Fo Javier] Royal Holloway Univ London, Dept Earth Sci, Egham TW20 0EX, Surrey, England</t>
  </si>
  <si>
    <t>University of Granada; Consejo Superior de Investigaciones Cientificas (CSIC); CSIC - Instituto Andaluz de Ciencias de la Tierra (IACT); University of London; Royal Holloway University London</t>
  </si>
  <si>
    <t>Martos, YM (corresponding author), Inst Andaluz Ciencias Tierra CSIC UGR, Avda Palmeras 4, Granada 18100, Spain.</t>
  </si>
  <si>
    <t>yasmartos@ugr.es; amaldona@ugr.es; pacolobo@iact.ugr-csic.es; fjhernan@uvigo.es; lfperez@iact.ugr-csic.es</t>
  </si>
  <si>
    <t>Pérez, Lara F./H-3572-2015; Lobo, Francisco José/J-9836-2012</t>
  </si>
  <si>
    <t>Pérez, Lara F./0000-0002-6229-4564; Lobo, Francisco José/0000-0002-3294-7202</t>
  </si>
  <si>
    <t>Ministerio de Ciencia e Innovacion of Spain (FPI) [CGL2004-05646/ANT, CTM2008-06386-C02/ANT, CTM2011-30241-CO2-01, CTM 2008-06399-C04/MAR, CTM 2012-39599-C03, IGCP 619, INQUA 1204]; FPI program; CSIC</t>
  </si>
  <si>
    <t>Ministerio de Ciencia e Innovacion of Spain (FPI); FPI program; CSIC</t>
  </si>
  <si>
    <t>This work was supported by CGL2004-05646/ANT, CTM2008-06386-C02/ANT, CTM2011-30241-CO2-01, CTM 2008-06399-C04/MAR and CTM 2012-39599-C03, IGCP 619 and INQUA 1204 projects and by a pre-doctoral fellowship of the Ministerio de Ciencia e Innovacion of Spain (FPI). This work also has been benefited for two research stages abroad funded by the FPI program. F.J. Hernandez-Molina contributed to this work throughout a research stage at Heriot-Watt University (UK) during his sabbatical year in 2013. L.F.P. thanks the JAE-predoc grant of the CSIC. Generic Mapping Tools and GPlates software have been used in this work. The English style of the manuscript was thoroughly reviewed by Christine Laurin. We thank the positive comments and suggestions from Dr. Robert Later and Dr. John Anderson as reviewers who helped us to improve the final version of this manuscript.</t>
  </si>
  <si>
    <t>10.1016/j.margeo.2013.06.015</t>
  </si>
  <si>
    <t>221NC</t>
  </si>
  <si>
    <t>WOS:000324664600007</t>
  </si>
  <si>
    <t>Toyoshima, T; Osanai, Y; Baba, S; Hokada, T; Nakano, N; Adachi, T; Otsubo, M; Ishikawa, M; Nogi, Y</t>
  </si>
  <si>
    <t>Toyoshima, Tsuyoshi; Osanai, Yasuhito; Baba, Sotaro; Hokada, Tomokazu; Nakano, Nobuhiko; Adachi, Tatsuro; Otsubo, Makoto; Ishikawa, Masahiro; Nogi, Yoshifumi</t>
  </si>
  <si>
    <t>Sinistral transpressional and extensional tectonics in Dronning Maud Land, East Antarctica, including the Sor Rondane Mountains</t>
  </si>
  <si>
    <t>Sor Rondane Mountains; East Antarctica; Pre-Pan-African extension; Sinistral transpression; Dextral shearing; Gondwana</t>
  </si>
  <si>
    <t>MULTIPLE INVERSE METHOD; CRUSTAL EVOLUTION; HU SVERDRUPFJELLA; SRI-LANKA; AGE; CONSTRAINTS; MOZAMBIQUE; METAMORPHISM; GONDWANA; EVENTS</t>
  </si>
  <si>
    <t>In this paper we clarify the history of deformation in the Sor Rondane Mountains (SRMs), eastern Dronning Maud Land (DML), East Antarctica, and construct a form-line contour map of the metamorphic and plutonic rocks in order to comprehend their structural features and provide constraints on the collisional tectonics of East and West Gondwana. We divide the deformational history in the SRMs into 13 stages (D1-D13). The tectonic regime varied frequently from extension (D3-D4) to layer-normal compression and layer-parallel extension (D5), to compression (D6), extension (D7), sinistral transtension and sinistral strike-slip (D8), compression (D9-D11), and finally extension related to dextral shearing (D12-D13). D7 and D8 indicate major extensional tectonic activity in the southern part of the East African and Antarctic Orogen (EAAO) before the Pan-African compressional event, and after the c. 600 Ma peak of metamorphism. The Pan-African compressional event resulted in the formation of upright folds with horizontal axes that curve along the coastline in central to eastern DML during the D9 deformation that took place between 600 and 560 Ma. The coastline-parallel fold axes and subvertical axial-planes correspond to the X-axes and the XY-planes, respectively, of strain ellipsoids that were progressively rotated counterclockwise toward the central parts of a sinistral shear zone. Therefore, the curved fold axes and axial-planes suggest the EAAO acted as a zone of sinistral transpression during the collision of parts of East and West Gondwana. Around 560-550 Ma, during D12, parallel dyke swarms of granitic pegmatite were intruded along normal faults under a regime of NNE-SSW horizontal extensional stress. The extensional paleo-stress and its related structures suggest dextral rather than sinistral shearing took place along the north-trending EAAO during this late Pan-African event. There is the possibility of a reversal of trans-orogen asymmetry from sinistral to dextral in the southern part of the EAAO. The dyke swarms are considered to have been the heralds of the voluminous 530-500 Ma A-type granite intrusions in DML. At the same time, the Lutzow-Holm Complex was under a non-extensional tectonic regime, and may have been situated in a different orogen from the EAAO. (C) 2013 Elsevier B.V. All rights reserved.</t>
  </si>
  <si>
    <t>[Toyoshima, Tsuyoshi] Niigata Univ, Fac Sci, Dept Geol, Nishi Ku, Niigata 9502181, Japan; [Osanai, Yasuhito; Nakano, Nobuhiko] Kyushu Univ, Fac Social &amp; Cultural Studies, Div Earth Sci, Nishi Ku, Fukuoka 8190395, Japan; [Baba, Sotaro] Univ Ryukyus, Dept Nat Environm, Nishihara, Okinawa 9030213, Japan; [Hokada, Tomokazu; Nogi, Yoshifumi] Grad Univ Adv Studies Sokendai, Natl Inst Polar Res, Tachikawa, Tokyo 1908518, Japan; [Adachi, Tatsuro] Kyushu Univ, Adv Asian Archaeol Res Ctr, Nishi Ku, Fukuoka 8190395, Japan; [Otsubo, Makoto] Natl Inst Adv Ind Sci &amp; Technol, Inst Geol &amp; Geoinformat, Tsukuba, Ibaraki 3058567, Japan; [Ishikawa, Masahiro] Yokahama Natl Univ, Grad Sch Environm &amp; Informat Sci, Hodogaya Ku, Yokohama, Kanagawa 2408501, Japan</t>
  </si>
  <si>
    <t>Niigata University; Kyushu University; University of the Ryukyus; Graduate University for Advanced Studies - Japan; Research Organization of Information &amp; Systems (ROIS); National Institute of Polar Research (NIPR) - Japan; Kyushu University; National Institute of Advanced Industrial Science &amp; Technology (AIST); Yokohama National University</t>
  </si>
  <si>
    <t>Toyoshima, T (corresponding author), Niigata Univ, Fac Sci, Dept Geol, Nishi Ku, 8050 Ikarashi 2 No Cho, Niigata 9502181, Japan.</t>
  </si>
  <si>
    <t>ttoyo@geo.sc.niigata-u.ac.jp</t>
  </si>
  <si>
    <t>Baba, Sotaro/AGX-7968-2022; Baba, Sotaro/H-3107-2013; Hokada, Tomokazu/AAC-7847-2019; Baba, Sotaro/HGU-7234-2022; ISHIKAWA, MASAHIRO/P-5342-2014; Otsubo, Makoto/L-9088-2018</t>
  </si>
  <si>
    <t>Baba, Sotaro/0000-0003-2969-9575; Baba, Sotaro/0000-0003-2969-9575; Baba, Sotaro/0000-0003-2969-9575; Nogi, Yoshifumi/0000-0001-8457-4244; ISHIKAWA, MASAHIRO/0000-0003-1628-3116; Otsubo, Makoto/0000-0003-1222-2578</t>
  </si>
  <si>
    <t>JSPS KAKENHI [25400483]; Grants-in-Aid for Scientific Research [23340155, 21109002, 25302008, 25400483, 25400518, 22244063, 21253008, 23540534, 25287132] Funding Source: KAKEN</t>
  </si>
  <si>
    <t>We would like to thank the members of the 48th and 49th Japanese Antarctic Research Expeditions, and the crews of the icebreaker Shirase and the DROMLAN flight network. We are indebted to A. Hubert, G. Johnson-Amin, and all members of the Belgian station Princess Elisabeth Antarctica during the 2007-2008 season for their support of our fieldwork. We also acknowledge K. Shiraishi, Y. Motoyoshi, H. Ishizuka, M. Owada, M.K. Satish, K. Tsukada, and S. Kagashima for valuable discussions. We are grateful to J. Jacobs and an anonymous reviewer for their critical reading, constructive reviews, and substantial improvement of the manuscript. The constructive comments and editorial handling of M. Satish-Kumar improved this manuscript and are gratefully acknowledged. This work was partly supported by JSPS KAKENHI Grant Number 25400483 (awarded to T.T.).</t>
  </si>
  <si>
    <t>10.1016/j.precamres.2013.05.010</t>
  </si>
  <si>
    <t>221NL</t>
  </si>
  <si>
    <t>WOS:000324665500003</t>
  </si>
  <si>
    <t>Kamei, A; Horie, K; Owada, M; Yuhara, M; Nakano, N; Osanai, Y; Adachi, T; Hara, Y; Terao, M; Teuchi, S; Shimura, T; Tsukada, K; Hokada, T; Iwata, C; Shiraishi, K; Ishizuka, H; Takahashi, Y</t>
  </si>
  <si>
    <t>Kamei, Atsushi; Horie, Kenji; Owada, Masaaki; Yuhara, Masaki; Nakano, Nobuhiko; Osanai, Yasuhito; Adachi, Tatsuro; Hara, Yuki; Terao, Madoka; Teuchi, Shinjiro; Shimura, Toshiaki; Tsukada, Kazuhiro; Hokada, Tomokazu; Iwata, Chika; Shiraishi, Kazuyuki; Ishizuka, Hideo; Takahashi, Yuhei</t>
  </si>
  <si>
    <t>Late Proterozoic juvenile arc metatonalite and adakitic intrusions in the Sor Rondane Mountains, eastern Dronning Maud Land, Antarctica</t>
  </si>
  <si>
    <t>Tholeiitic granitoid; Adakite; Juvenile arc; Sor Rondane Mountains; Dronning Maud Land; Antarctica</t>
  </si>
  <si>
    <t>GRENVILLE-AGE METAMORPHISM; IZU-BONIN ARC; MANTLE WEDGE; CRUSTAL EVOLUTION; HU SVERDRUPFJELLA; PLUTONIC COMPLEX; PETROGENESIS; MAGMAS; SLAB; CONSTRAINTS</t>
  </si>
  <si>
    <t>This study is a detailed investigation of the petrology and geochronology of the Late Proterozoic metatonalite in the Sor Rondane Mountains, eastern Dronning Maud Land, Antarctica. Metatonalite is dominant over roughly 100 x 20 km(2) area in the southwestern end of the mountain range and is classified into five lithologies: gneissose Bt-Hbl metatonalite, weak gneissose Hbl-Bt metatonalite, Hbl metagabbro, Hbl-Bt tonalitic gneiss, and Bt metatonalite. The gneissose Bt-Hbl metatonalite is the main lithotype widely distributed over this area, which is geochemically categorized as low-K tholeiitic granitoid. Petrological studies suggest that the tholeiitic magma was derived from low-K basalt melting at the crustal depth, and the most plausible tectonic setting is a juvenile oceanic arc. The other four metaplutonic rocks are scattered as stocks or small intrusions in this area. They are geochemically regarded as calc-alkaline adakites related to oceanic slab melting. U-Pb SHRIMP zircon ages of the tholeiitic metatonalite are concentrated at 998-995 Ma, whereas the calc-alkaline adakitic rocks are younger and divided between ages 945-920 Ma and 772 Ma. We believe that the tholeiitic metatonalite was formed first as a juvenile arc component between 998 and 995 Ma, followed by adakitic magmatism and oceanic slab melting at 945-920 Ma and 772 Ma. Magmatism during this stage is not recorded in the western to central Dronning Maud Land. Moreover, the exposure of an adakitic equivalent continues at the farther eastern side of the Sor Rondane Mountains. This suggests that the tectonic framework of the Sor Rondane Mountains, eastern Dronning Maud Land, is different from the western to central Dronning Maud Land. (C) 2012 Elsevier B.V. All rights reserved.</t>
  </si>
  <si>
    <t>[Kamei, Atsushi; Hara, Yuki; Terao, Madoka; Teuchi, Shinjiro; Iwata, Chika] Shimane Univ, Dept Geosci, Matsue, Shimane 6908504, Japan; [Horie, Kenji; Hokada, Tomokazu; Shiraishi, Kazuyuki] Natl Inst Polar Res, Tachikawa, Tokyo 1908518, Japan; [Owada, Masaaki] Yamaguchi Univ, Grad Sch Sci &amp; Engn, Yamaguchi 7538512, Japan; [Yuhara, Masaki] Fukuoka Univ, Fac Sci, Dept Earth Syst Sci, Jonan Ku, Fukuoka 8140180, Japan; [Nakano, Nobuhiko; Osanai, Yasuhito; Adachi, Tatsuro] Kyushu Univ, Fac Social &amp; Cultural Studies, Div Earth Sci, Nishi Ku, Fukuoka 8190395, Japan; [Shimura, Toshiaki] Niigata Univ, Fac Sci, Dept Geol, Nishi Ku, Niigata 9502181, Japan; [Tsukada, Kazuhiro] Nagoya Univ Museum, Chikusa Ku, Nagoya, Aichi 4648601, Japan; [Ishizuka, Hideo] Kochi Univ, Dept Geol, Kochi 7808520, Japan; [Takahashi, Yuhei] Natl Inst Adv Ind Sci &amp; Technol, Geol Survey Japan, Tsukuba, Ibaraki 3058567, Japan</t>
  </si>
  <si>
    <t>Shimane University; Research Organization of Information &amp; Systems (ROIS); National Institute of Polar Research (NIPR) - Japan; Yamaguchi University; Fukuoka University; Kyushu University; Niigata University; Nagoya University; Kochi University; National Institute of Advanced Industrial Science &amp; Technology (AIST)</t>
  </si>
  <si>
    <t>Kamei, A (corresponding author), Shimane Univ, Dept Geosci, 1060 Nishikawatsu, Matsue, Shimane 6908504, Japan.</t>
  </si>
  <si>
    <t>kamei-a@riko.shimane-u.ac.jp</t>
  </si>
  <si>
    <t>Hokada, Tomokazu/AAC-7847-2019; Horie, Kenji/ABH-8197-2020</t>
  </si>
  <si>
    <t>Japan Society for the Promotion of Science (JSPS) [23540534, 23540559, 20740295, 22244063]; Grants-in-Aid for Scientific Research [25287132, 23540534, 24540509, 22403014, 21253008, 23340155, 25302008, 20740295, 20340152, 25400518, 22244063, 23540559] Funding Source: KAKEN</t>
  </si>
  <si>
    <t>Japan Society for the Promotion of Science (JSPS)(Ministry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</si>
  <si>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We are grateful to M. Satish-Kumar, G.H. Grantham, DJ. Dunkley, J-.I. Kimura, K. Tani, and Y. Kamei for helpful comments and their encouragement. Thanks go to M. Abe, all members of 49th and 50th Japan Antarctic Research Expedition, Y. Motoyoshi, National Institute of Polar Research (NIPR), A. Hubert, BELARE, and ALCI for helpful discussion and important advice during the field work. Thanks are due to E.V. Mikhalsky and an anonymous reviewer for their critical reviews and many constructive comments. We also thank the Japanese East Antarctic research group and Geoscience Seminar of Shimane University for many valuable discussions. We acknowledge Y. Kawano for the support of isotope experiments. This study was supported by the Grant-in-Aid for Scientific Research provided by Japan Society for the Promotion of Science (JSPS) (#23540534 to A. Kamei, #23540559 to M. Owada, #20740295 to N. Nakano, #22244063 to Y. Osanai).</t>
  </si>
  <si>
    <t>10.1016/j.precamres.2012.09.026</t>
  </si>
  <si>
    <t>WOS:000324665500004</t>
  </si>
  <si>
    <t>Owada, M; Kamei, A; Horie, K; Shimura, T; Yuhara, M; Tsukada, K; Osanai, Y; Baba, S</t>
  </si>
  <si>
    <t>Owada, Masaaki; Kamei, Atsushi; Horie, Kenji; Shimura, Toshiaki; Yuhara, Masaki; Tsukada, Kazuhiro; Osanai, Yasuhito; Baba, Sotaro</t>
  </si>
  <si>
    <t>Magmatic history and evolution of continental lithosphere of the Sor Rondane Mountains, eastern Dronning Maud Land, East Antarctica</t>
  </si>
  <si>
    <t>Pan-African suture; Lithospheric evolution; Geochemistry; Zircon U-Pb dating; Sor Rondane Mountains; East Antarctica</t>
  </si>
  <si>
    <t>PAN-AFRICAN SUTURE; MANTLE WEDGE; SRI-LANKA; ARC; GEOCHRONOLOGY; PETROGENESIS; ND; GEOCHEMISTRY; METAMORPHISM; MOZAMBIQUE</t>
  </si>
  <si>
    <t>The Sor Rondane Mountains, eastern Dronning Maud Land, East Antarctica, are situated within the Pan-African suture zone, between West and East Gondwana, and the timing of collision event is regarded as the late Neoproterozoic to early Cambrian. In order to understand the tectonothermal history and evolution of the continental lithosphere, geochemical studies were conducted and zircon U-Pb SHRIMP dating was performed on intrusive rocks with basaltic compositions and associated metamorphic rocks. The metamorphosed tonalite complex exposed in the southwestern part of the mountains comprises tonalite associated with microgabbros, occurring as magmatic enclaves and later dikes that have intruded both the host and magmatic enclaves. Geochemically, the microgabbros are classified as low-Ti and high-Ti types, corresponding to the magmatic enclaves and dikes, respectively. Moreover, the geochemical features of the low-Ti microgabbro resemble those of an oceanic-arc tholeiite, whereas the high-Ti microgabbro has features of a back-arc basalt. The apparent zircon U-Pb ages show c. 990 Ma for the low-Ti microgabbro and c. 950 Ma for the high-Ti microgabbro. The high-grade metamorphic rocks situated in the northern part of tonalite complex were metamorphosed between 640 and 620 Ma, as constrained by zircon over-growth rims of a migmatite leucosome (620 +/- 2 Ma) and the previously reported age data. The timing of peak metamorphism corresponds to the early stage of the Pan-African suture event. Postdating the suturing event, unmetamorphosed minette dikes, dated 564 +/- 2 Ma, intrude the tonalite complex and high-grade gneisses. On the basis of geochemical investigation, including Sr and Nd isotopic systematics, the microgabbros are considered to have originated from a depleted mantle source, whereas the minette magma is derived from an enriched mantle source. Consequently, the source mantles of the mafic magmas in the Sol. Rondane Mountains have fundamentally changed from a depleted source in the early Neoproterozoic to a more enriched source in the late Neoproterozoic. Geochemical and isotopic evidence suggest that this compositional change of source mantle would reflect the interaction between the depleted mantle and the enriched crustal materials, such as subducted crustal rocks, caused by the Pan-African suture event. (C) 2013 Elsevier B.V. All rights reserved.</t>
  </si>
  <si>
    <t>[Owada, Masaaki] Yamaguchi Univ, Dept Earth Sci, Yamaguchi 7538512, Japan; [Kamei, Atsushi] Shimane Univ, Dept Geosci, Matsue, Shimane 6908504, Japan; [Horie, Kenji] Natl Inst Polar Res, Tokyo 1908518, Japan; [Shimura, Toshiaki] Niigata Univ, Grad Sch Sci &amp; Technol, Niigata 9502181, Japan; [Yuhara, Masaki] Fukuoka Univ, Dept Earth Syst Sci, Fukuoka 8140180, Japan; [Tsukada, Kazuhiro] Nagoya Univ Museum, Nagoya, Aichi 4648601, Japan; [Osanai, Yasuhito] Kyushu Univ, Fac Social &amp; Cultural Studies, Div Earth Sci, Fukuoka 8190395, Japan; [Baba, Sotaro] Univ Ryukyus, Dept Nat Environm, Nishihara, Okinawa 9030213, Japan</t>
  </si>
  <si>
    <t>Yamaguchi University; Shimane University; Research Organization of Information &amp; Systems (ROIS); National Institute of Polar Research (NIPR) - Japan; Niigata University; Fukuoka University; Nagoya University; Kyushu University; University of the Ryukyus</t>
  </si>
  <si>
    <t>Owada, M (corresponding author), Yoshida 1677-1, Yamaguchi 7538512, Japan.</t>
  </si>
  <si>
    <t>owada@sci.yamaguchi-u.ac.jp</t>
  </si>
  <si>
    <t>Horie, Kenji/ABH-8197-2020; Baba, Sotaro/H-3107-2013; Baba, Sotaro/AGX-7968-2022; Baba, Sotaro/HGU-7234-2022</t>
  </si>
  <si>
    <t>Baba, Sotaro/0000-0003-2969-9575; Baba, Sotaro/0000-0003-2969-9575; Baba, Sotaro/0000-0003-2969-9575</t>
  </si>
  <si>
    <t>Japan Society for the Promotion of Science [23540559, 23540534, 22244063]; Grants-in-Aid for Scientific Research [21253008, 25302008, 24540509, 25287132, 23540559, 22244063, 20340152, 23540534] Funding Source: KAKEN</t>
  </si>
  <si>
    <t>Japan Society for the Promotion of Science(Ministry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</si>
  <si>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We wish to thank T. Hokada for many supports of field work and SHRIMP analysis. Thanks go to M. Abe and the members of 50th and 49th Japanese Antarctic Research Expedition for helpful discussion and advice during the field work. We also thank K. Shiraishi, Y. Motoyoshi, T. Kawasaki, Y. Hiroi, T. Sakiyama and D. Hyodo for valuable discussions. We acknowledge A. Hubert, G. Johnson-Amin, and member of the Belgian Antarctic Research Station (2008-2009). Thanks are due to Zilong Li and an anonymous reviewer for their critical reviews and many constructive comments, and also go to Satish-Kumar for useful comments and editorial handling. This work was supported by the Grant-in-Aid for Scientific Research provided by Japan Society for the Promotion of Science (23540559: M. Owada, 23540534: A. Kamei, 22244063: Y. Osanai).</t>
  </si>
  <si>
    <t>10.1016/j.precamres.2013.02.007</t>
  </si>
  <si>
    <t>WOS:000324665500005</t>
  </si>
  <si>
    <t>Adachi, T; Osanai, Y; Hokada, T; Nakano, N; Baba, S; Toyoshima, T</t>
  </si>
  <si>
    <t>Adachi, Tatsuro; Osanai, Yasuhito; Hokada, Tomokazu; Nakano, Nobuhiko; Baba, Sotaro; Toyoshima, Tsuyoshi</t>
  </si>
  <si>
    <t>Timing of metamorphism in the central Sor Rondane Mountains, eastern Dronning Maud Land, East Antarctica: Constrains from SHRIMP zircon and EPMA monazite dating</t>
  </si>
  <si>
    <t>SHRIMP zircon dating; EPMA monazite dating; High-grade metamorphic rocks; Sor Rondane Mountains; East Antarctica</t>
  </si>
  <si>
    <t>EVOLUTION; GEOCHRONOLOGY; MOZAMBIQUE</t>
  </si>
  <si>
    <t>In order to understand the tectonic evolution of the Sor Rondane Mountains, eastern Dronning Maud Land, East Antarctica, sensitive high resolution ion microprobe (SHRIMP) U-Pb zircon dating and electron probe micro analyzer (EPMA) U-Th-Pb monazite dating were carried out on igneous rocks and metamorphic rocks whose P-T conditions have been well-constrained. Metamorphic rocks from northern part of Austkampane area recording a clockwise P-T path yield 600-640 Ma as the timing of peak granulite-facies metamorphism and 550-570 Ma for subsequent retrograde metamorphism. The same age relations were obtained from the metamorphic rocks from Brattnipene and eastern Menipa areas recording an anti-clockwise P-T path. Contemporaneous peak metamorphism with contrasting P-T paths can be explained by thrusting up (obduction) of the unit showing a clockwise P-T path onto the unit showing an anti-clockwise P-T path at ca. 660-640 Ma, which is considered to be the main metamorphic event. Metamorphic rocks from Lunckeryggen, southern Walnumfjella and western Menipa areas that preserve amphibolite-facies peak metamorphic conditions and are unaffected by the retrograde hydration, yield ca. 550 Ma. Ages of 500-550 Ma were also obtained on igneous rocks distributed throughout the whole area. Based on the close age relation between metamorphism of amphibolite-facies rocks and igneous activity, it is likely that metamorphism at ca. 550 Ma was caused by emplacement of voluminous igneous bodies. These precise correlation of metamorphic evolution and age would provide strong constraints on the construction of a tectonic model for Gondwana amalgamation. (C) 2012 Elsevier B.V. All rights reserved.</t>
  </si>
  <si>
    <t>[Adachi, Tatsuro; Osanai, Yasuhito; Nakano, Nobuhiko] Kyushu Univ, Fac Social &amp; Cultural Studies, Div Earth Sci, Nishi Ku, Fukuoka 8190395, Japan; [Hokada, Tomokazu] Natl Inst Polar Res, Tachikawa, Tokyo 1908518, Japan; [Baba, Sotaro] Univ Ryukyus, Dept Nat Environm, Nishihara, Okinawa 9030213, Japan; [Toyoshima, Tsuyoshi] Niigata Univ, Fac Sci, Dept Geol, Niigata 9502181, Japan</t>
  </si>
  <si>
    <t>Kyushu University; Research Organization of Information &amp; Systems (ROIS); National Institute of Polar Research (NIPR) - Japan; University of the Ryukyus; Niigata University</t>
  </si>
  <si>
    <t>Adachi, T (corresponding author), Kyushu Univ, Fac Social &amp; Cultural Studies, Div Earth Sci, Nishi Ku, 744 Motooka, Fukuoka 8190395, Japan.</t>
  </si>
  <si>
    <t>t-adachi@scs.kyushu-u.acjp</t>
  </si>
  <si>
    <t>Hokada, Tomokazu/AAC-7847-2019; Baba, Sotaro/AGX-7968-2022; Baba, Sotaro/H-3107-2013; Baba, Sotaro/HGU-7234-2022</t>
  </si>
  <si>
    <t>Graduate University for Advanced Studies; Japan Polar Research Association; Grants-in-Aid for Scientific Research [22403014, 23540534, 25287132, 25302008, 20340152, 21253008, 23340155, 22244063, 25400518] Funding Source: KAKEN</t>
  </si>
  <si>
    <t>Graduate University for Advanced Studies; Japan Polar Research Association; Grants-in-Aid for Scientific Research(Ministry of Education, Culture, Sports, Science and Technology, Japan (MEXT)Japan Society for the Promotion of ScienceGrants-in-Aid for Scientific Research (KAKENHI))</t>
  </si>
  <si>
    <t>We would like to express our sincere thanks to the members of the 48th and 49th Japanese Antarctic Research Expeditions (JARE), and the crew of the icebreaker Shirase. We also thank A. Hubert, G. Johnson-Amin and members of the Belgian station of Princess Elisabeth Antarctica (2007-2008) for supporting our fieldwork. T.A. acknowledges Profs. Y. Motoyoshi and K. Shiraishi for enabling him to participate in the JARE. We would like to thank Profs. Y. Hiroi, H. Ishizuka, T. Kawasaki, M. Owada, N. Tsuchiya and the other members of the JARE geology group for discussions. We also would like to acknowledge the assistance of D.J. Dunkley with SHRIMP analyses. We thank Prof. I. Williams and an anonymous reviewer for their constructive reviews and for improving the manuscript, and Prof. M. Satish-Kumar for editorial handling. The cost for T.A. to conduct field survey in Antarctica was partly supported by the grants in aid to T.A. from the Graduate University for Advanced Studies and Japan Polar Research Association.</t>
  </si>
  <si>
    <t>10.1016/j.precamres.2012.11.011</t>
  </si>
  <si>
    <t>WOS:000324665500007</t>
  </si>
  <si>
    <t>Nakano, N; Osanai, Y; Kamei, A; Satish-Kumar, M; Adachi, T; Hokada, T; Baba, S; Toyoshima, T</t>
  </si>
  <si>
    <t>Nakano, Nobuhiko; Osanai, Yasuhito; Kamei, Atsushi; Satish-Kumar, M.; Adachi, Tatsuro; Hokada, Tomokazu; Baba, Sotaro; Toyoshima, Tsuyoshi</t>
  </si>
  <si>
    <t>Multiple thermal events recorded in metamorphosed carbonate and associated rocks from the southern Austkampane region in the Sor Rondane Mountains, East Antarctica: A protracted Neoproterozoic history at the Gondwana suture zone</t>
  </si>
  <si>
    <t>Protolith; Geochemistry; Geochronology; Metamorphic evolution; Sor Rondane Mountains; Gondwana</t>
  </si>
  <si>
    <t>DRONNING MAUD LAND; GEOCHRONOLOGY; EVOLUTION; COMPLEX; MOZAMBIQUE; INSIGHTS; CHINA; MODEL; ND</t>
  </si>
  <si>
    <t>This paper provides a detailed analysis of the geological evolution of the southern Austkampane region in the Sor Rondane Mountains, Antarctica, using geological and petrographical observations, geochemical, geochronological, radiogenic, and stable isotopic data, and metamorphic petrological techniques. The study area is dominated by felsic gneisses intercalated with mafic and carbonate rocks. Carbonate rocks include several calc-silicate and mafic to ultramafic blocks with carbonatite-like characteristics. The new data presented here indicate the presence of five important thermal events in the geological history of the region, at c. 1060, 770-750, 655-635, 560-545, and &lt;545 Ma. The c. 1060 Ma event is characterized by granitic volcanic arc magmatism, possibly in an active continental margin setting, involving magmas that may have been sourced from enriched mantle formed by subduction of older crustal material during the formation of Rodinia. The oldest T-(DM) age for this suite is 3.4 Ga. The 770-750 Ma event is characterized by both mafic and felsic magmatism in an active continental margin setting, with magmas being similar to bulk earth composition. The 655-635 Ma thermal event is represented by granulite-facies metamorphism along an anticlockwise pressure-temperature path, involving heating of the lower crust at a continental margin, and subsequent obduction of a cratonic counterpart during collision. Granitic and basaltic magmatism at 560-545 Ma is also associated with retrograde metamorphism and hydration-related partial melting of marble. The carbonate melt, and granitic and basaltic magmas during this event coexisted with each other and formed metasomatic calc-silicates and hornblendites, respectively. The final event at &lt;545 Ma is characterized by the intrusion of an undeformed quartz syenite dyke, which may be related to either (1) collision and melting of preexisting lower crustal material, or (2) melting of slightly enriched mantle material in an extensional tectonic setting following the earlier collisional event. The five thermal events between c. 1100 and 500 Ma recognized in this study from a narrow region of the Sew Rondane Mountains, suggest that a combination of geochronological, whole-rock, and isotope geochemical analyses of metamorphic rocks and the pressure-temperature evolution could constrain the processes that operated during the amalgamation and break-up of Rodinia and the formation of Gondwana. A similar approach is essential in neighboring Gondwana terranes for modeling the protracted events of Neoproterozoic orogenesis. (C) 2012 Elsevier B.V. All rights reserved.</t>
  </si>
  <si>
    <t>[Nakano, Nobuhiko; Osanai, Yasuhito; Adachi, Tatsuro] Kyushu Univ, Fac Social &amp; Cultural Studies, Div Earth Sci, Fukuoka 8190395, Japan; [Kamei, Atsushi] Shimane Univ, Dept Geosci, Matsue, Shimane 6908504, Japan; [Satish-Kumar, M.; Toyoshima, Tsuyoshi] Niigata Univ, Dept Geol, Niigata 9502181, Japan; [Hokada, Tomokazu] Natl Inst Polar Res, Tokyo 1908518, Japan; [Baba, Sotaro] Univ Ryukyus, Dept Nat Environm, Okinawa 9030213, Japan</t>
  </si>
  <si>
    <t>Kyushu University; Shimane University; Niigata University; Research Organization of Information &amp; Systems (ROIS); National Institute of Polar Research (NIPR) - Japan; University of the Ryukyus</t>
  </si>
  <si>
    <t>Nakano, N (corresponding author), Kyushu Univ, Fac Social &amp; Cultural Studies, Div Earth Sci, Fukuoka 8190395, Japan.</t>
  </si>
  <si>
    <t>n-nakano@scs.kyushu-u.ac.jp</t>
  </si>
  <si>
    <t>Satish-Kumar, M./AAN-4420-2021; Hokada, Tomokazu/AAC-7847-2019; Baba, Sotaro/H-3107-2013; Baba, Sotaro/AGX-7968-2022; Baba, Sotaro/HGU-7234-2022</t>
  </si>
  <si>
    <t>Baba, Sotaro/0000-0003-2969-9575; Baba, Sotaro/0000-0003-2969-9575; Baba, Sotaro/0000-0003-2969-9575; Satish-Kumar, Madhusoodhan/0000-0003-3604-7399</t>
  </si>
  <si>
    <t>Ministry of Education, Culture, Sports, Science and Technology, Japan [18204047, 21253008, 22244063, 20740295, 23340155, 23540534]; Grants-in-Aid for Scientific Research [25400518, 22244063, 18204047, 23340155, 22403014, 23540534, 25287132, 21253008, 20340152, 20740295, 25302008] Funding Source: KAKEN</t>
  </si>
  <si>
    <t>Ministry of Education, Culture, Sports, Science and Technology, Japan(Ministry of Education, Culture, Sports, Science and Technology, Japan (MEXT)); Grants-in-Aid for Scientific Research(Ministry of Education, Culture, Sports, Science and Technology, Japan (MEXT)Japan Society for the Promotion of ScienceGrants-in-Aid for Scientific Research (KAKENHI))</t>
  </si>
  <si>
    <t>We would like to thank the members of the 48th and 49th Japan Antarctic Research Expedition, and the crew of the icebreaker Shirase. We also thank A. Hubert, G. Johnson-Amin, and members of the Belgian Antarctic Research Station (2007-2008) for supporting our fieldwork. We appreciate constructive reviews of the manuscript by J. Jacobs and G.H. Grantham, and the editorial assistance of P.A. Cawood in improving the manuscript. This work was partly supported by Grants-in-Aid for Scientific Research (Nos. 18204047, 21253008, 22244063 to Y. Osanai; No. 20740295 to N. Nakano; No. 23340155 to M. Satish-Kumar; No. 23540534 to A. Kamei) from the Ministry of Education, Culture, Sports, Science and Technology, Japan.</t>
  </si>
  <si>
    <t>10.1016/j.precamres.2012.10.009</t>
  </si>
  <si>
    <t>WOS:000324665500008</t>
  </si>
  <si>
    <t>Hokada, T; Horie, K; Adachi, T; Osanai, Y; Nakano, N; Baba, S; Toyoshima, T</t>
  </si>
  <si>
    <t>Hokada, Tomokazu; Horie, Kenji; Adachi, Tatsuro; Osanai, Yasuhito; Nakano, Nobuhiko; Baba, Sotaro; Toyoshima, Tsuyoshi</t>
  </si>
  <si>
    <t>Unraveling the metamorphic history at the crossing of Neoproterozoic orogens, Sor Rondane Mountains, East Antarctica: Constraints from U-Th-Pb geochronology, petrography, and REE geochemistry</t>
  </si>
  <si>
    <t>East Antarctica; Sor Rondane Mountains; Metamorphism; Zircon; Monazite; U-Th-Pb age</t>
  </si>
  <si>
    <t>DRONNING MAUD LAND; NAPIER COMPLEX; SRI-LANKA; ZIRCON; SHRIMP; GONDWANA; MONAZITE; EVENTS; GRANULITE; EVOLUTION</t>
  </si>
  <si>
    <t>The Sor Rondane Mountains in East Antarctica preserve two stages of tectonothermal events, at c. 650-600 Ma and c. 560-550 Ma, each of which is also widely preserved elsewhere in Gondwana within tectonic suture zones/orogens, although both ages of tectonothermal events are only rarely documented together in these other parts of Gondwana. A geochronological and petrogenetic study of highly retrogressed garnet-sillimanite-biotite-bearing pelitic gneiss, along with three generations of associated sub-concordant to discordant leucocratic felsic veins, which together are exposed in the southern Austkampane area in the central part of the Sor Rondane Mountains, provides important new constraints on the geological and age relationships between these two regional tectonothermal events. U-Pb SHRIMP dating of zircon grains isolated from the host garnet-sillimanite-biotite gneiss yields at least four distinct zircon age populations of c. 2800-720 Ma, c. 700 Ma, 640-630 Ma, and similar to 500 Ma. Chondrite-normalized REE patterns indicate that a pooled age of 637 +/- 6 Ma represents the timing of recrystallization of metamorphic HREE-depleted zircon, during which the zircon was in equilibrium with garnet. The earliest emplaced leucocratic vein (LV-1), which is partly intermingled with the host garnet-sillimanite-biotite gneiss (and enclosing garnet-bearing pelitic enclaves), contains a population of zircon grains that yielded a crystallization age of 635 +/- 4 Ma, which is almost identical to the age of zircons found within the host pelitic gneiss. The second-generation leucocratic vein (LV-2) occurs as a part of a set of sub-concordant veins/leucosomes comprising mostly biotite and muscovite. Although these particular leucosomes do not contain any zircon, they were found to contain abundant monazite, which yielded U-Pb ages of 640-630 Ma along with some older (relict) similar to 700 Ma ages. The third-generation leucocratic vein (LV-3) was sampled from a suite of pegmatitic veins that discordantly crosscut both the host pelitic gneisses and the older two sets of leucocratic veins. These third-generation veins contain magmatic zircons that exhibit HREE-enriched patterns typical of magmatic zircon crystallization, and which yielded a crystallization age of 550 +/- 3 Ma. The data imply that a major high-grade metamorphic event (possibly at granulite facies) took place in this region along with a subsequent late-stage re-hydration event, all within a relatively narrow time interval of &lt;10 my. at similar to 635 Ma. A subsequent hydration event that took place much later on is recorded by the intrusion of a suite of discordant pegmatitic veins at similar to 550 Ma that are observed to crosscut and alter both the pre-existing pelitic gneiss and the other two older sets of felsic veins. These two ages of tectonothermal events in East Antarctica are coeval with the two major stages of Gondwana assembly. Hence, these results provide new insights into the development of metamorphic-fluid regimes within these major continent-transecting Neoproterozoic orogens. (C) 2012 Elsevier BM. All rights reserved.</t>
  </si>
  <si>
    <t>[Hokada, Tomokazu; Horie, Kenji] Natl Inst Polar Res, Tachikawa, Tokyo 1908518, Japan; [Hokada, Tomokazu] Grad Univ Adv Studies, Dept Polar Sci, Tachikawa, Tokyo 1908518, Japan; [Adachi, Tatsuro; Osanai, Yasuhito; Nakano, Nobuhiko] Kyushu Univ, Fac Social &amp; Cultural Studies, Div Earth Sci, Nishi Ku, Fukuoka 8190395, Japan; [Baba, Sotaro] Univ Ryukyus, Dept Nat Environm, Nishihara, Okinawa 9030213, Japan; [Toyoshima, Tsuyoshi] Niigata Univ, Fac Sci, Dept Geol, Niigata 9502181, Japan</t>
  </si>
  <si>
    <t>Research Organization of Information &amp; Systems (ROIS); National Institute of Polar Research (NIPR) - Japan; Graduate University for Advanced Studies - Japan; Kyushu University; University of the Ryukyus; Niigata University</t>
  </si>
  <si>
    <t>Hokada, T (corresponding author), Natl Inst Polar Res, 10-3 Midori Cho, Tachikawa, Tokyo 1908518, Japan.</t>
  </si>
  <si>
    <t>hokada@nipr.ac.jp</t>
  </si>
  <si>
    <t>Horie, Kenji/ABH-8197-2020; Baba, Sotaro/HGU-7234-2022; Hokada, Tomokazu/AAC-7847-2019; Baba, Sotaro/AGX-7968-2022; Baba, Sotaro/H-3107-2013</t>
  </si>
  <si>
    <t>NIPR under MEXT; Japanese Society for the Promotion of Science (JSPS); NIPR [KP-7]; Grants-in-Aid for Scientific Research [25287132, 23540534, 22403014, 21253008, 23340155, 25302008, 20340152, 25400518, 22244063, 23540559] Funding Source: KAKEN</t>
  </si>
  <si>
    <t>NIPR under MEXT; Japanese Society for the Promotion of Science (JSPS)(Ministry of Education, Culture, Sports, Science and Technology, Japan (MEXT)Japan Society for the Promotion of Science); NIPR(National Institute of Polar Research (NIPR) - Japan); Grants-in-Aid for Scientific Research(Ministry of Education, Culture, Sports, Science and Technology, Japan (MEXT)Japan Society for the Promotion of ScienceGrants-in-Aid for Scientific Research (KAKENHI))</t>
  </si>
  <si>
    <t>This research is a part of the Science Program of the Japanese Antarctic Research Expedition (JARE) supported by NIPR under MEXT. Fieldwork in Antarctica was carried out during the 2007-2008 Austral Summer season, and we would like to acknowledge the support provided by the members of the 48th and 49th JARE, and the crew of the icebreaker Shirase. We also thank A. Hubert, N.F.D. Johnson-Amin, and members of Belgian Antarctic Research Expedition for supporting our fieldwork. We would like to thank Profs. K. Shiraishi, Y. Motoyoshi, Y. Hiroi, H. Ishizuka, M. Owada, N. Tsuchiya, T. Kawasaki, and the other members of the JARE geology group for valuable discussions. Constructive reviews by Fernand Bea and an anonymous referee improved the manuscript considerably, and we would like to acknowledge these reviewers, as well as M. Satish-Kumar for helpful comments and the efficient editorial handling of this manuscript. The laboratory work pertaining to SHRIMP analyses was supported by H. Kaiden, O. Tachikawa, M. Takehara, and A. Yamaguchi, who we thank. This work was supported by a Grant-in-Aid for Scientific Research (No. 20740309 to T. Hokada, No. 22244063 to Y. Osanai, No. 22403014 to K. Shiraishi) from the Japanese Society for the Promotion of Science (JSPS), and by Project Research No. KP-7 from the NIPR. The production of this paper was supported by an NIPR publication subsidy.</t>
  </si>
  <si>
    <t>10.1016/j.precamres.2012.12.002</t>
  </si>
  <si>
    <t>WOS:000324665500009</t>
  </si>
  <si>
    <t>Ishikawa, M; Kawakami, T; Satish-Kumar, M; Grantham, GH; Hokazono, Y; Saso, M; Tsuchiya, N</t>
  </si>
  <si>
    <t>Ishikawa, Masahiro; Kawakami, Tetsuo; Satish-Kumar, M.; Grantham, Geoffrey H.; Hokazono, Yuichi; Saso, Megumi; Tsuchiya, Noriyoshi</t>
  </si>
  <si>
    <t>Late Neoproterozoic extensional detachment in eastern Sor Rondane Mountains, East Antarctica: Implications for the collapse of the East African Antarctic Orogen</t>
  </si>
  <si>
    <t>Detachment; Collapse; East African-Antarctic Orogen; Sor Rondane Mountains; Dronning Maud Land; Antarctica</t>
  </si>
  <si>
    <t>DRONNING MAUD LAND; CENTRAL MADAGASCAR; MOZAMBIQUE; GEOLOGY; GARNET; MODEL; ARC</t>
  </si>
  <si>
    <t>A geological study of the Balchenfjella area of the eastern Sor Rondane Mountains forms the basis of a revised tectonic history for eastern Dronning Maud Land in Antarctica. The Balchenfjella area can be structurally divided into two metamorphic units that are separated by a SE-dipping ductile extensional shear zone (the Balchen detachment fault). The mafic- and ultramafic-dominant part of the footwall side is exposed as a tectonic window adjacent to the detachment. Metamorphic and structural data indicate that the eastern Sor. Rondane Mountains were affected by four phases of deformation (D1-D4). Phases D1 and D2 are developed in the footwall side of the shear zone, whereas D3 and D4 are recorded in both the footwall and hangingwall sides. Mineral assemblages in mafic lithologies are characteristic of granulite facies (D1 and D2) to amphibolite facies (D2 and D3) metamorphism. D1 is characterized by recumbent folds and this phase is interpreted as a compressional tectonic setting coincident with granulite facies metamorphism. D2 represents a transpressional deformation phase characterized by upright folds and a large-scale dextral shear zone. The Balchen detachment fault was formed during the extensional tectonic setting of D3. The timing of D3 extensional deformation is bracketed by the age of D2-related metamorphism (at c. 600 Ma) and the timing of post-kinematic intrusion of granites (at c. 550 Ma). The present results demonstrate that the eastern Sor Rondane Mountains underwent Late Neoproterozoic extensional collapse similar to that observed in other parts of the East African-Antarctic Orogen including the Arabian-Nubian Shield and Madagascar. (C) 2013 Elsevier B.V. All rights reserved.</t>
  </si>
  <si>
    <t>[Ishikawa, Masahiro; Hokazono, Yuichi; Saso, Megumi] Yokohama Natl Univ, Grad Sch Environm &amp; Informat Sci, Hodogaya Ku, Yokohama, Kanagawa 2408501, Japan; [Kawakami, Tetsuo] Kyoto Univ, Grad Sch Sci, Dept Geol &amp; Mineral, Sakyo Ku, Kyoto 6068502, Japan; [Satish-Kumar, M.] Niigata Univ, Fac Sci, Dept Geol, Nishi Ku, Niigata 9502181, Japan; [Grantham, Geoffrey H.] Council Geosci, Pretoria, South Africa; [Tsuchiya, Noriyoshi] Tohoku Univ, Grad Sch Environm Studies, Sendai, Miyagi 9808579, Japan</t>
  </si>
  <si>
    <t>Yokohama National University; Kyoto University; Niigata University; Tohoku University</t>
  </si>
  <si>
    <t>Ishikawa, M (corresponding author), Environ&amp;Inform Sci 4th Bldg,Hodogaya Ku, Yokohama, Kanagawa 2408501, Japan.</t>
  </si>
  <si>
    <t>ishikawa@ynu.ac.jp</t>
  </si>
  <si>
    <t>Satish-Kumar, M./AAN-4420-2021; Kawakami, Tetsuo/AAQ-3357-2021; ISHIKAWA, MASAHIRO/P-5342-2014; Grantham, Geoffrey/M-8637-2014</t>
  </si>
  <si>
    <t>Kawakami, Tetsuo/0000-0002-5921-5562; ISHIKAWA, MASAHIRO/0000-0003-1628-3116; Satish-Kumar, Madhusoodhan/0000-0003-3604-7399; Grantham, Geoffrey/0000-0001-9862-0547</t>
  </si>
  <si>
    <t>Ministry of Education, Culture, Sports, Science and Technology, Japan [21109002]; Grants-in-Aid for Scientific Research [23740391, 23340155, 25302008, 21109002] Funding Source: KAKEN</t>
  </si>
  <si>
    <t>The fieldwork was supported by the 51st Japanese Antarctica Research Expedition (JARE) organized by the National Institute of Polar Research (NIPR), Tokyo, Japan. The members of the expedition are thanked for the logistics during the fieldwork in the Sor Rondane Mountains. Our special thanks are due to M. Abe and D. Sasaki for helping our fieldwork. We would like to thank for Y. Nogi for making ADMAP image. MI acknowledges the Grant-in-aid financial support from the Ministry of Education, Culture, Sports, Science and Technology, Japan (No. 21109002).</t>
  </si>
  <si>
    <t>10.1016/j.precamres.2013.04.015</t>
  </si>
  <si>
    <t>WOS:000324665500012</t>
  </si>
  <si>
    <t>Nogi, Y; Jokat, W; Kitada, K; Steinhage, D</t>
  </si>
  <si>
    <t>Nogi, Yoshifumi; Jokat, Wilfried; Kitada, Kazuya; Steinhage, Daniel</t>
  </si>
  <si>
    <t>Geological structures inferred from airborne geophysical surveys around Lutzow-Holm Bay, East Antarctica</t>
  </si>
  <si>
    <t>Magnetic anomaly; Gravity anomaly; Bedrock topography; Antarctic continent; Gondwana</t>
  </si>
  <si>
    <t>ANOMALIES; MODEL</t>
  </si>
  <si>
    <t>The area around Syowa Station, the Japanese Antarctic wintering station in Lutzow-Holm Bay, is widely considered as a junction of the continents of Africa, India, Madagascar, and Antarctica, according to a reconstruction model of Gondwana that considers the suture between East and West Gondwana. This area is therefore key for investigating the formation of Gondwana. To reveal the tectonic evolution that contributed to Gondwana's formation in this area, joint Japanese-German airborne geophysical surveys were conducted around Syowa Station in January 2006 during the 47th Japanese Antarctic Research Expedition, from 67 S to 73 S latitude and from 35 degrees E to 45 degrees E longitude. Ice radar, magnetic, and gravity data were obtained from onshore areas. Several characteristic features that are possibly related to the tectonic evolution of Gondwana were inferred, primarily from magnetic anomalies, as well as from gravity anomalies and bedrock topography. The boundaries of the Lutzow-Holm Complex, the Yamato-Belgica Complex, and the Western Rayner Complex are defined, but the inland extension of the boundary between the Lutzow-Holm and the Yamato-Belgica Complexes is unknown south of 71 S. The main geological structural trends of the Lutzow-Holm Complex derived from magnetic anomalies are NW-SE and are concordant with the geological results in the coastal region. However, nearly NE-SW-trending magnetic anomalies cut across the NW-SW magnetic anomaly trends, and NE-SW right lateral strike-slip faults were deduced from the magnetic and the gravity anomaly data of the Lutzow-Holm Complex. The Lutzow-Holm Complex was sub-divided into four blocks based on the estimated strike-slip faults. These strike-slip faults may have been generated during a younger stage of Pan-African orogeny, after the formation of NW-SE-striking geological structures. Cape Hinode, which is considered an allochthonous unit in the Lutzow-Holm Complex according to its surface geology, may have originated from the Rayner Complex and been displaced by right lateral strike-slip motions. These results provide new constraints on the tectonic evolution of Gondwana during the Pan-African orogeny. (C) 2013 Elsevier B.V. All rights reserved.</t>
  </si>
  <si>
    <t>[Nogi, Yoshifumi] Natl Inst Polar Res SOKENDAI, Tachikawa, Tokyo 1908518, Japan; [Jokat, Wilfried; Steinhage, Daniel] Atfred Wegener Inst Polar &amp; Marine Res, D-27568 Bremerhaven, Germany; [Kitada, Kazuya] Japan Agcy Marine Earth Sci &amp; Technol, Yokosuka, Kanagawa 2370061, Japan</t>
  </si>
  <si>
    <t>Research Organization of Information &amp; Systems (ROIS); National Institute of Polar Research (NIPR) - Japan; Japan Agency for Marine-Earth Science &amp; Technology (JAMSTEC)</t>
  </si>
  <si>
    <t>Nogi, Y (corresponding author), Natl Inst Polar Res SOKENDAI, 10-3 Midoricho, Tachikawa, Tokyo 1908518, Japan.</t>
  </si>
  <si>
    <t>nogi@nipr.ac.jp</t>
  </si>
  <si>
    <t>Nogi, Yoshifumi/0000-0001-8457-4244; Jokat, Wilfried/0000-0002-7793-5854</t>
  </si>
  <si>
    <t>NIPR under MEXT; Grants-in-Aid for Scientific Research [23540494] Funding Source: KAKEN</t>
  </si>
  <si>
    <t>NIPR under MEXT; Grants-in-Aid for Scientific Research(Ministry of Education, Culture, Sports, Science and Technology, Japan (MEXT)Japan Society for the Promotion of ScienceGrants-in-Aid for Scientific Research (KAKENHI))</t>
  </si>
  <si>
    <t>We would like to thank the flight crews for their excellent support during the field season. We also thank the members of the JARE-47 and the crews of the icebreaker Shirase for their kind assistance during the study operations. Y.N. is grateful to the members of the geoscience group of the National Institute of Polar Research. Y.N. and K.K. thank N. Seama for his valuable comments and discussions. The researchers' discussions with Y. Osanai are also highly appreciated. The constructive comments of the anonymous reviewers helped improve the manuscript significantly. This research is a part of the Science Program of JARE. It was supported by NIPR under MEXT. The GMT software (Wessel and Smith, 1998) was used in this study.</t>
  </si>
  <si>
    <t>10.1016/j.precamres.2013.02.008</t>
  </si>
  <si>
    <t>WOS:000324665500014</t>
  </si>
  <si>
    <t>Okamura, A; Yamada, Y; Horie, N; Mikawa, N; Tanaka, S; Kobayashi, H; Tsukamoto, K</t>
  </si>
  <si>
    <t>Okamura, Akihiro; Yamada, Yoshiaki; Horie, Noriyuki; Mikawa, Naomi; Tanaka, Satoru; Kobayashi, Hideaki; Tsukamoto, Katsumi</t>
  </si>
  <si>
    <t>Hen egg yolk and skinned krill as possible foods for rearing leptocephalus larvae of Anguilla japonica Temminck &amp; Schlegel</t>
  </si>
  <si>
    <t>AQUACULTURE RESEARCH</t>
  </si>
  <si>
    <t>freshwater eel; Anguilla japonica; Antarctic krill; Squalus acanthias; hen egg; fluoride</t>
  </si>
  <si>
    <t>JAPANESE EEL; EUPHAUSIA-SUPERBA; ACUTE TOXICITY; RAINBOW-TROUT; GLASS EEL; FLUORIDE; CAPTIVITY; FERTILIZATION; TEMPERATURE; AQUACULTURE</t>
  </si>
  <si>
    <t>Usual diets for rearing leptocephalus larvae of Japanese eel Anguilla japonica include eggs of the endangered spiny dogfish Squalus acanthias (SE). We investigated the effects of alternative food materials, hen egg yolk (HEY) and exoskeleton-free (skinned) Antarctic krill (SAK), on the growth and survival of eel larvae. We found that feed comprising whole krill including exoskeleton (WAK) containing higher levels of fluoride (37.89mgkg(-1)) was acutely toxic to eel larvae exposed to this alone. In contrast, extract from SAK containing lower concentrations of fluoride (4.25mgkg(-1)) showed no apparent adverse effects. Growth of larvae fed a mixture of SE and SAK in a feed trial of 58days [mean body weight (BW), 6.0mg] was about twofold higher than that of larvae fed a mixture of SE and WAK (3.2mg) (P&lt;0.01). A mixture of HEY and SAK also had some dietary benefits for eel larvae, enabling them to survive for up to 58days and to grow significantly (mean BW, 2.4mg), compared with their initial weight (mean BW, 0.2mg) (P&lt; 0.001). Although additional nutritional improvements are needed, the present results suggest that combination diet HEY and SAK may be a good alternative to SE as an effective diet for eel larvae.</t>
  </si>
  <si>
    <t>[Okamura, Akihiro; Yamada, Yoshiaki; Horie, Noriyuki; Mikawa, Naomi; Tanaka, Satoru; Tsukamoto, Katsumi] IRAGO Inst, Tahara, Aichi 4413605, Japan; [Kobayashi, Hideaki] QP Corp, R&amp;D Div, Fuchu, Tokyo, Japan; [Tsukamoto, Katsumi] Univ Tokyo, Atmosphere &amp; Ocean Res Inst, Kashiwa, Chiba, Japan</t>
  </si>
  <si>
    <t>University of Tokyo</t>
  </si>
  <si>
    <t>Okamura, A (corresponding author), IRAGO Inst, Tahara, Aichi 4413605, Japan.</t>
  </si>
  <si>
    <t>aokamura@irago.co.jp</t>
  </si>
  <si>
    <t>Grants-in-Aid for Scientific Research [21228005] Funding Source: KAKEN</t>
  </si>
  <si>
    <t>1355-557X</t>
  </si>
  <si>
    <t>AQUAC RES</t>
  </si>
  <si>
    <t>Aquac. Res.</t>
  </si>
  <si>
    <t>10.1111/j.1365-2109.2012.03160.x</t>
  </si>
  <si>
    <t>211SJ</t>
  </si>
  <si>
    <t>WOS:000323930400005</t>
  </si>
  <si>
    <t>Smith, TM; York, PH; Stanley, AM; Macreadie, PI; Keough, MJ; Ross, DJ; Sherman, CDH</t>
  </si>
  <si>
    <t>Smith, Timothy M.; York, Paul H.; Stanley, Annalise M.; Macreadie, Peter I.; Keough, Michael J.; Ross, D. Jeff; Sherman, Craig D. H.</t>
  </si>
  <si>
    <t>Microsatellite primer development for the seagrass Zostera nigricaulis (Zosteraceae)</t>
  </si>
  <si>
    <t>Zostera nigricaulis; Microsatellite markers; Cross-amplification; Genetic structure; Seagrass</t>
  </si>
  <si>
    <t>MARKERS</t>
  </si>
  <si>
    <t>Seagrasses are marine angiosperms with a worldwide distribution that form conspicuous beds in nearshore habitats. Despite being universally recognised as a foundation species that performs a number of important ecosystems functions (incl. sediment stabilisation, facilitation of biodiversity, nutrient cycling and carbon sequestration), global seagrass habitats are in decline. Resilience-the ability to recover from disturbance without switching to an alternative state-is paramount to the maintenance and persistence of seagrass habitats. Genetic diversity is a key component of seagrass resilience and contributes to an understanding of population structure, connectivity between populations, and reproductive strategies. Microsatellite primers were developed to investigate the resilience of the seagrass Zostera nigricaulis, which dominates subtidal habitats in the bays of south-eastern Australia. We also tested for cross-amplification of markers between Z. nigricaulis and previously developed markers for the sympatric species Z. muelleri to assess their applicability for use in assessing patterns of genetic diversity, population structure, and mating system. Using next-generation sequencing we isolated 11 novel microsatellite loci for Z. nigricaulis, 8 of which were polymorphic for the samples tested. Allelic diversity ranged from 1 to 8. None of the primer pairs developed for Z. nigricaulis cross-amplified in Z. muelleri; but 14 of 24 primer pairs previously developed for Z. muelleri amplified clearly in Z. nigricaulis samples with six of these showing polymorphism. The results demonstrate the applicability of the Z. nigricaulis microsatellite primers for use in the study of population genetics and limited cross-amplification with Z. muelleri.</t>
  </si>
  <si>
    <t>[Smith, Timothy M.; York, Paul H.; Stanley, Annalise M.; Sherman, Craig D. H.] Deakin Univ, Sch Life &amp; Environm Sci, Ctr Integrat Ecol, Geelong, Vic 3217, Australia; [Macreadie, Peter I.] Univ Technol Sydney, Sch Environm, Plant Funct Biol &amp; Climate Change Cluster C3, Sydney, NSW 2007, Australia; [Keough, Michael J.] Univ Melbourne, Dept Zool, Melbourne, Vic 3010, Australia; [Ross, D. Jeff] Univ Tasmania, Inst Marine &amp; Antarctic Studies, Hobart, Tas 7053, Australia</t>
  </si>
  <si>
    <t>Deakin University; University of Technology Sydney; University of Melbourne; Melbourne Bioinformatics; University of Tasmania</t>
  </si>
  <si>
    <t>Smith, TM (corresponding author), Deakin Univ, Sch Life &amp; Environm Sci, Ctr Integrat Ecol, Pigdons Rd, Geelong, Vic 3217, Australia.</t>
  </si>
  <si>
    <t>tim.smith@deakin.edu.au</t>
  </si>
  <si>
    <t>York, Paul H./C-4120-2009; Smith, Timothy/C-9283-2013; Sherman, Craig/A-2484-2010; Ross, Donald/F-7607-2012</t>
  </si>
  <si>
    <t>York, Paul H./0000-0003-3530-4146; Smith, Timothy/0000-0001-8612-8600; Sherman, Craig/0000-0003-2099-0462; Keough, Michael/0000-0002-3382-3068; Ross, Donald/0000-0002-8659-3833</t>
  </si>
  <si>
    <t>Victorian Department of Sustainability and Environment</t>
  </si>
  <si>
    <t>The authors would like to thank A. Hirst, N. Hutchinson, C. White and D. Hatton for assistance with specimen collection. This study was financially supported by a research grant from the Victorian Department of Sustainability and Environment: 'Seagrass resilience in Port Phillip Bay: developing better predictions of how seagrasses respond to environmental change'.</t>
  </si>
  <si>
    <t>10.1007/s12686-013-9862-3</t>
  </si>
  <si>
    <t>194GT</t>
  </si>
  <si>
    <t>WOS:000322619900003</t>
  </si>
  <si>
    <t>Litzow, MA; Mueter, FJ; Urban, JD</t>
  </si>
  <si>
    <t>Litzow, Michael A.; Mueter, Franz J.; Urban, J. Daniel</t>
  </si>
  <si>
    <t>Rising catch variability preceded historical fisheries collapses in Alaska</t>
  </si>
  <si>
    <t>Alaskan fisheries; collapse; crustacean fisheries; early warning; fisheries; indicators; management; multiple stable states; regime shift; spatial variability</t>
  </si>
  <si>
    <t>EARLY-WARNING SIGNALS; RED KING CRABS; REGIME SHIFTS; COMMUNITY REORGANIZATION; RECRUITMENT PATTERNS; CATASTROPHIC SHIFTS; ECOLOGICAL-SYSTEMS; MARINE ECOSYSTEMS; LEADING INDICATOR; STABLE STATES</t>
  </si>
  <si>
    <t>Statistical indicators such as rising variance and rising skewness in key system parameters may provide early warning of regime shifts in communities and populations. However, the utility of these indicators has rarely been tested in the large, complex ecosystems that are of most interest to managers. Crustacean fisheries in the Gulf of Alaska and Bering Sea experienced a series of collapses beginning in the 1970s, and we used spatially resolved catch data from these fisheries to test the predictions that increasing variability and skewness would precede stock collapse. Our data set consisted of catch data from 14 fisheries (12 collapsing and two non-collapsing), spanning 278 cumulative years. Our sampling unit for analysis was the Alaska Department of Fish and Game statistical reporting area (mean n for individual fisheries = 42 areas, range 7-81). We found that spatial variability in catches increased prior to stock collapse: a random-effects model estimating trend in variability across all 12 collapsing fisheries showed strong evidence of increasing variability prior to collapse. Individual trends in variability were statistically significant for only four of the 12 collapsing fisheries, suggesting that rising variability might be most effective as an indicator when information from multiple populations is available. Analyzing data across multiple fisheries allowed us to detect increasing variability 1-4 years prior to collapse, and trends in variability were significantly different for collapsing and non-collapsing fisheries. In spite of theoretical expectations, we found no evidence of pre-collapse increases in catch skewness. Further, while models generally predict that rising variability should be a transient phenomenon around collapse points, increased variability was a persistent feature of collapsed fisheries in our study. We conclude that this result is more consistent with fishing effects as the cause of increased catch variability, rather than the critical slowing down that is the driver of increased variability in regime shift models. While our results support the use of rising spatial variability as a leading indicator of regime shifts, the failure of our data to support other model-derived predictions underscores the need for empirical validation before these indicators can be used with confidence by ecosystem managers.</t>
  </si>
  <si>
    <t>[Litzow, Michael A.] Farallon Inst Adv Ecosyst Res, Petaluma, CA 94952 USA; [Litzow, Michael A.] Univ Tasmania, Inst Marine &amp; Antarctic Studies, Hobart, Tas 7001, Australia; [Mueter, Franz J.] Univ Alaska Fairbanks, Sch Fisheries &amp; Ocean Sci, Juneau, AK 99801 USA; [Urban, J. Daniel] Natl Ocean &amp; Atmospher Adm, Alaska Fisheries Sci Ctr, Kodiak, AK 99615 USA</t>
  </si>
  <si>
    <t>University of Tasmania; University of Alaska System; University of Alaska Fairbanks; National Oceanic Atmospheric Admin (NOAA) - USA</t>
  </si>
  <si>
    <t>Litzow, MA (corresponding author), Farallon Inst Adv Ecosyst Res, Petaluma, CA 94952 USA.</t>
  </si>
  <si>
    <t>Michael.Litzow@utas.edu.au</t>
  </si>
  <si>
    <t>Alaska Sea Grant College Program; NOAA Office of Sea Grant; U.S. Department of Commerce [NA10OAR4170097, R/31-22]; Institute for Marine and Antarctic Studies, University of Tasmania</t>
  </si>
  <si>
    <t>Alaska Sea Grant College Program; NOAA Office of Sea Grant(National Oceanic Atmospheric Admin (NOAA) - USA); U.S. Department of Commerce; Institute for Marine and Antarctic Studies, University of Tasmania</t>
  </si>
  <si>
    <t>We thank Paul Converse, Kim Phillips, and Gail Smith for assistance accessing data sets. We also thank Stewart Frusher and Alistair Hobday for helpful discussion, and Steve Carpenter and two anonymous reviewers for helpful comments on an earlier version of this paper. Funding was provided by the Alaska Sea Grant College Program with funds from the NOAA Office of Sea Grant, U.S. Department of Commerce, under grant NA10OAR4170097 (project R/31-22), with additional support from the Institute for Marine and Antarctic Studies, University of Tasmania.</t>
  </si>
  <si>
    <t>10.1890/12-0670.1</t>
  </si>
  <si>
    <t>211UD</t>
  </si>
  <si>
    <t>WOS:000323935700020</t>
  </si>
  <si>
    <t>Khim, BK; Dunbar, R; Kim, D</t>
  </si>
  <si>
    <t>Khim, Boo-Keun; Dunbar, Robert; Kim, Dongseon</t>
  </si>
  <si>
    <t>δ15N values of settling biogenic particles in the eastern Bransfield Basin (west Antarctic) and their records for the surface-water condition</t>
  </si>
  <si>
    <t>nitrogen isotope; sediment trap; surface water; Bransfield Basin; Antarctic</t>
  </si>
  <si>
    <t>SOUTHERN-OCEAN; ROSS-SEA; SEASONAL VARIABILITY; NITRATE UTILIZATION; NATURAL-ABUNDANCE; LATERAL TRANSPORT; CONTINENTAL-SHELF; CLIMATE-CHANGE; MARGINAL SEAS; LATE-HOLOCENE</t>
  </si>
  <si>
    <t>Sediment trap deployments in the eastern Brans-field Basin (west Antarctic) show seasonal and inter-annual variability in particle fluxes, with most of total annual flux at mid-depth occurring during a short period. High seasonality in particle flux may be associated with biological processes (the timing of phytoplankton blooms) and physical factor (sea-ice cover). Inter-annual variability of particle flux may also reflect inter-annual variation of sea-ice cover related to the biological processes. Most notable is that year-round high particle flux is observed in sediment traps moored near the seabed, which is not unexpected, emphasizing the contribution of supplementary transport of lithogenic particles particularly during the unproductive season. In this case, particles in relatively rapid vertical transit, such as aggregates and fecal pellets, are presumably mixed with laterally-transported particles. The relationship between delta N-15 values and biogenic particle flux highlights the contribution of particles in lateral transit to the vertical setting particles downward to the near-bottom sediment trap. Mid-depth sediment trap shows clear seasonal delta N-15 variability, whereas the near-bottom sediment trap shows no distinct seasonal trend, indicating the contamination of low delta N-15, fresh organic material by high delta N-15, regenerated and more refractory material resuspended from shallow continental margin. However, judging from the flux-weight delta N-15 values between the mid-depth and near-bottom sediment traps, biogeochemical components contained in the horizontally delivered particles are not critical to prevent the surface-water condition preserved in those of downward sinking particles. Our results provide the convincing implications from the recovery of paleoclimatic information using sediment cores from the eastern Bransfield Basin (west Antarctic).</t>
  </si>
  <si>
    <t>[Khim, Boo-Keun] Pusan Natl Univ, Dept Oceanog, Pusan 609735, South Korea; [Dunbar, Robert] Stanford Univ, Dept Environm Earth Syst Sci, Stanford, CA 94305 USA; [Kim, Dongseon] Korea Inst Ocean Sci &amp; Technol, Ocean Sci Res Dept, Ansan 426744, South Korea</t>
  </si>
  <si>
    <t>Pusan National University; Stanford University; Korea Institute of Ocean Science &amp; Technology (KIOST)</t>
  </si>
  <si>
    <t>Khim, BK (corresponding author), Pusan Natl Univ, Dept Oceanog, Pusan 609735, South Korea.</t>
  </si>
  <si>
    <t>bkkhim@pusan.ac.kr</t>
  </si>
  <si>
    <t>Dunbar, Robert/0000-0002-9728-5609</t>
  </si>
  <si>
    <t>National Research Foundation of Korea [2011-0021632]; Ministry of Education, Science and Technology; KOPRI project [PP13010]</t>
  </si>
  <si>
    <t>National Research Foundation of Korea(National Research Foundation of Korea); Ministry of Education, Science and Technology(Ministry of Education, Science &amp; Technology (MEST), Republic of Korea); KOPRI project(Korea Polar Research Institute of Marine Research Placement (KOPRI))</t>
  </si>
  <si>
    <t>The first author appreciates School of Earth Science providing the facilities to prepare for this manuscript during the stay at Stanford University. Dr. David Harris (University of California, Davis) and Dr. K. S. Lee (Korea Basic Science Institute) are thanked for operating IRMS and ICP-MS, respectively. Two anonymous reviewers were appreciated on their constructive comments. This study was carried out by the Basic Science Research Program (grant no. 2011-0021632) through the National Research Foundation of Korea funded by the Ministry of Education, Science and Technology and partly by the KOPRI project (PP13010).</t>
  </si>
  <si>
    <t>10.1007/s12303-013-0032-0</t>
  </si>
  <si>
    <t>213QT</t>
  </si>
  <si>
    <t>WOS:000324073900003</t>
  </si>
  <si>
    <t>Macelloni, G; Brogioni, M; Pettinato, S; Zasso, R; Crepaz, A; Zaccaria, J; Padovan, B; Drinkwater, M</t>
  </si>
  <si>
    <t>Macelloni, Giovanni; Brogioni, Marco; Pettinato, Simone; Zasso, Renato; Crepaz, Andrea; Zaccaria, Jonathan; Padovan, Boris; Drinkwater, Mark</t>
  </si>
  <si>
    <t>Ground-Based L-Band Emission Measurements at Dome-C Antarctica: The DOMEX-2 Experiment</t>
  </si>
  <si>
    <t>IEEE TRANSACTIONS ON GEOSCIENCE AND REMOTE SENSING</t>
  </si>
  <si>
    <t>12th Specialist Meeting on Microwave Radiometry and Remote Sensing Applications</t>
  </si>
  <si>
    <t>MAR 05-09, 2012</t>
  </si>
  <si>
    <t>University of Rome, Frascati, ITALY</t>
  </si>
  <si>
    <t>University of Rome</t>
  </si>
  <si>
    <t>Antarctica; calibration; L-band; microwave radiometry; Soil Moisture and Ocean Salinity (SMOS)</t>
  </si>
  <si>
    <t>MICROWAVE BRIGHTNESS TEMPERATURE</t>
  </si>
  <si>
    <t>In recent years, there has been growing interest on the part of the remote sensing community in using the Antarctic area for calibrating and validating data of low-frequency satellite-borne microwave radiometers. In particular, the East Antarctic Plateau appears to be suited for this purpose. The reasons for this interest are the size, structure, spatial homogeneity, and thermal stability of this area. This is particularly interesting for low-frequency microwave radiometers since, due to the low extinction of dry snow, the upper ice-sheet layer is almost transparent and the brightness temperature variability is therefore extremely small. In the context of calibration and validation activities of the European Space Agency's Soil Moisture and Ocean Salinity (SMOS) satellite, an experiment called DOMEX-2, which included radiometric L-band measurements, was carried out at the Italian-French base of Concordia located at Dome C in the East Antarctic Plateau from December 2008 to December 2010. Ground measurements (i.e., snow temperature at different depths, snow structure, meteorological data, etc.) were also collected during the experiment. This paper presents information on the experimental campaign, the characteristics of the radiometric measurements, and the main results. A comparison with SMOS data is also presented.</t>
  </si>
  <si>
    <t>[Macelloni, Giovanni; Brogioni, Marco; Pettinato, Simone] Inst Appl Phys N Carrara, I-50019 Sesto Fiorentino, FI, Italy; [Zasso, Renato; Crepaz, Andrea] Ctr Valanghe Arabba, I-32020 Arabba, Italy; [Zaccaria, Jonathan; Padovan, Boris] Italian Antarctic Res Program, F-29280 Plouzane, France; [Zaccaria, Jonathan] French Polar Inst IPEV, F-29280 Plouzane, France; [Padovan, Boris] Curtin Univ, GNSS Res Ctr, Perth, WA 6845, Australia; [Padovan, Boris] Curtin Univ, Dept Spatial Sci, Perth, WA 6845, Australia; [Drinkwater, Mark] European Space Agcy, European Space Res &amp; Technol Ctr, Earth Observat Programmes, Mission Sci Div, NL-2201 AZ Noordwijk, Netherlands</t>
  </si>
  <si>
    <t>Consiglio Nazionale delle Ricerche (CNR); Istituto di Fisica Applicata Nello Carrara (IFAC-CNR); Curtin University; Curtin University; European Space Agency</t>
  </si>
  <si>
    <t>Macelloni, G (corresponding author), Inst Appl Phys N Carrara, I-50019 Sesto Fiorentino, FI, Italy.</t>
  </si>
  <si>
    <t>g.macelloni@ifac.cnr.it</t>
  </si>
  <si>
    <t>Pettinato, Simone/H-6051-2019; Brogioni, Marco/B-7522-2015; Macelloni, Giovanni/B-7518-2015; Brogioni, Marco/Q-6583-2019; Drinkwater, Mark/C-2478-2011</t>
  </si>
  <si>
    <t>Pettinato, Simone/0000-0002-3155-8918; Brogioni, Marco/0000-0001-6232-6020; Brogioni, Marco/0000-0001-6232-6020; MACELLONI, GIOVANNI/0000-0002-9738-7939; Drinkwater, Mark/0000-0002-9250-3806</t>
  </si>
  <si>
    <t>European Space Agency [20066/06/NL/EL, 22046/08/NL/EL]; Italian Antarctic Research Programme (PNRA)</t>
  </si>
  <si>
    <t>European Space Agency(European Space Agency); Italian Antarctic Research Programme (PNRA)</t>
  </si>
  <si>
    <t>This work was supported in part by the European Space Agency under Contracts 20066/06/NL/EL and 22046/08/NL/EL and in part by the Italian Antarctic Research Programme (PNRA).</t>
  </si>
  <si>
    <t>0196-2892</t>
  </si>
  <si>
    <t>1558-0644</t>
  </si>
  <si>
    <t>IEEE T GEOSCI REMOTE</t>
  </si>
  <si>
    <t>IEEE Trans. Geosci. Remote Sensing</t>
  </si>
  <si>
    <t>10.1109/TGRS.2013.2277921</t>
  </si>
  <si>
    <t>Geochemistry &amp; Geophysics; Engineering, Electrical &amp; Electronic; Remote Sensing; Imaging Science &amp; Photographic Technology</t>
  </si>
  <si>
    <t>Geochemistry &amp; Geophysics; Engineering; Remote Sensing; Imaging Science &amp; Photographic Technology</t>
  </si>
  <si>
    <t>218LV</t>
  </si>
  <si>
    <t>WOS:000324434900010</t>
  </si>
  <si>
    <t>Zhao, J; Zou, XL; Weng, FZ</t>
  </si>
  <si>
    <t>Zhao, Juan; Zou, Xiaolei; Weng, Fuzhong</t>
  </si>
  <si>
    <t>WindSat Radio-Frequency Interference Signature and Its Identification Over Greenland and Antarctic</t>
  </si>
  <si>
    <t>Conical scanning microwave radiometer; radio-frequency interference (RFI); WindSat</t>
  </si>
  <si>
    <t>SEA-SURFACE TEMPERATURE; OCEAN; RETRIEVAL; VECTOR; LAND</t>
  </si>
  <si>
    <t>A detection of radio-frequency interference (RFI) in the space-borne microwave radiometer data is difficult under snow and sea ice-covered conditions. The existing methods such as a spectral difference technique or a principal component analysis (PCA) of RFI indices produce many false RFI signals near the boundary of Greenland and Antarctic ice sheets. In this paper, a double PCA (DPCA) method is developed for RFI detection over Greenland and Antarctic regions. It is shown that the new DPCA method is effective in detecting RFI signals in the C-and X-band radiometer channels of WindSat while removing the false RFI signals over Greenland and Antarctic. It also worked well in other snow-free or snow-rich regions such as winter data over the United States. The proposed DPCA can be applied to satellite radiometer data orbit-by-orbit or granule-by-granule and is thus applicable in an operational environment for fast processing and data dissemination.</t>
  </si>
  <si>
    <t>[Zhao, Juan] China Meteorol Adm Training Ctr, Beijing 100081, Peoples R China; [Zhao, Juan; Zou, Xiaolei] Nanjing Univ Informat Sci &amp; Technol, Ctr Data Assimilat Res &amp; Applicat, Nanjing 210044, Jiangsu, Peoples R China; [Zou, Xiaolei] Florida State Univ, Dept Earth Ocean &amp; Atmospher Sci, Tallahassee, FL 32306 USA; [Weng, Fuzhong] NOAA, Natl Environm Satellite Data &amp; Informat Serv, Washington, DC 20230 USA</t>
  </si>
  <si>
    <t>Nanjing University of Information Science &amp; Technology; State University System of Florida; Florida State University; National Oceanic Atmospheric Admin (NOAA) - USA</t>
  </si>
  <si>
    <t>zou@fsu.edu</t>
  </si>
  <si>
    <t>Weng, Fuzhong/F-5633-2010</t>
  </si>
  <si>
    <t>Weng, Fuzhong/0000-0003-0150-2179</t>
  </si>
  <si>
    <t>Chinese Ministry of Science and Technology [2010CB951600]; Chinese Ministry of Finance [GYHY200906006]</t>
  </si>
  <si>
    <t>Chinese Ministry of Science and Technology(Ministry of Science and Technology, China); Chinese Ministry of Finance</t>
  </si>
  <si>
    <t>This work was jointly supported by Chinese Ministry of Science and Technology project 2010CB951600, and Chinese Ministry of Finance project GYHY200906006.</t>
  </si>
  <si>
    <t>10.1109/TGRS.2012.2230634</t>
  </si>
  <si>
    <t>WOS:000324434900019</t>
  </si>
  <si>
    <t>Qiu, Q; Yang, HG; Lu, QM; Zhang, QH; Han, DS; Hu, ZJ</t>
  </si>
  <si>
    <t>Qiu, Qi; Yang, Hui-Gen; Lu, Quan-Ming; Zhang, Qing-He; Han, De-Sheng; Hu, Ze-Jun</t>
  </si>
  <si>
    <t>Widths of dayside auroral arcs observed at the Chinese Yellow River Station</t>
  </si>
  <si>
    <t>Auroral arc; Observed width; Corrected width</t>
  </si>
  <si>
    <t>THICKNESSES; OVAL</t>
  </si>
  <si>
    <t>Due to the altitudinal extent of an auroral arc, its observed width is different at different zenith angles even when its real width is the same. For that reason, former measurements of arc widths were obtained only for arcs located close to the geomagnetic zenith direction. A method to correct arc width is proposed in the paper, which considers the altitudinal extent of auroral arc. Then, we apply this method to the auroral arcs observed at the Chinese Yellow River Station, and analyze the widths of 17,571 dayside auroral arcs. The distributions of the widths are almost the same at different zenith angles with an average width of 18.5 km. Arc widths are narrower as MLT is close to midday. (C) 2013 Published by Elsevier Ltd.</t>
  </si>
  <si>
    <t>[Qiu, Qi; Yang, Hui-Gen; Zhang, Qing-He; Han, De-Sheng; Hu, Ze-Jun] Polar Res Inst China, SOA Key Lab Polar Sci, Shanghai 200136, Peoples R China; [Qiu, Qi; Lu, Quan-Ming] Univ Sci &amp; Technol China, Dept Geophys &amp; Planetary Sci, CAS Key Lab Basic Plasma Phys, Hefei 230026, Peoples R China</t>
  </si>
  <si>
    <t>Polar Research Institute of China; Chinese Academy of Sciences; University of Science &amp; Technology of China, CAS</t>
  </si>
  <si>
    <t>Qiu, Q (corresponding author), Polar Res Inst China, SOA Key Lab Polar Sci, Shanghai 200136, Peoples R China.</t>
  </si>
  <si>
    <t>qiuqi@pric.gov.cn; huigen_yang@pric.gov.cn; qmlu@ustc.edu.cn; zhangqinghe@pric.gov.cn; Handesheng@pric.gov.cn; Huzejun@pric.gov.cn</t>
  </si>
  <si>
    <t>Zhang, Qing-He/G-4572-2014; Han, Desheng/P-2663-2017; Hu, Ze-Jun/X-8090-2019; Han, Desheng/H-6971-2018</t>
  </si>
  <si>
    <t>Zhang, Qing-He/0000-0003-2429-4050; Hu, Ze-Jun/0000-0003-2448-2094; Han, Desheng/0000-0002-6635-9214</t>
  </si>
  <si>
    <t>National Natural Science Foundation of China [41031064, 40974083, 41274164, 41274149]; Foundation of Shaanxi Educational Committee [12JK0543]; Ocean Public Welfare Scientific Research Project, State Oceanic Administration People's Republic of China [201005017]; 973 Program [2010CB950503-06]; China Meteorological Administration [GYHY201106011]; Chinese Arctic and Antarctic Administration [10/11YR09]</t>
  </si>
  <si>
    <t>National Natural Science Foundation of China(National Natural Science Foundation of China (NSFC)); Foundation of Shaanxi Educational Committee; Ocean Public Welfare Scientific Research Project, State Oceanic Administration People's Republic of China; 973 Program(National Basic Research Program of China); China Meteorological Administration; Chinese Arctic and Antarctic Administration</t>
  </si>
  <si>
    <t>This work was supported by the National Natural Science Foundation of China (41031064, 40974083, 41274164, and 41274149), the Foundation of Shaanxi Educational Committee (12JK0543), Ocean Public Welfare Scientific Research Project, State Oceanic Administration People's Republic of China (201005017), 973 Program (2010CB950503-06), and by the China Meteorological Administration Grant (GYHY201106011). Thanks for the funds supporting of Chinese Arctic and Antarctic Administration (10/11YR09).</t>
  </si>
  <si>
    <t>10.1016/j.jastp.2013.06.002</t>
  </si>
  <si>
    <t>212WS</t>
  </si>
  <si>
    <t>WOS:000324014100024</t>
  </si>
  <si>
    <t>Rupp, DE; Mote, PW; Bindoff, NL; Stott, PA; Robinson, DA</t>
  </si>
  <si>
    <t>Rupp, David E.; Mote, Philip W.; Bindoff, Nathaniel L.; Stott, Peter A.; Robinson, David A.</t>
  </si>
  <si>
    <t>Detection and Attribution of Observed Changes in Northern Hemisphere Spring Snow Cover</t>
  </si>
  <si>
    <t>Northern Hemisphere; Snow; Statistical techniques; Climate models; Anthropogenic effects</t>
  </si>
  <si>
    <t>ESTIMATING SIGNAL AMPLITUDES; 20TH-CENTURY TEMPERATURE; VARIABILITY</t>
  </si>
  <si>
    <t>Significant declines in spring Northern Hemisphere (NH) snow cover extent (SCE) have been observed over the last five decades. As one step toward understanding the causes of this decline, an optimal fingerprinting technique is used to look for consistency in the temporal pattern of spring NH SCE between observations and simulations from 15 global climate models (GCMs) that form part of phase 5 of the Coupled Model Intercomparison Project. The authors examined simulations from 15 GCMs that included both natural and anthropogenic forcing and simulations from 7 GCMs that included only natural forcing. The decline in observed NH SCE could be largely explained by the combined natural and anthropogenic forcing but not by natural forcing alone. However, the 15 GCMs, taken as a whole, underpredicted the combined forcing response by a factor of 2. How much of this underprediction was due to underrepresentation of the sensitivity to external forcing of the GCMs or to their underrepresentation of internal variability has yet to be determined.</t>
  </si>
  <si>
    <t>[Rupp, David E.; Mote, Philip W.] Oregon State Univ, Oregon Climate Change Res Inst, Coll Earth Ocean &amp; Atmospher Sci, Corvallis, OR 97330 USA; [Bindoff, Nathaniel L.] Univ Tasmania, Inst Marine &amp; Antarctic Studies, Hobart, Tas, Australia; [Bindoff, Nathaniel L.] Univ Tasmania, CSIRO Marine &amp; Atmospher Res, Hobart, Tas, Australia; [Stott, Peter A.] Met Off Hadley Ctr, Exeter, Devon, England; [Robinson, David A.] Rutgers State Univ, Dept Geog, New Brunswick, NJ 08903 USA</t>
  </si>
  <si>
    <t>Oregon State University; University of Tasmania; University of Tasmania; Commonwealth Scientific &amp; Industrial Research Organisation (CSIRO); Met Office - UK; Hadley Centre; Rutgers University System; Rutgers University New Brunswick</t>
  </si>
  <si>
    <t>Rupp, DE (corresponding author), Oregon State Univ, Oregon Climate Change Res Inst, 326 Strand Hall, Corvallis, OR 97330 USA.</t>
  </si>
  <si>
    <t>david.rupp@oregonstate.edu</t>
  </si>
  <si>
    <t>Scott, Peter/GYA-5335-2022; Bindoff, Nathaniel Lee/IVV-0333-2023; Mote, Philip/AAB-3500-2021; Rupp, David E/G-8171-2014; Bindoff, Nathaniel Lee/C-8050-2011; Stott, Peter/N-1228-2016</t>
  </si>
  <si>
    <t>Bindoff, Nathaniel Lee/0000-0001-5662-9519; Bindoff, Nathaniel Lee/0000-0001-5662-9519; Stott, Peter/0000-0003-4853-7686</t>
  </si>
  <si>
    <t>Joint DECC/Defra Met Office Hadley Centre Climate Programme [GA01101]; ARC Centre of Excellence for Climate System Science</t>
  </si>
  <si>
    <t>Joint DECC/Defra Met Office Hadley Centre Climate Programme; ARC Centre of Excellence for Climate System Science(Australian Research Council)</t>
  </si>
  <si>
    <t>We acknowledge the World Climate Research Programme's Working Group on Coupled Modelling, which is responsible for CMIP, and we thank the climate modeling groups (listed in Table 1 of this paper) for producing and making available their model output. For CMIP, the U.S. Department of Energy's Program for Climate Model Diagnosis and Intercomparison provides coordinating support and led development of software infrastructure in partnership with the Global Organization for Earth System Science Portals. Daithi Stone provided the core code for the optimal fingerprinting analysis and Rachel Calmer assisted with the CMIP5 data acquisition. PAS was supported by the Joint DECC/Defra Met Office Hadley Centre Climate Programme (GA01101). NLB acknowledges the support of the ARC Centre of Excellence for Climate System Science.</t>
  </si>
  <si>
    <t>10.1175/JCLI-D-12-00563.1</t>
  </si>
  <si>
    <t>213LB</t>
  </si>
  <si>
    <t>Green Submitted, Green Accepted, hybrid</t>
  </si>
  <si>
    <t>WOS:000324057600009</t>
  </si>
  <si>
    <t>Feulner, G; Rahmstorf, S; Levermann, A; Volkwardt, S</t>
  </si>
  <si>
    <t>Feulner, Georg; Rahmstorf, Stefan; Levermann, Anders; Volkwardt, Silvia</t>
  </si>
  <si>
    <t>On the Origin of the Surface Air Temperature Difference between the Hemispheres in Earth's Present-Day Climate</t>
  </si>
  <si>
    <t>Energy transport; Ocean circulation; Energy budget; balance; Radiation budgets; Temperature</t>
  </si>
  <si>
    <t>THERMOHALINE CIRCULATION; INTERMEDIATE COMPLEXITY; OCEAN CIRCULATION; SYSTEM MODEL; PART I; ENERGY; ATMOSPHERE; HEAT; SIMULATIONS; PERFORMANCE</t>
  </si>
  <si>
    <t>In today's climate, the annually averaged surface air temperature in the Northern Hemisphere (NH) is 1 degrees-2 degrees C higher than in the Southern Hemisphere (SH). Historically, this interhemispheric temperature difference has been attributed to a number of factors, including seasonal differences in insolation, the larger area of (tropical) land in the NH, the particularities of the Antarctic in terms of albedo and temperature, and northward heat transport by ocean circulation. A detailed investigation of these factors and their contribution to the temperature difference, however, has to the authors' knowledge not been performed so far. Here the origin of the interhemispheric temperature difference is traced using an assessment of climatological data and the observed energy budget of Earth as well as model simulations. It is found that for the preindustrial climate the temperature difference is predominantly due to meridional heat transport in the oceans, with an additional contribution from the albedo differences between the polar regions. The combination of these factors (that are to some extent coupled) governs the evolution of the temperature difference over the past millennium. Since the beginning of industrialization the interhemispheric temperature difference has increased due to melting of sea ice and snow in the NH. Furthermore, the predicted higher rate of warming over land as compared to the oceans contributes to this increase. Simulations for the twenty-first century show that the interhemispheric temperature difference continues to grow for the highest greenhouse gas emission scenarios due to the land-ocean warming contrast and the strong loss of Arctic sea ice, whereas the decrease in overturning strength dominates for the more moderate scenarios.</t>
  </si>
  <si>
    <t>[Feulner, Georg; Rahmstorf, Stefan; Levermann, Anders; Volkwardt, Silvia] Potsdam Inst Climate Impact Res, D-14412 Potsdam, Germany</t>
  </si>
  <si>
    <t>Potsdam Institut fur Klimafolgenforschung</t>
  </si>
  <si>
    <t>Feulner, G (corresponding author), Potsdam Inst Climate Impact Res, POB 60 12 03, D-14412 Potsdam, Germany.</t>
  </si>
  <si>
    <t>feulner@pik-potsdam.de</t>
  </si>
  <si>
    <t>Levermann, Anders/G-4666-2011; Keyes, Dennis/AAZ-9285-2021; Rahmstorf, Stefan/A-8465-2010; Feulner, Georg/A-1933-2011</t>
  </si>
  <si>
    <t>Levermann, Anders/0000-0003-4432-4704; Rahmstorf, Stefan/0000-0001-6786-7723; Feulner, Georg/0000-0001-9215-5517</t>
  </si>
  <si>
    <t>10.1175/JCLI-D-12-00636.1</t>
  </si>
  <si>
    <t>WOS:000324057600022</t>
  </si>
  <si>
    <t>Avinash, K; Deepika, B; Jayappa, KS</t>
  </si>
  <si>
    <t>Avinash, Kumar; Deepika, B.; Jayappa, K. S.</t>
  </si>
  <si>
    <t>Evolution of spit morphology: a case study using a remote sensing and statistical based approach</t>
  </si>
  <si>
    <t>JOURNAL OF COASTAL CONSERVATION</t>
  </si>
  <si>
    <t>Spit morphology; River mouth; Coefficient of determination(R-2); Human interventions; West coast of India</t>
  </si>
  <si>
    <t>SHORELINE CHANGES; SOUTHERN KARNATAKA; WEST-COAST; ISLAND; INDIA</t>
  </si>
  <si>
    <t>The dynamics and factors responsible for morphological changes of spits viz., Uliyargoli-Padukere, Oddu Bengre and Kodi Bengre, southern Karnataka, India, are investigated using multi-dated satellite images and topographic maps during the last 95-years (1910-2005). Variations and overall rate of changes in length, area and coefficient of determination (R-2) of each spit are calculated separately for two periods (1910 and 1967 as base years) to find out whether there is any significant trend in the case of change in length and area in all the three spits that are under study. Linear trend lines are fitted using a least squares method and the statistical significance is considered at 80 % level of confidence. The results recorded significant changes in spit morphology, especially in length and area if 1910 and 1967 are considered separately as base years, are may be due to non-availability of data set between 1910 and 1967 period. The study reveals that coastal processes, such as SW-monsoon influenced strong currents and longshore drifts are the main process for formation and growth of spits, whereas rivers influence/drift also plays significant role. The statistical uncertainty estimation in spits morphology is prevalent wherever the coast is affected by human interventions. The study demonstrates that combined use of satellite imagery and statistical techniques can be effectively used to understand the evolution of spits morphology.</t>
  </si>
  <si>
    <t>[Avinash, Kumar] Natl Ctr Antarctic &amp; Ocean Res, Polar Remote Sensing Div, Vasco Da Gama 403804, Goa, India; [Deepika, B.; Jayappa, K. S.] Mangalore Univ, Dept Marine Geol, Mangalore 574199, India</t>
  </si>
  <si>
    <t>Ministry of Earth Sciences (MoES) - India; National Centre for Polar and Ocean Research (NCPOR); Mangalore University</t>
  </si>
  <si>
    <t>Avinash, K (corresponding author), Natl Ctr Antarctic &amp; Ocean Res, Polar Remote Sensing Div, Vasco Da Gama 403804, Goa, India.</t>
  </si>
  <si>
    <t>avinash@ncaor.gov.in</t>
  </si>
  <si>
    <t>Ministry of Earth Sciences, New Delhi through MMDP research project</t>
  </si>
  <si>
    <t>The first author (AK) thanks Director, National Centre for Antarctic and Ocean Research (NCAOR), and Dr. A.J. Luis for continuous support and encouragement. The authors (DB &amp; KSJ) thank the Ministry of Earth Sciences, New Delhi for financial assistance through MMDP research project.</t>
  </si>
  <si>
    <t>1400-0350</t>
  </si>
  <si>
    <t>1874-7841</t>
  </si>
  <si>
    <t>J COAST CONSERV</t>
  </si>
  <si>
    <t>J. Coast. Conserv.</t>
  </si>
  <si>
    <t>10.1007/s11852-013-0259-y</t>
  </si>
  <si>
    <t>Biodiversity Conservation; Environmental Sciences; Marine &amp; Freshwater Biology; Water Resources</t>
  </si>
  <si>
    <t>Biodiversity &amp; Conservation; Environmental Sciences &amp; Ecology; Marine &amp; Freshwater Biology; Water Resources</t>
  </si>
  <si>
    <t>214DE</t>
  </si>
  <si>
    <t>WOS:000324110200003</t>
  </si>
  <si>
    <t>Kim, SY; Choi, JK; Dolan, JR; Shin, HC; Lee, S; Yang, EJ</t>
  </si>
  <si>
    <t>Kim, Sun Young; Choi, Joong Ki; Dolan, John R.; Shin, Hyoung Chul; Lee, SangHoon; Yang, Eun Jin</t>
  </si>
  <si>
    <t>Morphological and Ribosomal DNA-based Characterization of Six Antarctic Ciliate Morphospecies from the Amundsen Sea with Phylogenetic Analyses</t>
  </si>
  <si>
    <t>JOURNAL OF EUKARYOTIC MICROBIOLOGY</t>
  </si>
  <si>
    <t>18S; 28S; Antarctica; marine ciliates; planktonic ciliates; taxonomy; Tintinnida</t>
  </si>
  <si>
    <t>MULTIPLE SEQUENCE ALIGNMENT; WEDDELL SEA; SPECIAL EMPHASIS; CILIOPHORA; BIOGEOGRAPHY; SPIROTRICHEA; CYMATOCYLIS; DIVERSITY; REDESCRIPTION; CHOREOTRICHIA</t>
  </si>
  <si>
    <t>We characterized six tintinnid ciliates from Antarctic waters using molecular markers and morphological traits: Amphorellopsis quinquealata, Codonellopsis gaussi, Cymatocylis convallaria, Cy. calyciformis, Cy. drygalskii, and Laackmanniella prolongata. The 100% similarity in SSU-ITS1-5.8S rDNA-ITS2-partial LSU rDNA sequences among Cy. convallaria, Cy. calyciformis, and Cy. drygalskii is supportive of synonymy. Codonellopsis gaussi and L. prolongata also showed high levels of similarity in SSU rDNA (99.83%) and the D2 domain of LSU rDNA (95.77%), suggesting that they are closely related. Phylogenetic analysis placed Cymatocylis in the Rhabdonellidae, Amphorellopsis in the Tintinnidae and L. prolongata/Co. gaussi within the Dictyocystidae.</t>
  </si>
  <si>
    <t>[Kim, Sun Young; Choi, Joong Ki] Inha Univ, Dept Oceanog, Inchon 402751, South Korea; [Kim, Sun Young; Shin, Hyoung Chul; Lee, SangHoon; Yang, Eun Jin] KIOST, Korea Polar Res Inst, Inchon 405840, South Korea; [Dolan, John R.] Univ Paris 06, UMR 7093, Lab Oceanog Villefranche, F-06230 Villefranche Sur Mer, France; [Dolan, John R.] CNRS, Stn Zool, F-06230 Villefranche Sur Mer, France</t>
  </si>
  <si>
    <t>Inha University; Korea Institute of Ocean Science &amp; Technology (KIOST); Korea Polar Research Institute (KOPRI); Centre National de la Recherche Scientifique (CNRS); CNRS - National Institute for Earth Sciences &amp; Astronomy (INSU); Sorbonne Universite; Centre National de la Recherche Scientifique (CNRS); Sorbonne Universite</t>
  </si>
  <si>
    <t>Yang, EJ (corresponding author), KIOST, Korea Polar Res Inst, 213-3 Sondo Dong, Inchon 405840, South Korea.</t>
  </si>
  <si>
    <t>ejyang@kopri.re.kr</t>
  </si>
  <si>
    <t>Dolan, John/GON-7388-2022</t>
  </si>
  <si>
    <t>Dolan, John/0000-0002-9454-1355; Yang, Eun Jin/0000-0002-8639-5968</t>
  </si>
  <si>
    <t>KOPRI [PP13020, PE11050]; Aquaparadox project through the French ANR Biodiversite program; Pole Mer PACA</t>
  </si>
  <si>
    <t>KOPRI(Korea Polar Research Institute of Marine Research Placement (KOPRI)); Aquaparadox project through the French ANR Biodiversite program(Agence Nationale de la Recherche (ANR)); Pole Mer PACA(Region Provence-Alpes-Cote d'Azur)</t>
  </si>
  <si>
    <t>We thank Dr Chung Yeon Hwang for his help to revise phylogenetic analysis. We thank Dr Charles Bachy for providing his data to allow early access to tintinnid sequences. Also, we thank Dr. Han Gu Choi for generously providing his laboratory space and equipment for molecular analysis. Many thanks to editors and reviewers for their valuable comments and suggestions. This study was supported by KOPRI grants (PP13020 and PE11050). Financial support was also provided through the Aquaparadox project through the French ANR Biodiversite program and the Pole Mer PACA.</t>
  </si>
  <si>
    <t>1066-5234</t>
  </si>
  <si>
    <t>1550-7408</t>
  </si>
  <si>
    <t>J EUKARYOT MICROBIOL</t>
  </si>
  <si>
    <t>J. Eukaryot. Microbiol.</t>
  </si>
  <si>
    <t>10.1111/jeu.12057</t>
  </si>
  <si>
    <t>213XT</t>
  </si>
  <si>
    <t>WOS:000324094600007</t>
  </si>
  <si>
    <t>Yatheesh, V; Kurian, PJ; Bhattacharya, GC; Rajan, S</t>
  </si>
  <si>
    <t>Yatheesh, V.; Kurian, P. John; Bhattacharya, G. C.; Rajan, S.</t>
  </si>
  <si>
    <t>Morphotectonic architecture of an India-Madagascar breakup related anomalous submarine terrace complex on the southwest continental margin of India</t>
  </si>
  <si>
    <t>MARINE AND PETROLEUM GEOLOGY</t>
  </si>
  <si>
    <t>Alleppey Terrace; Trivandrum Terrace; Chain-Kairali Escarpment; Quilon Escarpment; India-Madagascar separation; Sheared continental margin</t>
  </si>
  <si>
    <t>VOLCANIC-ROCKS; HOT-SPOT; OCEAN; GRAVITY; PALEOMAGNETISM; GEOCHRONOLOGY; EVOLUTION; KERALA; DYKES; MODEL</t>
  </si>
  <si>
    <t>An anomalous lateral bathymetric protrusion [Alleppey-Trivandrum Terrace Complex (ATTC)] in the form of two contiguous terrace-like features exists in the mid-continental slope off southwest coast of India. This bathymetric protrusion and a bathymetric notch in the Northern Madagascar Ridge (NMR) have been postulated as conjugate features related to India Madagascar separation in Late Cretaceous. However, geoscientific studies aimed to understand the crustal structure and genesis of the ATTC or its postulated conjugate region are meagre and ambiguous. In this context, the present study, based on recently acquired as well existing bathymetry, gravity, magnetic and multi-channel seismic reflection data, was carried out to understand the morphotectonic architecture of the ATTC. The bathymetric data suggest an escarpment [Chain-Kairali Escarpment (CKE)] to demarcate the westward limit of the ATTC and another escarpment [Quilon Escarpment (QE)] to demarcate the boundary between the southerly, larger 'Trivandrum Terrace (TT)' and northerly, smaller Alleppey Terrace (AT). The multichannel seismic reflection data suggests a block-faulted basement and presence of a nearly N-S trending wide basement high in the central part of the Trivandrum Terrace. Forward modelling of gravity data constrained by seismic reflection information suggests that the crustal structure of the ATTC region is comparable to thinned continental crust. Forward modelling of prominent high amplitude magnetic anomalies suggest that the thinned continental crust of the ATTC region also contains volcanic bodies as intrusives/extrusives. The CKE is inferred to be a sheared continental margin segment along which the SE coast of Madagascar glided past India and the volcanic emplacements in the ATTC region perhaps relates to the Marion Hotspot volcanism. (C) 2013 Elsevier Ltd. All rights reserved.</t>
  </si>
  <si>
    <t>[Yatheesh, V.; Bhattacharya, G. C.] Natl Inst Oceanog, CSIR, Panaji 403004, Goa, India; [Yatheesh, V.; Kurian, P. John; Rajan, S.] Natl Ctr Antarctic &amp; Ocean Res, Vasco Da Gama 403804, Goa, India</t>
  </si>
  <si>
    <t>Council of Scientific &amp; Industrial Research (CSIR) - India; CSIR - National Institute of Oceanography (NIO); Ministry of Earth Sciences (MoES) - India; National Centre for Polar and Ocean Research (NCPOR)</t>
  </si>
  <si>
    <t>Bhattacharya, GC (corresponding author), Natl Inst Oceanog, CSIR, Panaji 403004, Goa, India.</t>
  </si>
  <si>
    <t>gcb@nio.org</t>
  </si>
  <si>
    <t>Vadakkeyakath, Yatheesh/C-3067-2009</t>
  </si>
  <si>
    <t>Vadakkeyakath, Yatheesh/0000-0002-4379-3536</t>
  </si>
  <si>
    <t>CSIR-National Institute of Oceanography (CSIR-NIO), Goa; National Centre for Antarctic and Ocean Research (NCAOR), Goa; Ministry of Earth Sciences (MoES), New Delhi; MoES</t>
  </si>
  <si>
    <t>The authors are grateful to Director, CSIR-National Institute of Oceanography (CSIR-NIO), Goa and Director, National Centre for Antarctic and Ocean Research (NCAOR), Goa, for encouragement and support to carry out this work. Part of this work was carried out by GCB under a CSIR Emeritus Scientist scheme. Authors are also thankful to Ministry of Earth Sciences (MoES), New Delhi for the financial support and ship time; to M. Sudhakar, MoES, for support and guidance in execution of the ORV Sagar Kanya cruise (cruise SK-221) programme; to shipboard scientific party, officers and crew members of ORV Sagar Kanya (cruise SK-221) for their support; to Directorate General of Hydrocarbons, New Delhi, for providing the multichannel seismic reflection sections used in the present study; and, to Director, Indian Institute of Geomagnetism, Mumbai, for providing the diurnal variation data for the Alibagh magnetic observatory. All figures were drafted with GMT software (Wessel and Smith, 1995). The paper is greatly benefited from the constructive reviews and valuable suggestions of two anonymous reviewers and Associate Editor Anand S. Kale. This is NIO contribution number 5421 and NCAOR contribution number 15/2013.</t>
  </si>
  <si>
    <t>0264-8172</t>
  </si>
  <si>
    <t>1873-4073</t>
  </si>
  <si>
    <t>MAR PETROL GEOL</t>
  </si>
  <si>
    <t>Mar. Pet. Geol.</t>
  </si>
  <si>
    <t>10.1016/j.marpetgeo.2013.07.005</t>
  </si>
  <si>
    <t>215PS</t>
  </si>
  <si>
    <t>WOS:000324223400019</t>
  </si>
  <si>
    <t>Heldmann, JL; Pollard, W; McKay, CP; Marinova, MM; Davila, A; Williams, KE; Lacelle, D; Andersen, DT</t>
  </si>
  <si>
    <t>Heldmann, J. L.; Pollard, W.; McKay, C. P.; Marinova, M. M.; Davila, A.; Williams, K. E.; Lacelle, D.; Andersen, D. T.</t>
  </si>
  <si>
    <t>The high elevation Dry Valleys in Antarctica as analog sites for subsurface ice on Mars</t>
  </si>
  <si>
    <t>PLANETARY AND SPACE SCIENCE</t>
  </si>
  <si>
    <t>Ice; Mars; Polar regions; Antarctica; Drilling</t>
  </si>
  <si>
    <t>SOUTHERN VICTORIA LAND; ROCK TEMPERATURE DATA; MIOCENE GLACIER ICE; BEACON VALLEY; GROUND ICE; LOW RATES; SUBLIMATION; PERMAFROST; STABILITY; SURFACE</t>
  </si>
  <si>
    <t>The high elevation valleys of the McMurdo Dry Valleys of Antarctica are the only locations on Earth known to contain dry permafrost. The Dry Valleys are a hyper-arid polar desert environment and above 1500 m elevation, air temperatures do not exceed 0 degrees C and thus, similarly to Mars, liquid water is largely absent and instead the hydrologic cycle is dominated by frozen ice and vapor phase processes such as sublimation. These conditions make the high elevation Dry Valleys a key Mars analog location where periglacial processes and geomorphic features, and their use as a diagnostic for subsurface ice, can be studied in situ. Two valleys in the upper Dry Valleys show a diversity of subsurface ice; University Valley is dominated by dry permafrost overlying ice-cemented to ice-bonded ground and nearby middle Beacon Valley is dominated by massive ground ice. In both cases the ice is 10-60 cm below the surface. Here we compare the surface features in these two valleys to assess any correlation with the nature of the subsurface ice and compare these features to similar features seen at the Phoenix landing site on Mars. We conclude that while surface features may be indicative of ground ice, no specific correlations are possible and more direct methods are required to determine the nature of subsurface ice on Mars. (C) 2013 Published by Elsevier Ltd.</t>
  </si>
  <si>
    <t>[Heldmann, J. L.; McKay, C. P.; Marinova, M. M.; Davila, A.; Williams, K. E.] NASA, Ames Res Ctr, Div Space Sci, Moffett Field, CA 94035 USA; [Pollard, W.] McGill Univ, Dept Geog, Montreal, PQ H3A 2T5, Canada; [Marinova, M. M.] BAER Inst, West Sonoma, CA 95476 USA; [Davila, A.; Andersen, D. T.] SETI Inst, Mountain View, CA 94041 USA; [Williams, K. E.] Montana State Univ, Dept Earth Sci, Bozeman, MT 59717 USA; [Lacelle, D.] Univ Ottawa, Dept Geog, Ottawa, ON K1N 6N5, Canada</t>
  </si>
  <si>
    <t>National Aeronautics &amp; Space Administration (NASA); NASA Ames Research Center; McGill University; Montana State University System; Montana State University Bozeman; University of Ottawa</t>
  </si>
  <si>
    <t>Heldmann, JL (corresponding author), NASA, Ames Res Ctr, Div Space Sci, Moffett Field, CA 94035 USA.</t>
  </si>
  <si>
    <t>Jennifer.Heldmann@nasa.gov</t>
  </si>
  <si>
    <t>Davila, Alfonso F/A-2198-2013; Andersen, Dale T/B-4816-2013</t>
  </si>
  <si>
    <t>Andersen, Dale T/0000-0001-8827-1259; Lacelle, Denis/0000-0002-6691-8717; Williams, Kaj/0000-0003-1755-1872; McKay, Christopher/0000-0002-6243-1362</t>
  </si>
  <si>
    <t>NASA ASTEP program; NSF Office of Polar Programs; US Antarctic Program</t>
  </si>
  <si>
    <t>NASA ASTEP program(National Aeronautics &amp; Space Administration (NASA)); NSF Office of Polar Programs(National Science Foundation (NSF)); US Antarctic Program</t>
  </si>
  <si>
    <t>This fieldwork was supported by the NASA ASTEP program, in collaboration with the NSF Office of Polar Programs and the US Antarctic Program. We acknowledge Brad Herried and the Antarctic Geospatial Information Center (AGIC) for help with Antarctic mapping. Satellite imagery copyright DigitalGlobe, Inc. and provided by NGA Commercial Imagery Program.</t>
  </si>
  <si>
    <t>0032-0633</t>
  </si>
  <si>
    <t>PLANET SPACE SCI</t>
  </si>
  <si>
    <t>Planet Space Sci.</t>
  </si>
  <si>
    <t>10.1016/j.pss.2013.05.019</t>
  </si>
  <si>
    <t>217MR</t>
  </si>
  <si>
    <t>WOS:000324364100005</t>
  </si>
  <si>
    <t>Barker, SF; Packer, M; Scales, PJ; Gray, S; Snape, I; Hamilton, AJ</t>
  </si>
  <si>
    <t>Barker, S. Fiona; Packer, Michael; Scales, Peter J.; Gray, Stephen; Snape, Ian; Hamilton, Andrew J.</t>
  </si>
  <si>
    <t>Pathogen reduction requirements for direct potable reuse in Antarctica: Evaluating human health risks in small communities</t>
  </si>
  <si>
    <t>SCIENCE OF THE TOTAL ENVIRONMENT</t>
  </si>
  <si>
    <t>Campylobacter; Drinking water; Giardia; Norovirus; Quantitative Microbial Risk Assessment (QMRA); Sewage</t>
  </si>
  <si>
    <t>WATER TREATMENT PLANTS; TO-PERSON TRANSMISSION; SEWAGE-TREATMENT PLANT; DAY-CARE-CENTERS; REAL-TIME PCR; WASTE-WATER; DRINKING-WATER; SURFACE-WATER; ENTERIC VIRUSES; NORWALK VIRUS</t>
  </si>
  <si>
    <t>Small, remote communities often have limited access to energy and water. Direct potable reuse of treated wastewater has recently gained attention as a potential solution for water-stressed regions, but requires further evaluation specific to small communities. The required pathogen reduction needed for safe implementation of direct potable reuse of treated sewage is an important consideration but these are typically quantified for larger communities and cities. A quantitative microbial risk assessment (QMRA) was conducted, using norovirus, giardia and Campylobacter as reference pathogens, to determine the level of treatment required to meet the tolerable annual disease burden of 10(-6) DALYs per person per year, using Davis Station in Antarctica as an example of a small remote community. Two scenarios were compared: published municipal sewage pathogen loads and estimated pathogen loads during a gastroenteritis outbreak. For the municipal sewage scenario, estimated required log(10) reductions were 6.9, 8.0 and 7.4 for norovirus, giardia and Campylobacter respectively, while for the outbreak scenario the values were 12.1, 10.4 and 12.3 (95th percentiles). Pathogen concentrations are higher under outbreak conditions as a function of the relatively greater degree of contact between community members in a small population, compared with interactions in a large city, resulting in a higher proportion of the population being at risk of infection and illness. While the estimates of outbreak conditions may overestimate sewage concentration to some degree, the results suggest that additional treatment barriers would be required to achieve regulatory compliance for safe drinking water in small communities. (C) 2013 Elsevier B.V. All rights reserved.</t>
  </si>
  <si>
    <t>[Barker, S. Fiona] Univ Melbourne, Dept Resource Management &amp; Geog, Parkville, Vic 3010, Australia; [Barker, S. Fiona] Dept Primary Ind Victoria, Parkville, Vic 3052, Australia; [Packer, Michael; Snape, Ian] Australian Antarctic Div, Dept Sustainabil Environm Water Populat &amp; Communi, Kingston, Tas 7050, Australia; [Scales, Peter J.] Univ Melbourne, Dept Chem &amp; Biomol Engn, Particulate Fluids Proc Ctr, Parkville, Vic 3010, Australia; [Gray, Stephen] Victoria Univ, Inst Sustainabil Innovat, Melbourne, Vic 8001, Australia; [Hamilton, Andrew J.] Univ Melbourne, Dookie Coll, Dept Agr &amp; Food Syst, Melbourne, Vic 3647, Australia</t>
  </si>
  <si>
    <t>University of Melbourne; Victorian Department of Environment &amp; Primary Industries; Australian Antarctic Division; University of Melbourne; Victoria University; University of Melbourne; Melbourne Genomics Health Alliance</t>
  </si>
  <si>
    <t>Barker, SF (corresponding author), Univ Melbourne, Dept Resource Management &amp; Geog, Parkville, Vic 3010, Australia.</t>
  </si>
  <si>
    <t>fionabr@unimelb.edu.au; Michael.Packer@aad.gov.au; peterjs@unimelb.edu.au; Stephen.Gray@vu.edu.au; Ian.Snape@aad.gov.au; andrewjh@unimelb.edu.au</t>
  </si>
  <si>
    <t>Scales, Peter j/I-8103-2013; Barker, S Fiona/K-7538-2015; Gray, Stephen/L-9684-2013</t>
  </si>
  <si>
    <t>Scales, Peter j/0000-0002-8033-3686; Barker, S Fiona/0000-0002-9203-5766; Gray, Stephen/0000-0002-8748-2748; Hamilton, Andrew/0000-0002-4923-6335</t>
  </si>
  <si>
    <t>Australian Government; Australian Antarctic Division of the Department of Sustainability, Environment, Water, Populations and Communities of the Australian Government</t>
  </si>
  <si>
    <t>Australian Government(Australian Government); Australian Antarctic Division of the Department of Sustainability, Environment, Water, Populations and Communities of the Australian Government</t>
  </si>
  <si>
    <t>The authors would like to acknowledge the members of the AAD Polar Medicine Unit for providing context and a clearer understanding of station conditions. Helpful comments and suggestions were also received from Dr. Martha Sinclair (Monash University). Funding for this work through the Cooperative Research Network (CRN) program of the Australian Government and the Australian Antarctic Division of the Department of Sustainability, Environment, Water, Populations and Communities of the Australian Government is gratefully acknowledged.</t>
  </si>
  <si>
    <t>0048-9697</t>
  </si>
  <si>
    <t>SCI TOTAL ENVIRON</t>
  </si>
  <si>
    <t>Sci. Total Environ.</t>
  </si>
  <si>
    <t>10.1016/j.scitotenv.2013.05.059</t>
  </si>
  <si>
    <t>210RF</t>
  </si>
  <si>
    <t>WOS:000323851500075</t>
  </si>
  <si>
    <t>Pietrolungo, M; Lepidi, S; Cafarella, L; Di Mauro, D</t>
  </si>
  <si>
    <t>Pietrolungo, M.; Lepidi, S.; Cafarella, L.; Di Mauro, D.</t>
  </si>
  <si>
    <t>A statistical analysis of low frequency geomagnetic field pulsations at two Antarctic geomagnetic observatories in the polar cap region</t>
  </si>
  <si>
    <t>Solar wind-magnetosphere interactions; Polar cap phenomena; MHD waves and instabilities</t>
  </si>
  <si>
    <t>MAGNETIC-FIELD; SOLAR-WIND; ALIGNED CURRENTS; LOW-LATITUDE; DIPOLE TILT; CUSP; FLUCTUATIONS; DEPENDENCE; SUBSTORM; STATIONS</t>
  </si>
  <si>
    <t>The aim of this study is to investigate the characteristics of low frequency (similar to 0.5-5 mHz) geomagnetic field fluctuations as recorded at two Antarctic stations within the polar cap: the Italian observatory Mario Zucchelli Station (TNB) and the French-Italian observatory Dome C (DMC) in order to investigate the spatial extension and propagation characteristics of the phenomena observed at very high latitude. The stations have approximately the same geographic latitude, but a very different corrected geomagnetic latitude, being DMC close to the geomagnetic pole and TNB closer to the auroral oval. Our study focused on power spectra, coherence and phase difference between low frequency fluctuations analyzing the horizontal H component measured during the entire year 2006. The fluctuation power behavior during the day can be explained according to the positions of the stations with respect to the polar cap; indeed in the dayside sector it is higher in the cusp region, while in the nightside sector it is higher close to the geomagnetic pole. Furthermore the study of coherent fluctuations, focusing on their phase difference, indicated that the propagation direction within the cap is variable during the day: in the dayside and nightside regions it is from the auroral oval toward the geomagnetic pole, while in the magnetic local morning and afternoon sectors it is from the geomagnetic pole toward the dawn-dusk meridian. Finally the analysis of two individual pulsation events, consisting of short duration wave packets, is shown; it confirms the statistical considerations on the propagation direction and allows to estimate the wave number and apparent phase velocity, whose values are of the order of 3-4 and 30-15 km/s, respectively. (C) 2013 COSPAR. Published by Elsevier Ltd. All rights reserved.</t>
  </si>
  <si>
    <t>[Pietrolungo, M.; Lepidi, S.] Ist Nazl Geofis &amp; Vulcanol, I-67100 Laquila, Italy; [Cafarella, L.; Di Mauro, D.] Ist Nazl Geofis &amp; Vulcanol, I-00143 Rome, Italy</t>
  </si>
  <si>
    <t>Istituto Nazionale Geofisica e Vulcanologia (INGV); Istituto Nazionale Geofisica e Vulcanologia (INGV)</t>
  </si>
  <si>
    <t>Pietrolungo, M (corresponding author), Ist Nazl Geofis &amp; Vulcanol, Via Arcivescovado 8, I-67100 Laquila, Italy.</t>
  </si>
  <si>
    <t>manuela.pietrolungo@ingv.it</t>
  </si>
  <si>
    <t>Di Mauro, Domenico/ABD-6663-2021; Lepidi, Stefania/HGU-5046-2022; Cafarella, Lili/HTO-5890-2023; cafarella, lili/G-4160-2011</t>
  </si>
  <si>
    <t>Di Mauro, Domenico/0000-0003-1757-9816; Pietrolungo, Manuela/0000-0002-2965-592X; cafarella, lili/0000-0003-2005-8923</t>
  </si>
  <si>
    <t>Italian PNRA; French IPEV</t>
  </si>
  <si>
    <t>Italian PNRA(Ministry of Education, Universities and Research (MIUR)); French IPEV</t>
  </si>
  <si>
    <t>We wish to thank P. Francia and M. Vellante for valuable discussions. The research activity at TNB, as well as the work by M. Pietrolungo, is supported by Italian PNRA. The research activity at DMC is supported by Italian PNRA and French IPEV.</t>
  </si>
  <si>
    <t>10.1016/j.asr.2013.05.001</t>
  </si>
  <si>
    <t>210TN</t>
  </si>
  <si>
    <t>WOS:000323857700007</t>
  </si>
  <si>
    <t>Cordero, RR; Damiani, A; Ferrer, J; Rayas, J; Jorquera, J; Tobar, M; Labbe, F; Laroze, D</t>
  </si>
  <si>
    <t>Cordero, Raul R.; Damiani, Alessandro; Ferrer, Jorge; Rayas, Juan; Jorquera, Jose; Tobar, Mario; Labbe, Fernando; Laroze, David</t>
  </si>
  <si>
    <t>Downwelling and upwelling radiance distributions sampled under cloudless conditions in Antarctica</t>
  </si>
  <si>
    <t>APPLIED OPTICS</t>
  </si>
  <si>
    <t>SKY RADIANCE; RADIATIVE-TRANSFER; SOLAR-RADIATION; SURFACE ALBEDO; VERSION-2 DATA; ULTRAVIOLET; UNCERTAINTY; IRRADIANCE; NEUMAYER; SITE</t>
  </si>
  <si>
    <t>We have sampled both the downwelling and upwelling radiance distributions at a camp located in the southern Ellsworth Mountains on the broad expanse of Union Glacier (700 m altitude, 79 460 S, 82 520 W). The measurements (at 320-440 nm wavelength range) were carried out under cloudless conditions by using a sky scanner system, during a campaign (in December, 2012) meant to assess the effects of the high albedo on the radiance distribution. The angular variations observed in both the downwelling and upwelling radiance distributions increase with the wavelength. However, these variations were considerably greater in the case of the downwelling radiance than in the case of the upwelling radiance. Indeed, we found that downwelling radiance tends to be less isotropic than the corresponding upwelling radiance. Regardless of the solar zenith angle and the wavelength, the minima of the downwelling and the upwelling radiance distributions were measured close to the zenith and to the nadir, respectively. The downwelling (upwelling) radiance increased nearly monotonically toward the horizon and peaked at zenith (nadir) angles that ranged from 75 degrees to 90 degrees. Comparisons with the UVSPEC radiative transfer model were used to weight up the response of the downwelling radiance distribution to changes in the albedo. (C) 2013 Optical Society of America</t>
  </si>
  <si>
    <t>[Cordero, Raul R.; Damiani, Alessandro; Ferrer, Jorge; Rayas, Juan; Jorquera, Jose; Tobar, Mario] Univ Santiago Chile, Santiago, Chile; [Labbe, Fernando] Univ Tecn Federico Santa Maria, Valparaiso, Chile; [Laroze, David] Univ Tarapaca, Inst Alta Invest, Arica, Chile</t>
  </si>
  <si>
    <t>Universidad de Santiago de Chile; Universidad Tecnica Federico Santa Maria; Universidad de Tarapaca</t>
  </si>
  <si>
    <t>Cordero, RR (corresponding author), Univ Santiago Chile, Ave Bernardo Ohiggins 3363, Santiago, Chile.</t>
  </si>
  <si>
    <t>Damiani, Alessandro/X-4677-2019; Rayas, Juan/CAG-8266-2022; Laroze, David/Z-2852-2019; Cordero, Raul R/M-7979-2017; Laroze, David/E-9134-2011</t>
  </si>
  <si>
    <t>Damiani, Alessandro/0000-0003-3014-6193; Rayas, Juan/0000-0001-6809-2368; Laroze, David/0000-0002-6487-8096; Laroze, David/0000-0002-6487-8096; Cordero, Raul R./0000-0001-7607-7993</t>
  </si>
  <si>
    <t>CONICYT-ANILLOS [Preis ACT98]; FONDECYT [Preis 1120639, Preis 3110159, Preis 1120764]; Chilean Antarctic Institute (INACH); Millennium Scientific Initiative [P10-061-F]; CEDENNA; UTA-Project [8750-12]; USACH-DICYT; UTFSM-DGIP</t>
  </si>
  <si>
    <t>CONICYT-ANILLOS(Comision Nacional de Investigacion Cientifica y Tecnologica (CONICYT)CONICYT PIA/ANILLOS); FONDECYT(Comision Nacional de Investigacion Cientifica y Tecnologica (CONICYT)CONICYT FONDECYT); Chilean Antarctic Institute (INACH); Millennium Scientific Initiative; CEDENNA; UTA-Project; USACH-DICYT; UTFSM-DGIP</t>
  </si>
  <si>
    <t>The support of CONICYT-ANILLOS (Preis ACT98), FONDECYT (Preis 1120639, Preis 3110159, and Preis 1120764), the Chilean Antarctic Institute (INACH), the Millennium Scientific Initiative (P10-061-F), CEDENNA, UTA-Project 8750-12, USACH-DICYT, and UTFSM-DGIP, is gratefully acknowledged.</t>
  </si>
  <si>
    <t>Optica Publishing Group</t>
  </si>
  <si>
    <t>2010 MASSACHUSETTS AVE NW, WASHINGTON, DC 20036 USA</t>
  </si>
  <si>
    <t>1559-128X</t>
  </si>
  <si>
    <t>2155-3165</t>
  </si>
  <si>
    <t>APPL OPTICS</t>
  </si>
  <si>
    <t>Appl. Optics</t>
  </si>
  <si>
    <t>10.1364/AO.52.006287</t>
  </si>
  <si>
    <t>Optics</t>
  </si>
  <si>
    <t>211CM</t>
  </si>
  <si>
    <t>WOS:000323881700026</t>
  </si>
  <si>
    <t>Christian, C; Ainley, D; Bailey, M; Dayton, P; Hocevar, J; LeVine, M; Nikoloyuk, J; Nouvian, C; Velarde, E; Werner, R; Jacquet, J</t>
  </si>
  <si>
    <t>Christian, Claire; Ainley, David; Bailey, Megan; Dayton, Paul; Hocevar, John; LeVine, Michael; Nikoloyuk, Jordan; Nouvian, Claire; Velarde, Enriqueta; Werner, Rodolfo; Jacquet, Jennifer</t>
  </si>
  <si>
    <t>Not the best environmental choice in seafood: A response to Gutierrez and Agnew (2013)</t>
  </si>
  <si>
    <t>[Christian, Claire; Werner, Rodolfo] Antarctic &amp; Southern Ocean Coalit, Washington, DC 20009 USA; [Ainley, David] HT Harley &amp; Associates, Los Gatos, CA 95032 USA; [Bailey, Megan] Wageningen Univ, NL-6700 KN Wageningen, Netherlands; [Dayton, Paul] Univ Calif San Diego, Scripps Inst Oceanog, San Diego, CA 92093 USA; [Hocevar, John] Greenpeace USA, Washington, DC USA; [LeVine, Michael] Oceana, Juneau, AK 99801 USA; [Nikoloyuk, Jordan] Ecol Act Ctr, Halifax, NS B3K 4L3, Canada; [Nouvian, Claire] Bloom Assoc, F-75009 Paris, France; [Velarde, Enriqueta] Univ Veracruzana, Inst Ciencias Marinas &amp; Pesquerias, Boca Del Rio 94290, Veracruz, Mexico; [Jacquet, Jennifer] NYU, New York, NY 10003 USA</t>
  </si>
  <si>
    <t>Wageningen University &amp; Research; University of California System; University of California San Diego; Scripps Institution of Oceanography; Universidad Veracruzana; New York University</t>
  </si>
  <si>
    <t>Jacquet, J (corresponding author), NYU, 285 Mercer St, New York, NY 10003 USA.</t>
  </si>
  <si>
    <t>jacquet@nyu.edu</t>
  </si>
  <si>
    <t>Bailey, Megan/0000-0002-8645-3638; NOUVIAN, Claire/0000-0002-9614-3203</t>
  </si>
  <si>
    <t>Office of Polar Programs (OPP); Directorate For Geosciences [0944411] Funding Source: National Science Foundation</t>
  </si>
  <si>
    <t>Office of Polar Programs (OPP); Directorate For Geosciences(National Science Foundation (NSF)NSF - Directorate for Geosciences (GEO))</t>
  </si>
  <si>
    <t>10.1016/j.biocon.2013.06.003</t>
  </si>
  <si>
    <t>210YQ</t>
  </si>
  <si>
    <t>WOS:000323871700026</t>
  </si>
  <si>
    <t>Zamarro, M; García-Alvarez, O; Urgorri, V</t>
  </si>
  <si>
    <t>Zamarro, Maria; Garcia-Alvarez, Oscar; Urgorri, Victoriano</t>
  </si>
  <si>
    <t>Three new species of Pruvotinidae (Mollusca: Solenogastres) from Antarctica and NW Spain</t>
  </si>
  <si>
    <t>HELGOLAND MARINE RESEARCH</t>
  </si>
  <si>
    <t>Mollusca; Solenogastres; Pruvotinidae; Pruvotina; Gephyroherpia; New species</t>
  </si>
  <si>
    <t>FOREGUT GLANDS; SP-NOV; CAVIBELONIA; GALICIA; GENUS</t>
  </si>
  <si>
    <t>The family Pruvotinidae (Solenogastres, Cavibelonia) includes thirty species of fifteen genera grouped in five subfamilies. These subfamilies are defined by the combination of the presence or absence of hollow hook-shaped sclerites, the presence or absence of a dorsopharyngeal gland and the type of ventrolateral foregut glandular organs: type A, type C or circumpharyngeal. In this paper, three new species of the family Pruvotinidae are described: Pruvotina artabra n. sp. and Gephyroherpia impar n. sp. from NW Spain, and Pruvotina manifesta n. sp. from Antarctic Peninsula. These new descriptions increase the global knowledge of Solenogastres biodiversity.</t>
  </si>
  <si>
    <t>[Zamarro, Maria] Univ Santiago de Compostela, Inst Acuicultura, Santiago De Compostela 15782, Spain; [Garcia-Alvarez, Oscar; Urgorri, Victoriano] Univ Santiago de Compostela, Fac Biol, Dept Zool &amp; Antropol Fis, Santiago De Compostela 15782, Spain; [Urgorri, Victoriano] Univ Santiago de Compostela, Estn Biol Marina Grana, A Grana 15590, Ferrol, Spain</t>
  </si>
  <si>
    <t>Universidade de Santiago de Compostela; Universidade de Santiago de Compostela; Universidade de Santiago de Compostela</t>
  </si>
  <si>
    <t>Zamarro, M (corresponding author), Univ Santiago de Compostela, Inst Acuicultura, Santiago De Compostela 15782, Spain.</t>
  </si>
  <si>
    <t>maria.zamarro@usc.es</t>
  </si>
  <si>
    <t>Garcia-Alvarez, Oscar/0000-0001-5363-5913; Urgorri, Victoriano/0000-0001-8261-5145</t>
  </si>
  <si>
    <t>Xunta de Galicia Regional Government [PGIDT01PXI20008PR, PGIDIT05PXIC 20001P, PGIDIT07PXB000120PR, A Selva-08, ForSaGal-09]; MEC, Spanish Government [VEM2003-20070-C04-04, CGL2004-22429-E, CTM2004-00740, BENTART REN2003-01881/ANT]</t>
  </si>
  <si>
    <t>Xunta de Galicia Regional Government(Xunta de Galicia); MEC, Spanish Government(Spanish Government)</t>
  </si>
  <si>
    <t>The authors are very grateful to Prof. Dr. Luitfried Salvini-Plawen (Vienna University) for his help to improve this work. This paper is a contribution to the following projects carried out by the Marine Biological Station of A Grana from the University of Santiago de Compostela: PGIDT01PXI20008PR, PGIDIT05PXIC 20001P, PGIDIT07PXB000120PR, A Selva-08 and ForSaGal-09 (Xunta de Galicia Regional Government); VEM2003-20070-C04-04, CGL2004-22429-E and CTM2004-00740 (MEC, Spanish Government). The paper is also a part of the research project BENTART REN2003-01881/ANT (MEC, Spanish Government). The first author was supported by a scholarship from the FPU Programme (MEC, Spanish Government).</t>
  </si>
  <si>
    <t>1438-387X</t>
  </si>
  <si>
    <t>1438-3888</t>
  </si>
  <si>
    <t>HELGOLAND MAR RES</t>
  </si>
  <si>
    <t>Helgoland Mar. Res.</t>
  </si>
  <si>
    <t>10.1007/s10152-012-0333-0</t>
  </si>
  <si>
    <t>207SJ</t>
  </si>
  <si>
    <t>WOS:000323623800002</t>
  </si>
  <si>
    <t>Diez, MJ; Lovrich, GA</t>
  </si>
  <si>
    <t>Diez, Mariano J.; Lovrich, Gustavo A.</t>
  </si>
  <si>
    <t>Moult cycle and growth of the crab Halicarcinus planatus (Brachyura, Hymenosomatidae) in the Beagle Channel, southern tip of South America</t>
  </si>
  <si>
    <t>Ecdysis; Decapoda; Sub-Antarctic; SW Atlantic; Terminal moult</t>
  </si>
  <si>
    <t>MALE SNOW CRAB; CHASMAGNATHUS-GRANULATUS BRACHYURA; MAJA-SQUINADO DECAPODA; RELATIVE GROWTH; SPIDER CRAB; SEXUAL-MATURITY; REPRODUCTIVE-BIOLOGY; POPULATION-STRUCTURE; ESTUARINE CRAB; TERMINAL MOLT</t>
  </si>
  <si>
    <t>The crab Halicarcinus planatus is the only hymenosomatid crab that inhabits the southern tip of South America and is the only decapod species that reproduces twice a year in the Beagle Channel. In this article, we study the moult cycle in the field (moult frequency, analysis of size frequency distribution) and linked it with growth studied in the laboratory (absolute and per cent growth increment, Hiatt function). Hiatt functions were similar for males and females. Moult frequency was seasonal: in early austral spring and in austral summer. In females, the pubertal moult is the terminal moult, whereas males continue moulting after attaining the size of morphometric maturity. Moult increment was highly variable. The relationship between absolute moult increment and crab size was described by a quadratic function. Per cent growth increment decreased with size, and relationships were different for each sex: linear for females and quadratic for males. Seven and eight modal groups explained the size frequency distributions for females and males from the field, respectively, and revealed the existence of two cohorts of recruits per year. Further modal analysis was mainly hampered by the high variability of size increment that could make any moulting individual fall in its own or one of two following modal groups. The antagonism between growth and reproduction was evident in small males. We hypothesize that the terminal pubertal moult is an advantageous feature that allows females to maximize their investment in reproduction after their terminal moult, which allows this species to have two spawnings per year.</t>
  </si>
  <si>
    <t>[Diez, Mariano J.; Lovrich, Gustavo A.] Consejo Nacl Invest Cient &amp; Tecn CONICET, Ctr Austral Invest Cient CADIC, Tierra Del Fuego, Argentina</t>
  </si>
  <si>
    <t>Diez, MJ (corresponding author), Consejo Nacl Invest Cient &amp; Tecn CONICET, Ctr Austral Invest Cient CADIC, Houssay 200,V9410CAB Ushuaia, Tierra Del Fuego, Argentina.</t>
  </si>
  <si>
    <t>marianodiez@cadic-conicet.gob.ar</t>
  </si>
  <si>
    <t>Lovrich, Gustavo/0000-0001-8424-6566</t>
  </si>
  <si>
    <t>Agencia Nacional de Promocion Cientifica y Tecnologica [FONCyT-PICTs 06-1385, 07-1308]; CONICET, Argentina</t>
  </si>
  <si>
    <t>Agencia Nacional de Promocion Cientifica y Tecnologica(ANPCyTSpanish Government); CONICET, Argentina(Consejo Nacional de Investigaciones Cientificas y Tecnicas (CONICET))</t>
  </si>
  <si>
    <t>We are grateful to N Schvezov for their help in crab collection, O Florentin for animal maintenance in captivity, MS Doldan for crab measurements and CC Bas for their help with MIX. ED Spivak and an anonymous reviewer provided interesting suggestions on different versions of this manuscript. This study was funded by the Agencia Nacional de Promocion Cientifica y Tecnologica (FONCyT-PICTs 06-1385 and 07-1308). MJD has a postdoctoral fellowship from CONICET, Argentina. This paper is based on work done by MJD in partial fulfilment of the requirements for the doctoral degree at Universidad Nacional de Mar del Plata, Argentina.</t>
  </si>
  <si>
    <t>10.1007/s10152-012-0343-y</t>
  </si>
  <si>
    <t>WOS:000323623800012</t>
  </si>
  <si>
    <t>Kim, IH; Min, GS</t>
  </si>
  <si>
    <t>Kim, Il-Hoi; Min, Gi-Sik</t>
  </si>
  <si>
    <t>Three species of Asterocheres (Copepoda: Siphonostomatoida: Asterocheridae) from shallow Antarctic water</t>
  </si>
  <si>
    <t>JOURNAL OF THE MARINE BIOLOGICAL ASSOCIATION OF THE UNITED KINGDOM</t>
  </si>
  <si>
    <t>Asterocheres; Copepoda; new species; A. spinosus; A. rai; Antarctic; sponge association</t>
  </si>
  <si>
    <t>REDESCRIPTION</t>
  </si>
  <si>
    <t>Three species of Asterocheres, including two new species, are reported as associates of sponges in shallow Antarctic water. Asterocheres spinosus sp. nov. has a combination of diagnostic features: mandibular palp is one-segmented, caudal ramus is 1.88 times as long as wide, antennule is 20-segmented in the female and 18-segmented in the male, urosome is spinulose, and legs 1 and 2 display weak sexual dimorphsims. In A. rai sp. nov., the body is large, 1.66 mm long in the female, the lateral margin of genital double-somite is smooth without setules or spinules, the exopod of antenna bears only a single seta, with two mucilaginous substances transformed from setae, and the third endopodal segment of leg 1 bears a prolonged distal process. A supplementary description is given for A. hirsutus Bandera, Conradi and Lopez-Gonzalez, 2005, recorded previously from the Antarctic.</t>
  </si>
  <si>
    <t>[Kim, Il-Hoi] Kangnung Natl Univ, Dept Biol, Kangnung 210702, South Korea; [Min, Gi-Sik] Inha Univ, Dept Biol Sci, Inchon 402751, South Korea</t>
  </si>
  <si>
    <t>Kangnung Wonju National University; Inha University</t>
  </si>
  <si>
    <t>Min, GS (corresponding author), Inha Univ, Dept Biol Sci, Inchon 402751, South Korea.</t>
  </si>
  <si>
    <t>mingisik@inha.ac.kr</t>
  </si>
  <si>
    <t>Polar Academic Programme, KOPRI [PD11010]</t>
  </si>
  <si>
    <t>Polar Academic Programme, KOPRI</t>
  </si>
  <si>
    <t>This work was supported by the Polar Academic Programme (PD11010), KOPRI (G.-S. Min)</t>
  </si>
  <si>
    <t>0025-3154</t>
  </si>
  <si>
    <t>1469-7769</t>
  </si>
  <si>
    <t>J MAR BIOL ASSOC UK</t>
  </si>
  <si>
    <t>J. Mar. Biol. Assoc. U.K.</t>
  </si>
  <si>
    <t>10.1017/S0025315412002007</t>
  </si>
  <si>
    <t>198YR</t>
  </si>
  <si>
    <t>WOS:000322960700013</t>
  </si>
  <si>
    <t>More evidence for the intermediate broad line region of the mapped AGN PG 0052+251</t>
  </si>
  <si>
    <t>galaxies: active; galaxies: individual: PG 0052+251; galaxies: nuclei; quasars: emission lines</t>
  </si>
  <si>
    <t>ACTIVE GALACTIC NUCLEI; BLACK-HOLE MASSES; PEAKED EMISSION-LINES; H-ALPHA; ACCRETION DISC; 3C 390.3; REVERBERATION; VARIABILITY; SIZE; LUMINOSITY</t>
  </si>
  <si>
    <t>In this paper, the properties of the proposed intermediate broad emission line region (BLR) are checked for the mapped AGN PG 0052+251. With the considerations of the apparent effects of the broad He ii line on the observed broad H beta profile, the line parameters (especially the line width and the line flux) of the observed broad H alpha and the broad H beta are carefully determined. Based on the measured line parameters, the model with two broad components applied for each observed broad Balmer line is preferred, and then confirmed by the calculated much different time lags for the inner/intermediate broad components and the corresponding virial black hole mass ratio determined by the properties of the inner and the intermediate broad components. Then, the correlation between the broad line width and the broad line flux is checked for the two broad components: one clearly strong negative correlation for the inner broad component and one positive correlation for the intermediate broad component. The different correlations for the two broad components strongly support the intermediate BLR of PG 0052+251.</t>
  </si>
  <si>
    <t>[NSFC-11003043]; [NSFC-11178003]</t>
  </si>
  <si>
    <t>;</t>
  </si>
  <si>
    <t>Z-XG very gratefully acknowledges the anonymous referee for giving him constructive comments and suggestions to greatly improve this paper. Z-XG also gratefully acknowledges the support from NSFC-11003043 and NSFC-11178003, and gratefully thanks Dr S. Kaspi for providing the public observed spectra of PG 0052+251 (http://wise-obs.tau.ac.il/similar toshai/PG/).</t>
  </si>
  <si>
    <t>10.1093/mnras/stt1211</t>
  </si>
  <si>
    <t>207YE</t>
  </si>
  <si>
    <t>WOS:000323639900067</t>
  </si>
  <si>
    <t>Hofmann, GE; Blanchette, CA; Rivest, EB; Kapsenberg, L</t>
  </si>
  <si>
    <t>Hofmann, Gretchen E.; Blanchette, Carol A.; Rivest, Emily B.; Kapsenberg, Lydia</t>
  </si>
  <si>
    <t>TAKING THE PULSE OF MARINE ECOSYSTEMS The Importance of Coupling Long-Term Physical and Biological Observations in the Context of Global Change Biology</t>
  </si>
  <si>
    <t>GIANT-KELP MACROCYSTIS; OCEAN ACIDIFICATION; CLIMATE-CHANGE; ANTARCTIC PENINSULA; WAVE CLIMATE; CORAL-REEFS; IMPACTS; RESPONSES; CONSERVATION; ECOLOGY</t>
  </si>
  <si>
    <t>Research programs that co-locate environmental sensors with biology can enable the linking of environmental data with changes in biological or ecological processes. The coastal and marine Long Term Ecological Research (LTER) programs use this strategy, measuring parameters such as air and sea temperature, wave and storm energy, and seawater chemistry along with biological responses to them. This investment in technology has proven to be valuable and a major scientific asset for understanding how climate change, and environmental change in general, might alter marine populations and communities. Such a strategy can also aid in studies of global change biology of critical species, helping to place laboratory experiments and predictions of response in a broader environmental context. This coupling of long-term physical and biological observations has already detected fingerprints of change in sites such as the Palmer LTER situated on the western Antarctic Peninsula. In addition, new autonomous pH sensors recently deployed at two marine LTERs-Santa Barbara Coastal and Moorea Coral Reef-are generating long-term data sets that highlight the responses of their marine communities to rapidly changing ocean conditions.</t>
  </si>
  <si>
    <t>[Hofmann, Gretchen E.; Rivest, Emily B.; Kapsenberg, Lydia] Univ Calif Santa Barbara, Dept Ecol Evolut &amp; Marine Biol, Santa Barbara, CA USA; [Hofmann, Gretchen E.; Blanchette, Carol A.] Univ Calif Santa Barbara, Inst Marine Sci, Santa Barbara, CA USA</t>
  </si>
  <si>
    <t>University of California System; University of California Santa Barbara; University of California System; University of California Santa Barbara</t>
  </si>
  <si>
    <t>Hofmann, GE (corresponding author), Univ Calif Santa Barbara, Dept Ecol Evolut &amp; Marine Biol, Santa Barbara, CA USA.</t>
  </si>
  <si>
    <t>hofmann@lifesci.ucsb.edu</t>
  </si>
  <si>
    <t>Rivest, Emily/0000-0002-8570-8379; Hofmann, Gretchen/0000-0003-0931-1238; Blanchette, Carol/0000-0002-3004-1423; Kapsenberg, Lydia/0000-0002-7361-9061</t>
  </si>
  <si>
    <t>US National Science Foundation [NSF OCE-1040960, IOS-1021536, ANT-0944210]; University of California; UC Santa Barbara; NSF Graduate Research Fellowship; National Park Service George Melendez Wright Climate Change Fellowship; Direct For Biological Sciences [1021536] Funding Source: National Science Foundation; Directorate For Geosciences [1220359, 1236905, 1232779] Funding Source: National Science Foundation; Division Of Integrative Organismal Systems [1021536] Funding Source: National Science Foundation; Division Of Ocean Sciences [1220359, 1236905, 1232779] Funding Source: National Science Foundation; Office of Polar Programs (OPP); Directorate For Geosciences [1246202] Funding Source: National Science Foundation</t>
  </si>
  <si>
    <t>US National Science Foundation(National Science Foundation (NSF)); University of California(University of California System); UC Santa Barbara; NSF Graduate Research Fellowship(National Science Foundation (NSF)); National Park Service George Melendez Wright Climate Change Fellowship; Direct For Biological Sciences(National Science Foundation (NSF)NSF - Directorate for Biological Sciences (BIO)); Directorate For Geosciences(National Science Foundation (NSF)NSF - Directorate for Geosciences (GEO)); Division Of Integrative Organismal Systems(National Science Foundation (NSF)NSF - Directorate for Biological Sciences (BIO)NSF - Division of Integrative Organismal Systems (IOS)); Division Of Ocean Sciences(National Science Foundation (NSF)NSF - Directorate for Geosciences (GEO)); Office of Polar Programs (OPP); Directorate For Geosciences(National Science Foundation (NSF)NSF - Directorate for Geosciences (GEO))</t>
  </si>
  <si>
    <t>The authors wish to thank the LTER investigators who graciously shared their data with us. We also thank Molly Thomson of Ocean O'Graphics UC Santa Barbara for figure preparation. During the writing of this manuscript, the authors were supported by US National Science Foundation grants NSF OCE-1040960 to G.E.H. and C.A.B. (with Ocean Margins Ecosystem Group for Acidification Studies, OMEGAS), a consortium of scientists from different institutions along the US West Coast (see http://omegas.science.oregonstate.edu), IOS-1021536 to G.E.H., ANT-0944210 to G.E.H., and, also to G.E.H., funds from the University of California in support of a multicampus research program, Ocean Acidification: A Training and Research Consortium (http://oceanacidification.msi.ucsb.edu). E.B.R. was supported by UC Santa Barbara and L.K. by an NSF Graduate Research Fellowship. SBC LTER island pH data collection was funded by the National Park Service George Melendez Wright Climate Change Fellowship to L.K.</t>
  </si>
  <si>
    <t>10.5670/oceanog.2013.56</t>
  </si>
  <si>
    <t>210DD</t>
  </si>
  <si>
    <t>WOS:000323808600020</t>
  </si>
  <si>
    <t>Applebaum, SL; Ginsburg, DW; Capron, CS; Manahan, DT</t>
  </si>
  <si>
    <t>Applebaum, Scott L.; Ginsburg, David W.; Capron, Charles S.; Manahan, Donal T.</t>
  </si>
  <si>
    <t>Expression of amino acid transporter genes in developmental stages and adult tissues of Antarctic echinoderms</t>
  </si>
  <si>
    <t>Antarctica; Echinoderms; Amino acid transporters; Gene families</t>
  </si>
  <si>
    <t>MARINE INVERTEBRATE LARVAE; DISSOLVED ORGANIC-MATTER; SEA-URCHIN LARVAE; STRONGYLOCENTROTUS-PURPURATUS; EMBRYONIC-DEVELOPMENT; ENERGY-METABOLISM; NUTRIENT-UPTAKE; CLIMATE-CHANGE; MCMURDO SOUND; LIFE-HISTORY</t>
  </si>
  <si>
    <t>Epithelial cells in the body wall of adult and developmental stages of marine invertebrates absorb dissolved organic material directly from seawater. Despite over a century of study, little is known about the molecular biological mechanisms responsible for this transport process. Previous studies on embryonic and larval Antarctic echinoderms show that amino acid uptake could provide an important supplement of metabolic substrates. In the present study, partial cDNA sequences of 11 putative amino acid transporter genes were isolated from six species of Antarctic echinoderms including the Antarctic sea stars Acodontaster hodgsoni, Diplasterias brucei, Odontaster meridionalis, Odontaster validus, and Perknaster fuscus, and the Antarctic sea urchin Sterechinus neumayeri. Conserved domains of cDNA-deduced amino acid sequences characterized these genes as being members of a family of amino acid transporters (solute carrier family 6). Expression of these genes was detected throughout embryonic and larval development of two species that have contrasting developmental modes (A. hodgsoni: lecithotrophic; O. meridionalis: planktotrophic). In all six species studied, the expression of amino acid transporter genes was detected in tube feet and digestive organs of adult animals, demonstrating that members of a single amino acid transporter gene family are expressed during the entire life history of a marine invertebrate. The identification of these genes is an important step toward developing a mechanistic understanding of amino acid transport capacities in Antarctic marine invertebrates.</t>
  </si>
  <si>
    <t>[Applebaum, Scott L.; Capron, Charles S.; Manahan, Donal T.] Univ So Calif, Dept Biol Sci, Los Angeles, CA 90089 USA; [Ginsburg, David W.] Univ So Calif, Environm Studies Program, Los Angeles, CA 90089 USA</t>
  </si>
  <si>
    <t>University of Southern California; University of Southern California</t>
  </si>
  <si>
    <t>Applebaum, SL (corresponding author), Univ So Calif, Dept Biol Sci, Los Angeles, CA 90089 USA.</t>
  </si>
  <si>
    <t>sappleba@usc.edu</t>
  </si>
  <si>
    <t>Applebaum, Scott L/S-8557-2018</t>
  </si>
  <si>
    <t>Applebaum, Scott/0000-0003-4384-9349; Ginsburg, David/0000-0002-1169-9676</t>
  </si>
  <si>
    <t>National Science Foundation [05-1234124, 01-0980987]</t>
  </si>
  <si>
    <t>This research was undertaken, in part, during the Antarctic Biology Course (National Science Foundation Grant 05-1234124) and by National Science Foundation Grant 01-0980987 to DTM. The authors wish to thank the diving team (Addie Coyac and Jim Leichter) and students (Dafne Eerkes-Medrano, Rob Ellis, Nimrod Kiss, Josh Osterberg, and Sam Rastrick) who assisted with collecting samples from adult echinoderms in McMurdo Sound and Michael Sheng for laboratory assistance. Our thanks to Dr. Ken Hallanych, Alexis Janosik, and Johanna Cannon for sharing information from their RNA analysis of O. validus.</t>
  </si>
  <si>
    <t>10.1007/s00300-013-1345-1</t>
  </si>
  <si>
    <t>197VI</t>
  </si>
  <si>
    <t>WOS:000322879600003</t>
  </si>
  <si>
    <t>Skaloud, P; Nedbalová, L; Elster, J; Komárek, J</t>
  </si>
  <si>
    <t>Skaloud, Pavel; Nedbalova, Linda; Elster, Josef; Komarek, Jiri</t>
  </si>
  <si>
    <t>A curious occurrence of Hazenia broadyi spec. nova in Antarctica and the review of the genus Hazenia (Ulotrichales, Chlorophyceae)</t>
  </si>
  <si>
    <t>Antarctica; Green algae; Lakes; Ecology; Taxonomy; Molecular evaluation; Hazenia</t>
  </si>
  <si>
    <t>JAMES-ROSS-ISLAND; PHYLOGENETIC POSITION; DIVERSITY; LAKES</t>
  </si>
  <si>
    <t>Freshwater filamentous green algae with branched thalli are almost unknown from the Antarctic region. They have rarely been recorded from maritime Antarctica and from sub-Antarctic Islands with rich phanerogamic vegetation. In the genus Hazenia, only one unidentified species was reported from several subaerial sites on Signy Island in 1979. However, unique populations of this genus were recently found in the stony littoral zone of two stable shallow lakes in the northern deglaciated region of James Ross Island (NE Antarctic Peninsula). These populations have a specialized ecology; they participate in the microvegetation on the flattened surfaces of stones in the littoral zones of lakes. The dominant green filamentous and richly branched alga from these communities was transferred to monospecific culture and studied in detail. Molecular sequence data (18S ribosomal DNA and the internal transcribed spacer) indicate that it belongs to the genus Hazenia (Bold in Am J Bot 45:737-743, 1958). Based on distinct molecular, morphological, and ecological characters, this alga was described as a new species (Hazenia broadyi spec. nova). A review of the genus Hazenia, based on molecular phylogenetic analyses of available strains, was also performed.</t>
  </si>
  <si>
    <t>[Skaloud, Pavel; Nedbalova, Linda] Charles Univ Prague, Fac Sci, Prague 12843, Czech Republic; [Nedbalova, Linda; Elster, Josef; Komarek, Jiri] Inst Bot ASCR, Trebon 37982, Czech Republic; [Elster, Josef; Komarek, Jiri] Univ South Bohemia, Fac Sci, Ceske Budejovice 37005, Czech Republic</t>
  </si>
  <si>
    <t>Charles University Prague; Czech Academy of Sciences; Institute of Botany of the Czech Academy of Sciences; University of South Bohemia Ceske Budejovice</t>
  </si>
  <si>
    <t>Nedbalová, L (corresponding author), Charles Univ Prague, Fac Sci, Albertov 6, Prague 12843, Czech Republic.</t>
  </si>
  <si>
    <t>lindane@natur.cuni.cz</t>
  </si>
  <si>
    <t>Nedbalová, Linda/AAF-1001-2022; Nedbalová, Linda/AFF-8321-2022; Elster, Josef/B-1031-2008; Komarek, Jiri/H-1597-2014; Skaloud, Pavel/F-3103-2011</t>
  </si>
  <si>
    <t>Nedbalová, Linda/0000-0003-1800-714X; Nedbalová, Linda/0000-0003-1800-714X; Skaloud, Pavel/0000-0003-1201-3290; Elster, Josef/0000-0002-4535-5636</t>
  </si>
  <si>
    <t>Ministry of Education, Youth and Sport of the Czech Republic [RVO67985939, KONTAKT ME 945, CzechPolar LM2010009]</t>
  </si>
  <si>
    <t>Ministry of Education, Youth and Sport of the Czech Republic(Ministry of Education, Youth &amp; Sports - Czech Republic)</t>
  </si>
  <si>
    <t>The study was supported by the Ministry of Education, Youth and Sport of the Czech Republic (long-term research development grant RVO67985939, projects KONTAKT ME 945 and CzechPolar LM2010009). The authors would like to thank to the scientific infrastructure of the Czech Antarctic Station J.G. Mendel and its crew for their support. We are also very grateful to Mrs. Jana Snokhousova and Mrs. Dana Svehlova for their technical assistance.</t>
  </si>
  <si>
    <t>10.1007/s00300-013-1347-z</t>
  </si>
  <si>
    <t>WOS:000322879600005</t>
  </si>
  <si>
    <t>Huovinen, P; Gómez, I</t>
  </si>
  <si>
    <t>Huovinen, Pirjo; Gomez, Ivan</t>
  </si>
  <si>
    <t>Photosynthetic characteristics and UV stress tolerance of Antarctic seaweeds along the depth gradient</t>
  </si>
  <si>
    <t>Antarctic; Macroalgae; Phlorotannins; Photosynthetic activity; DNA damage; Antioxidant activity; UV radiation; Zonation</t>
  </si>
  <si>
    <t>KING-GEORGE-ISLAND; HIGH LIGHT STRESS; SOUTH-PACIFIC KELPS; ULTRAVIOLET-RADIATION; ANTIOXIDANT ACTIVITY; SEASONAL-VARIATION; POTTER COVE; DNA-DAMAGE; ROSS SEA; ADENOCYSTIS-UTRICULARIS</t>
  </si>
  <si>
    <t>The photosynthetic characteristics through P-E curves and the effect of UV radiation on photosynthesis (measured as rapid adjustment of photochemistry, F (v)/F (m)) and DNA damage (as formation of CPDs) were studied in field specimens of green, red and brown algae collected from the eulittoral and sublittoral zone of Fildes Peninsula (King George Island, Antarctic). The content of phenolic compounds (phlorotannins) and the antioxidant activity were also studied in seven brown algae from 0 to 40 m depth. The results indicated that photosynthetic efficiency (alpha) was high and did not vary between different species and depths, while irradiances for saturation (E (k)) averaged 55 mu mol m(-2) s(-1) in subtidal and 120 mu mol m(-2) s(-1) in eulittoral species. The studied species exhibited notable short-term UV tolerance along the vertical zonation. In intertidal and shallow water species, decreases in F (v)/F (m) by UV radiation were between 0 and 18 %, while in sublittoral algae, decreases in F (v)/F (m) varied between 3 and 35 % relative to PAR treatment. In all species, recovery was high averaging 84-100 %. The formation of CPDs increased (15-150 %) under UV exposure, with the highest DNA damage found in some subtidal species. Phlorotannin content varied between 29 mg g(-1) DW in Ascoseira mirabilis from 8 m depth and 156 mg g(-1) DW in Desmarestia menziesii from 17 m depth. In general, phlorotannin concentrations were constitutively high in deeper sublittoral brown algae, which were correlated with higher antioxidant activities of algal extracts and low decreases in photosynthesis. UV radiation caused a strong decrease in phlorotannin content in the deep-water Himantothallus grandifolius, whereas in D. menziesii and Desmarestia anceps, induction of the synthesis of phlorotannins by UV radiation was observed. The antioxidant activity was in general less affected by UV radiation.</t>
  </si>
  <si>
    <t>[Huovinen, Pirjo; Gomez, Ivan] Univ Austral Chile, Inst Ciencias Marinas &amp; Limnol, Valdivia, Chile</t>
  </si>
  <si>
    <t>Universidad Austral de Chile</t>
  </si>
  <si>
    <t>Gómez, I (corresponding author), Univ Austral Chile, Inst Ciencias Marinas &amp; Limnol, Casilla 567, Valdivia, Chile.</t>
  </si>
  <si>
    <t>igomezo@uach.cl</t>
  </si>
  <si>
    <t>Huovinen, Pirjo/0000-0002-7754-4933; Gomez, Ivan/0000-0001-8381-3792</t>
  </si>
  <si>
    <t>Instituto Antartico Chileno (INACH) [T-20-09]</t>
  </si>
  <si>
    <t>Instituto Antartico Chileno (INACH)</t>
  </si>
  <si>
    <t>The study was supported by the Grant T-20-09 from Instituto Antartico Chileno (INACH). We thank the technical assistance of M. Orostegui and C. Rosas in the laboratory analyses. We are also grateful to D. Schories, I. Garrido, J. Holtheuer and I. del Moral for field assistance and scuba diving.</t>
  </si>
  <si>
    <t>10.1007/s00300-013-1351-3</t>
  </si>
  <si>
    <t>WOS:000322879600008</t>
  </si>
  <si>
    <t>Ma, DW; Zhu, RB; Ding, W; Shen, CC; Chu, HY; Lin, XG</t>
  </si>
  <si>
    <t>Ma, Dawei; Zhu, Renbin; Ding, Wei; Shen, Congcong; Chu, Haiyan; Lin, Xiangui</t>
  </si>
  <si>
    <t>Ex-situ enzyme activity and bacterial community diversity through soil depth profiles in penguin and seal colonies on Vestfold Hills, East Antarctica</t>
  </si>
  <si>
    <t>Bacterial community; 16S rDNA PCR-DGGE; Real-time quantitative PCR; Soil profiles; Vertical distribution; Antarctica</t>
  </si>
  <si>
    <t>AMMONIA-OXIDIZING BACTERIA; 16S RIBOSOMAL-RNA; ORNITHOGENIC SOILS; MICROBIAL COMMUNITIES; ADELIE PENGUIN; CASEY-STATION; TERRESTRIAL HABITATS; MARITIME ANTARCTICA; MOLECULAR-DETECTION; ARDLEY ISLAND</t>
  </si>
  <si>
    <t>The soils impacted by sea animal excreta are important sources of nutrients in Antarctic terrestrial ecosystems, and soil microorganisms are the principal drivers of carbon and nitrogen cycling. However, microbial diversity and enzyme activities in these soils have still received little attention. In this paper, we investigated the distribution characteristics of bacterial community in four penguin and seal colony soil profiles collected in East Antarctica, using 16S rDNA-DGGE and real-time quantitative PCR. Soil microbial biomass carbon (C-mic), soil respiration (SR), and enzyme activities involved in carbon, nitrogen, and phosphorus metabolisms were also measured. Overall soil C-mic, SR, enzyme activities, and bacterial abundance decreased with depth. The bacterial abundance had a significant correlation with soil organic carbon and total nitrogen and highly corresponded to the relative content of penguin guano or seal excreta in these soil profiles. The 16S rDNA-DGGE revealed the complicated bacterial community structure in penguin and seal colony soils, and the band richness and dominant bands decreased with soil depth. Cluster analysis of DGGE profiles indicated that bacterial community in those soil profiles were divided into four main categories with the bacterial genetic similarity of 22 %, and the majority of the sequenced bands were Proteobacteria (alpha, beta, gamma), Actinobacteria, Bacteroidetes, Deinococcus-Thermus, Chloroflexi, and Firmicutes. Our results indicated that the deposition of penguin guano or seal excreta, which caused the variability in soil soil organic carbon, total nitrogen, pH, and soil moisture, might have an important effect on the vertical distribution pattern of bacterial abundance and diversity in Antarctic soil profiles.</t>
  </si>
  <si>
    <t>[Ma, Dawei; Zhu, Renbin; Ding, Wei] Univ Sci &amp; Technol China, Sch Earth &amp; Space Sci, Inst Polar Environm, Hefei 230026, Anhui, Peoples R China; [Shen, Congcong; Chu, Haiyan; Lin, Xiangui] Chinese Acad Sci, Inst Soil Sci, State Key Lab Soil &amp; Sustainable Agr, Nanjing 210008, Peoples R China</t>
  </si>
  <si>
    <t>zhurb@ustc.edu.cn; hychu@issas.ac.cn</t>
  </si>
  <si>
    <t>zhu, zhu/JDN-0159-2023; Shen, Congcong/AAP-5065-2020; liao, xingyu/KHE-4272-2024; ding, wei/S-3164-2016</t>
  </si>
  <si>
    <t>Shen, Congcong/0000-0002-3452-6049; Chu, Haiyan/0000-0001-9004-8750</t>
  </si>
  <si>
    <t>National Natural Science Foundation of China [41076124, 41176171]; Specialized Research Fund for the Doctoral Program of Higher Education [20123402110026]; Fundamental Research Funds for the Central Universities [WK2060190007]</t>
  </si>
  <si>
    <t>National Natural Science Foundation of China(National Natural Science Foundation of China (NSFC)); Specialized Research Fund for the Doctoral Program of Higher Education(Specialized Research Fund for the Doctoral Program of Higher Education (SRFDP)); Fundamental Research Funds for the Central Universities(Fundamental Research Funds for the Central Universities)</t>
  </si>
  <si>
    <t>This work was supported by the National Natural Science Foundation of China (Grant No. 41076124; 41176171), Specialized Research Fund for the Doctoral Program of Higher Education (Grant No. 20123402110026) and the Fundamental Research Funds for the Central Universities (Grant No. WK2060190007). We thanked Y. Q. Liang, H. Sun, and Y. Feng for laboratory assistance and experimental guidance. We sincerely acknowledged the members of the 22nd Chinese National Antarctic Research Expedition for assistance with sample collection. We are also grateful to the anonymous reviewers and editor for their helpful revision and comments on a previous version of this paper.</t>
  </si>
  <si>
    <t>10.1007/s00300-013-1355-z</t>
  </si>
  <si>
    <t>WOS:000322879600010</t>
  </si>
  <si>
    <t>Kim, MK; An, YJ; Jeong, CS; Song, JM; Kang, MH; Lee, YH; Cha, SS</t>
  </si>
  <si>
    <t>Kim, Min-Kyu; An, Young Jun; Jeong, Chang-Sook; Song, Jung Min; Kang, Mee Hye; Lee, Youn-Ho; Cha, Sun-Shin</t>
  </si>
  <si>
    <t>Expression at 279 K, purification, crystallization and preliminary X-ray crystallographic analysis of a novel cold-active β-1,4-D-mannanase from the Antarctic springtail Cryptopygus antarcticus</t>
  </si>
  <si>
    <t>ACTA CRYSTALLOGRAPHICA SECTION F-STRUCTURAL BIOLOGY COMMUNICATIONS</t>
  </si>
  <si>
    <t>HYDROLASE FAMILY 5; BETA-MANNANASE; 3-DIMENSIONAL STRUCTURE; SUBSTRATE-SPECIFICITY; CRYSTAL-STRUCTURE; POLYSACCHARIDE; BIOCHEMISTRY; RESOLUTION; DISPLAYS; ENZYMES</t>
  </si>
  <si>
    <t>The CaMan gene product from Cryptopygus antarcticus, which belongs to the glycoside hydrolase family 5 type beta-1,4-D-mannanases, has been crystallized using a precipitant solution consisting of 0.1 M Tris-HCl pH 8.5, 25%(w/v) polyethylene glycol 3350 by the microbatch crystallization method at 295 K. The CaMan protein crystal belonged to space group P2(1)2(1)2(1), with unit-cell parameters a = 73.40, b = 83.81, c = 163.55 angstrom. Assuming the presence of two molecules in the asymmetric unit, the solvent content was estimated to be about 61.29%. CaMan-mannopentaose (M5) complex crystals that were isomorphous to the CaMan crystals were obtained using the same mother liquor containing 1 mM M5.</t>
  </si>
  <si>
    <t>[Kim, Min-Kyu; An, Young Jun; Jeong, Chang-Sook; Cha, Sun-Shin] Korea Inst Ocean Sci &amp; Technol, Marine Biotechnol Res Div, Ansan 426744, South Korea; [Song, Jung Min; Kang, Mee Hye; Lee, Youn-Ho] Korea Inst Ocean Sci &amp; Technol, Marine Ecosyst Res Div, Ansan 426744, South Korea; [Cha, Sun-Shin] Korea Maritime Univ, Ocean Sci &amp; Technol Sch, Pusan 606791, South Korea; [Cha, Sun-Shin] Univ Sci &amp; Technol, Dept Marine Biotechnol, Taejon 305333, South Korea</t>
  </si>
  <si>
    <t>Korea Institute of Ocean Science &amp; Technology (KIOST); Korea Institute of Ocean Science &amp; Technology (KIOST); Korea Maritime &amp; Ocean University</t>
  </si>
  <si>
    <t>Cha, SS (corresponding author), Korea Inst Ocean Sci &amp; Technol, Marine Biotechnol Res Div, Ansan 426744, South Korea.</t>
  </si>
  <si>
    <t>chajung@kiost.ac</t>
  </si>
  <si>
    <t>Shin, Sun/B-7370-2009; Kim, Min-Kyu/I-7360-2013</t>
  </si>
  <si>
    <t>Kim, Min-Kyu/0000-0001-9594-1396; Cha, Sun-Shin/0000-0002-0913-8706</t>
  </si>
  <si>
    <t>National Research Foundation of Korea [2012005978]; CAP through KRCF; CAP through KIST; CAP through KIOST; KIOST in-house program [PE98933]</t>
  </si>
  <si>
    <t>National Research Foundation of Korea(National Research Foundation of Korea); CAP through KRCF; CAP through KIST; CAP through KIOST; KIOST in-house program</t>
  </si>
  <si>
    <t>We thank the staff of beamlines BL-4A at Pohang Light Source, Republic of Korea and BL-17A at the Photon Factory, Japan for data-collection support. This study was supported by the National Research Foundation of Korea grant No. 2012005978, the CAP through KRCF, KIST and KIOST, and the KIOST in-house program (PE98933).</t>
  </si>
  <si>
    <t>INT UNION CRYSTALLOGRAPHY</t>
  </si>
  <si>
    <t>CHESTER</t>
  </si>
  <si>
    <t>2 ABBEY SQ, CHESTER, CH1 2HU, ENGLAND</t>
  </si>
  <si>
    <t>2053-230X</t>
  </si>
  <si>
    <t>ACTA CRYSTALLOGR F</t>
  </si>
  <si>
    <t>Acta Crystallogr. F-Struct. Biol. Commun.</t>
  </si>
  <si>
    <t>10.1107/S1744309113020538</t>
  </si>
  <si>
    <t>Biochemical Research Methods; Biochemistry &amp; Molecular Biology; Biophysics; Crystallography</t>
  </si>
  <si>
    <t>Biochemistry &amp; Molecular Biology; Biophysics; Crystallography</t>
  </si>
  <si>
    <t>208YT</t>
  </si>
  <si>
    <t>WOS:000323719700012</t>
  </si>
  <si>
    <t>Van Leuven, W; Cuypers, B; Desmet, F; Giordano, D; Verde, C; Moens, L; Van Doorslaer, S; Dewilde, S</t>
  </si>
  <si>
    <t>Van Leuven, Wendy; Cuypers, Bert; Desmet, Filip; Giordano, Daniela; Verde, Cinzia; Moens, Luc; Van Doorslaer, Sabine; Dewilde, Sylvia</t>
  </si>
  <si>
    <t>Is the heme pocket region modulated by disulfide-bridge formation in fish and amphibian neuroglobins as in humans?</t>
  </si>
  <si>
    <t>BIOCHIMICA ET BIOPHYSICA ACTA-PROTEINS AND PROTEOMICS</t>
  </si>
  <si>
    <t>Neuroglobin; EPR; Protein structure; Heme proteins</t>
  </si>
  <si>
    <t>LIGAND-BINDING; EPR; EXPRESSION; CYTOGLOBIN; BRAIN; AFFINITY; REVEALS</t>
  </si>
  <si>
    <t>Neuroglobin, a globin characterized by a bis-histidine ligation of the heme iron, has been identified in mammalian and non-mammalian vertebrates, including fish, amphibians and reptiles. In human neuroglobin, the presence of an internal disulfide bond in the CD loop (CD7-D5) is found to modulate the ligand binding through a change in the heme pocket structure. Although the neuroglobin sequences mostly display conserved Cys at positions CD7, D5 and G18/19, a number of exceptions are known. In this study, neuroglobins from amphibian (Xenopus tropicalis) and fish (Chaenocephalus aceratus, Dissostichus mawsoni and Danio rerio) are investigated using electron paramagnetic resonance and optical absorption spectroscopy. All these neuroglobins differ from human neuroglobin in their Cys-positions. It is demonstrated that if disulfide bonds are formed in fish and amphibian neuroglobins, the reduction of these bonds does not result in alteration of the heme pocket in these globins. Furthermore, it is shown that mutagenesis of the Cys residues of X. tropicalis neuroglobin influences the protein structure. The amphibian neuroglobin is also found to be more resistant to H2O2-induced denaturation than the other neuroglobins under study, although all show an overall large stability in high concentrations of this oxidant. This article is part of a Special Issue entitled: Oxygen Binding and Sensing Proteins. (c) 2013 Elsevier B.V. All rights reserved.</t>
  </si>
  <si>
    <t>[Van Leuven, Wendy; Moens, Luc; Dewilde, Sylvia] Univ Antwerp, Dept Biomed Sci, B-2610 Antwerp, Belgium; [Cuypers, Bert; Desmet, Filip; Van Doorslaer, Sabine] Univ Antwerp, Dept Phys, B-2610 Antwerp, Belgium; [Giordano, Daniela; Verde, Cinzia] CNR, Inst Prot Biochem, I-80131 Naples, Italy</t>
  </si>
  <si>
    <t>University of Antwerp; University of Antwerp; Consiglio Nazionale delle Ricerche (CNR); Istituto di Biochimica delle Proteine (IBP-CNR)</t>
  </si>
  <si>
    <t>Van Doorslaer, S (corresponding author), Univ Antwerp, Dept Phys, Univ Pl 1, B-2610 Antwerp, Belgium.</t>
  </si>
  <si>
    <t>wendy.vanleuven@ua.ac.be; bert.cuypers@student.ua.ac.be; filip.desmet@aeronomie.be; d.giordano@ibp.cnr.it; c.verde@ibp.cnr.it; luc.moens@ua.ac.be; sabine.vandoorslaer@ua.ac.be; sylvia.dewilde@ua.ac.be</t>
  </si>
  <si>
    <t>Van Doorslaer, Sabine/E-5050-2017; Giordano, Daniela/AFK-7772-2022; Desmet, Filip/D-5229-2017</t>
  </si>
  <si>
    <t>Van Doorslaer, Sabine/0000-0002-1685-9202; Giordano, Daniela/0000-0002-8891-6245; VERDE, Cinzia/0000-0001-6185-282X; Desmet, Filip/0000-0001-7516-5748</t>
  </si>
  <si>
    <t>Agency for Innovation by Science and Technology (IWT, Belgium); Hercules Foundation, Flanders [AUHA013]; Fund for Scientific Research - Flanders (FWO); Italian National Programme for Antarctic Research (PNRA)</t>
  </si>
  <si>
    <t>Agency for Innovation by Science and Technology (IWT, Belgium)(Institute for the Promotion of Innovation by Science and Technology in Flanders (IWT)); Hercules Foundation, Flanders; Fund for Scientific Research - Flanders (FWO)(FWO); Italian National Programme for Antarctic Research (PNRA)</t>
  </si>
  <si>
    <t>Research of W.V.L. is funded by a Ph.D. grant of the Agency for Innovation by Science and Technology (IWT, Belgium). S.V.D. acknowledges support from the Hercules Foundation, Flanders (contract AUHA013). S.V.D. and S.D. also thank the Fund for Scientific Research - Flanders (FWO) for funding. Prof. T. Hankeln (Institute of Molecular Genetics, Mainz, Germany) is acknowledged for the donation of the D. rerioNgb vector. This study was carried out in the framework of the SCAR program Evolution and Biodiversity in the Antarctic (EBA), and of the Coordination Action for Research Activities on Life in Extreme Environments (CAREX), European Commission FP7 call ENV.2007.2.2.1.6. It was financially supported by the Italian National Programme for Antarctic Research (PNRA).</t>
  </si>
  <si>
    <t>1570-9639</t>
  </si>
  <si>
    <t>BBA-PROTEINS PROTEOM</t>
  </si>
  <si>
    <t>BBA-Proteins Proteomics</t>
  </si>
  <si>
    <t>10.1016/j.bbapap.2013.01.042</t>
  </si>
  <si>
    <t>Biochemistry &amp; Molecular Biology; Biophysics</t>
  </si>
  <si>
    <t>202CT</t>
  </si>
  <si>
    <t>WOS:000323191800010</t>
  </si>
  <si>
    <t>Ronda, L; Merlino, A; Bettati, S; Verde, C; Balsamo, A; Mazzarella, L; Mozzarelli, A; Vergara, A</t>
  </si>
  <si>
    <t>Ronda, Luca; Merlino, Antonello; Bettati, Stefano; Verde, Cinzia; Balsamo, Anna; Mazzarella, Lelio; Mozzarelli, Andrea; Vergara, Alessandro</t>
  </si>
  <si>
    <t>Role of tertiary structures on the Root effect in fish hemoglobins</t>
  </si>
  <si>
    <t>Hemoglobin; Root effect; X-ray crystallography; Oxygen binding; Microspectrophotometry</t>
  </si>
  <si>
    <t>COLD-ADAPTED HEMOGLOBINS; X-RAY CRYSTALLOGRAPHY; BIS-HISTIDYL ADDUCTS; T STATE HEMOGLOBIN; OXYGEN-AFFINITY; TREMATOMUS-BERNACCHII; CRYSTAL-STRUCTURE; SILICA-GELS; TETRAMERIC HEMOGLOBINS; ALLOSTERIC MECHANISM</t>
  </si>
  <si>
    <t>Many fish hemoglobins exhibit a marked dependence of oxygen affinity and cooperativity on proton concentration, called Root effect. Both tertiary and quaternary effects have been evoked to explain the allosteric regulation brought about by protons in fish hemoglobins. However, no general rules have emerged so far. We carried out a complementary crystallographic and microspectroscopic characterization of ligand binding to crystals of deoxy-hemoglobin from the Antarctic fish Trematomus bernacchii (HbTb) at pH 6.2 and pH 8.4. At low pH ligation has negligible structural effects, correlating with low affinity and absence of cooperativity in oxygen binding. At high pH, ligation causes significant changes at the tertiary structural level, while preserving structural markers of the T state. These changes mainly consist in a marked displacement of the position of the switch region CD corner towards an R-like position. The functional data on T-state crystals validate the relevance of the crystallographic observations, revealing that, differently from mammalian Hbs, in HbTb a significant degree of cooperativity in oxygen binding is due to tertiary conformational changes, in the absence of the T-R quaternary transition. This article is part of a Special Issue entitled: Oxygen Binding and Sensing Proteins. (c) 2013 Elsevier B.V. All rights reserved.</t>
  </si>
  <si>
    <t>[Ronda, Luca; Mozzarelli, Andrea] Univ Parma, Dept Pharm, I-43124 Parma, Italy; [Merlino, Antonello; Balsamo, Anna; Mazzarella, Lelio; Vergara, Alessandro] Univ Naples Federico II, Dept Chem Sci, I-80126 Naples, Italy; [Merlino, Antonello; Vergara, Alessandro] CNR, Inst Biostruct &amp; Bioimages, I-80124 Naples, Italy; [Bettati, Stefano] Univ Parma, Dept Neurosci, I-43124 Parma, Italy; [Bettati, Stefano; Mozzarelli, Andrea] Natl Inst Biostruct &amp; Biosyst, I-00136 Rome, Italy; [Verde, Cinzia] CNR, Inst Prot Biochem, I-80131 Naples, Italy</t>
  </si>
  <si>
    <t>University of Parma; University of Naples Federico II; Consiglio Nazionale delle Ricerche (CNR); Istituto di Biostrutture e Bioimmagini (IBB-CNR); University of Parma; Consiglio Nazionale delle Ricerche (CNR); Istituto di Biochimica delle Proteine (IBP-CNR)</t>
  </si>
  <si>
    <t>Mozzarelli, A (corresponding author), Univ Parma, Dept Pharm, Parco Area Sci 23-A, I-43124 Parma, Italy.</t>
  </si>
  <si>
    <t>andrea.mozzarelli@unipr.it; avergara@unina.it</t>
  </si>
  <si>
    <t>Merlino, Antonello/AAI-2114-2020; Ronda, Luca/E-5214-2012; Vergara, Alessandro/C-4435-2013; Bettati, Stefano/V-9975-2018; Mozzarelli, Andrea/C-3615-2014</t>
  </si>
  <si>
    <t>Ronda, Luca/0000-0002-5389-2669; Vergara, Alessandro/0000-0003-4135-0245; Bettati, Stefano/0000-0001-6787-0594; Merlino, Antonello/0000-0002-1045-7720; VERDE, Cinzia/0000-0001-6185-282X; Mozzarelli, Andrea/0000-0003-3762-0062</t>
  </si>
  <si>
    <t>PNRA</t>
  </si>
  <si>
    <t>PNRA is acknowledged for financial support. Dr Umberto Oreste is acknowledged for providing Trematomus bernacchii hemolysate.</t>
  </si>
  <si>
    <t>10.1016/j.bbapap.2013.01.031</t>
  </si>
  <si>
    <t>WOS:000323191800023</t>
  </si>
  <si>
    <t>Coppola, D; Giordano, D; Tinajero-Trejo, M; di Prisco, G; Ascenzi, P; Poole, RK; Verde, C</t>
  </si>
  <si>
    <t>Coppola, Daniela; Giordano, Daniela; Tinajero-Trejo, Mariana; di Prisco, Guido; Ascenzi, Paolo; Poole, Robert K.; Verde, Cinzia</t>
  </si>
  <si>
    <t>Antarctic bacterial haemoglobin and its role in the protection against nitrogen reactive species</t>
  </si>
  <si>
    <t>Antarctic bacterial haemoglobin; Scavenging of nitric oxide and related reactive species; Bacterium protection; Pseudoalteromonas haloplanktis TAC125</t>
  </si>
  <si>
    <t>PSEUDOALTEROMONAS-HALOPLANKTIS TAC125; ENTERICA SEROVAR TYPHIMURIUM; NITRIC-OXIDE DIOXYGENASE; COLI FLAVOHAEMOGLOBIN HMP; ESCHERICHIA-COLI; TRUNCATED HEMOGLOBIN; NITROSATIVE STRESS; MYCOBACTERIUM-TUBERCULOSIS; OXIDATIVE STRESS; IN-VITRO</t>
  </si>
  <si>
    <t>In a cold and oxygen-rich environment such as Antarctica, mechanisms for the defence against reactive oxygen and nitrogen species are needed and represent important components in the evolutionary adaptations. In the Antarctic bacterium Pseudoalteromonas haloplanktis TAC125, the presence of multiple genes encoding 2/2 haemoglobins and a flavohaemoglobin strongly suggests that these proteins fulfil important physiological roles, perhaps associated to the peculiar features of the Antarctic habitat. In this work, the putative role of Ph-2/2HbO, encoded by the PSHAa0030 gene, was investigated by in vivo and in vitro experiments in order to highlight its involvement in NO detoxification mechanisms. The PSHAa0030 gene was cloned and then over-expressed in a flavohaemoglobin-deficient mutant of Escherichia coli, unable to metabolise NO, and the resulting strain was studied analysing its growth properties and oxygen uptake in the presence of NO. We here demonstrate that Ph-2/2HbO protects growth and cellular respiration of the heterologous host from the toxic effect of NO-donors. Unlike in Mycobacterium tuberculosis 2/2 HbN, the deletion of the N-terminal extension of Ph-2/2HbO does not seem to reduce the NO scavenging activity, showing that the N-terminal extension is not a requirement for efficient NO detoxification. Moreover, the ferric form of Ph-2/2HbO was shown to catalyse peroxynitrite isomerisation in vitro, confirming its potential role in the scavenging of reactive nitrogen species. This article is part of a Special Issue entitled: Oxygen Binding and Sensing Proteins. (c) 2013 Elsevier B.V. All rights reserved.</t>
  </si>
  <si>
    <t>[Coppola, Daniela; Giordano, Daniela; di Prisco, Guido; Ascenzi, Paolo; Verde, Cinzia] CNR, Inst Prot Biochem, I-80131 Naples, Italy; [Tinajero-Trejo, Mariana; Poole, Robert K.] Univ Sheffield, Dept Mol Biol &amp; Biotechnol, Sheffield S10 2TN, S Yorkshire, England; [Ascenzi, Paolo] Univ Roma Tre, Interdept Lab Electron Microscopy, I-00146 Rome, Italy</t>
  </si>
  <si>
    <t>Consiglio Nazionale delle Ricerche (CNR); Istituto di Biochimica delle Proteine (IBP-CNR); University of Sheffield; Roma Tre University</t>
  </si>
  <si>
    <t>Poole, RK (corresponding author), Univ Sheffield, Dept Mol Biol &amp; Biotechnol, Sheffield S10 2TN, S Yorkshire, England.</t>
  </si>
  <si>
    <t>R.Poole@sheffield.ac.uk; c.verde@ibp.cnr.it</t>
  </si>
  <si>
    <t>Coppola, Daniela/ABG-4430-2020; Giordano, Daniela/AFK-7772-2022</t>
  </si>
  <si>
    <t>Giordano, Daniela/0000-0002-8891-6245; Coppola, Daniela/0000-0001-6699-8967; VERDE, Cinzia/0000-0001-6185-282X</t>
  </si>
  <si>
    <t>Italian National Programme for Antarctic Research (PNRA)</t>
  </si>
  <si>
    <t>This study was carried out in the framework of the SCAR programme Evolution and Biodiversity in the Antarctic (EBA), and of the Coordination Action for Research Activities on Life in Extreme Environments (CAREX), European Commission FP7 call ENV.2007.2.2.1.6. It was financially supported by the Italian National Programme for Antarctic Research (PNRA).</t>
  </si>
  <si>
    <t>10.1016/j.bbapap.2013.02.018</t>
  </si>
  <si>
    <t>WOS:000323191800027</t>
  </si>
  <si>
    <t>Russo, R; Giordano, D; di Prisco, G; Hoa, GHB; Marden, MC; Verde, C; Kiger, L</t>
  </si>
  <si>
    <t>Russo, Roberta; Giordano, Daniela; di Prisco, Guido; Hoa, Gaston Hui Bon; Marden, Michael C.; Verde, Cinzia; Kiger, Laurent</t>
  </si>
  <si>
    <t>Ligand-rebinding kinetics of 2/2 hemoglobin from the Antarctic bacterium Pseudoalteromonas haloplanktis TAC125</t>
  </si>
  <si>
    <t>Antarctic bacterial hemoglobin; Truncated hemoglobin; Hydrostatic high pressure; Laser photolysis; Ligand binding kinetics; Oxygen</t>
  </si>
  <si>
    <t>HUMAN NEUROGLOBIN; GLOBIN FAMILY; HIGH-PRESSURE; OXYGEN; MYOGLOBIN; BINDING; HEME; PROTEINS; COLD; AUTOOXIDATION</t>
  </si>
  <si>
    <t>Kinetic studies were performed on ligand rebinding to a cold-adapted globin of the Antarctic bacterium Pseudoalteromonas haloplanktis TAC125 (Ph-2/2HbO). This 2/2 hemoglobin displays a rapid spectroscopic phase that is independent of CO concentration, followed by the standard bimolecular recombination. While the geminate recombination usually occurs on a ns timescale, Ph-2/2HbO displays a component of about 1 mu s that accounts for half of the geminate phase at 8 degrees C, indicative of a relatively slow internal ligand binding. The O-2 binding kinetics were measured in competition with CO to allow a short-time exposure of the deoxy hemes to O-2 before CO replacement. Indeed Ph-2/2HbO is readily oxidised in the presence of O-2, probably due to a superoxide character of the Fe-O-2 bond induced by of a hydrogen-bond donor amino-acid residue. Upon O-2 release or iron oxidation a distal residue (probably Tyr) is able to reversibly bind to the heme and as such to compete for binding with an external ligand. The transient hexacoordinated ferrous His-Fe-Tyr conformation after O-2 dissociation could initiate the electron transfer from the iron toward its final acceptor, molecular O-2 under our conditions. The hexacoordination via the distal Tyr is only partial, indicating a weak interaction between Tyr and the heme under atmospheric pressure. Hydrostatic high pressure enhances the hexacoordination indicating a flexible globin that allows structural changes. The O-2 binding affinity for Ph-2/2HbO, poorly affected by the competition with Tyr, is about 1 Torr at 8 degrees C, pH 7.0, which is compatible for an in vivo O-2 binding function; however, this globin is more likely involved in a redox reaction associating diatomic ligands and their derived oxidative species. This article is part of a Special Issue entitled: Oxygen Binding and Sensing Proteins. (c) 2013 Elsevier B.V. All rights reserved.</t>
  </si>
  <si>
    <t>[Russo, Roberta; Giordano, Daniela; di Prisco, Guido; Verde, Cinzia] CNR, Inst Prot Biochem, I-80131 Naples, Italy; [Hoa, Gaston Hui Bon; Marden, Michael C.; Kiger, Laurent] Univ Paris 11, INSERM, U779, F-94275 Le Kremlin Bicetre, France</t>
  </si>
  <si>
    <t>Consiglio Nazionale delle Ricerche (CNR); Istituto di Biochimica delle Proteine (IBP-CNR); Institut National de la Sante et de la Recherche Medicale (Inserm); Universite Paris Saclay</t>
  </si>
  <si>
    <t>Kiger, L (corresponding author), Univ Paris 11, INSERM, U779, 78 Rue Gen Leclerc, F-94275 Le Kremlin Bicetre, France.</t>
  </si>
  <si>
    <t>r.russo@ibp.cnr.it; d.giordano@ibp.cnr.it; g.diprisco@ibp.cnr.it; gaston.hui-bon-hoa@inserm.fr; Michael.Marden@inserm.fr; c.verde@ibp.cnr.it; laurent.kiger@inserm.fr</t>
  </si>
  <si>
    <t>Kiger, Laurent/Q-1686-2018; Marden, Michael C/G-3139-2012; Giordano, Daniela/AFK-7772-2022; Marden, Michael/AAA-5923-2020</t>
  </si>
  <si>
    <t>Marden, Michael C/0000-0002-5254-6385; Giordano, Daniela/0000-0002-8891-6245; VERDE, Cinzia/0000-0001-6185-282X</t>
  </si>
  <si>
    <t>Italian National Programme for Antarctic Research (PNRA); INSERM (France); University Paris XI; CNR; CAREX</t>
  </si>
  <si>
    <t>Italian National Programme for Antarctic Research (PNRA); INSERM (France)(Institut National de la Sante et de la Recherche Medicale (Inserm)); University Paris XI; CNR(Consiglio Nazionale delle Ricerche (CNR)); CAREX</t>
  </si>
  <si>
    <t>This study is financially supported by the Italian National Programme for Antarctic Research (PNRA), INSERM (France) and University Paris XI. It is in the framework of the SCAR programme Evolution and Biodiversity in the Antarctic (EBA), the project CAREX (Coordination Action for Research Activities on Life in Extreme Environments), and European Commission FP7 call ENV.2007.2.2.1.6. RR acknowledges CNR (for Short-Term Mobility fellowships), and CAREX (for Transfer of Knowledge grants).</t>
  </si>
  <si>
    <t>10.1016/j.bbapap.2013.02.013</t>
  </si>
  <si>
    <t>WOS:000323191800028</t>
  </si>
  <si>
    <t>Russo, R; Zucchelli, S; Codrich, M; Marcuzzi, F; Verde, C; Gustincich, S</t>
  </si>
  <si>
    <t>Russo, Roberta; Zucchelli, Silvia; Codrich, Marta; Marcuzzi, Federica; Verde, Cinzia; Gustincich, Stefano</t>
  </si>
  <si>
    <t>Hemoglobin is present as a canonical α2β2 tetramer in dopaminergic neurons</t>
  </si>
  <si>
    <t>Dopaminergic neurons; Hemoglobin; Mouse; Native structure</t>
  </si>
  <si>
    <t>PARKINSONS-DISEASE; GENE-EXPRESSION; CELLS; ALPHA; VULNERABILITY; PROTEIN; OXYGEN; RAT</t>
  </si>
  <si>
    <t>Hemoglobin is the oxygen carrier in blood erythrocytes. Oxygen coordination is mediated by alpha(2)beta(2) tetrameric structure via binding of the ligand to the heme iron atom. This structure is essential for hemoglobin function in the blood. In the last few years, expression of hemoglobin has been found in atypical sites, including the brain. Transcripts for alpha and beta chains of hemoglobin as well as hemoglobin immunoreactivity have been shown in mesencephalic As dopaminergic neurons, whose selective degeneration leads to Parkinson's disease. To gain further insights into the roles of hemoglobin in the brain, we examined its quaternary structure in dopaminergic neurons in vitro and in vivo. Our results indicate that (i) in mouse dopaminergic cell line stably over-expressing alpha and beta chains, hemoglobin exists as an alpha(2)beta(2) tetramer; (ii) similarly to the over-expressed protein, endogenous hemoglobin forms a tetramer of 64 kDa; (iii) hemoglobin also forms high molecular weight insoluble aggregates; and (iv) endogenous hemoglobin retains its tetrameric structure in mouse mesencephalon in vivo. In conclusion, these results suggest that neuronal hemoglobin may be endowed with some of the biochemical activities and biological function associated to its role in erythroid cells. This article is part of a Special Issue entitled: Oxygen Binding and Sensing Proteins. (c) 2013 The Authors. Published by Elsevier B.V. All rights reserved.</t>
  </si>
  <si>
    <t>[Russo, Roberta; Verde, Cinzia] CNR, Inst Prot Biochem, I-80131 Naples, Italy; [Zucchelli, Silvia; Codrich, Marta; Marcuzzi, Federica; Gustincich, Stefano] SISSA, Area Neurosci, I-34136 Trieste, Italy; [Verde, Cinzia] Roma 3 Univ, Dept Biol, I-00146 Rome, Italy</t>
  </si>
  <si>
    <t>Consiglio Nazionale delle Ricerche (CNR); Istituto di Biochimica delle Proteine (IBP-CNR); International School for Advanced Studies (SISSA); Roma Tre University</t>
  </si>
  <si>
    <t>Verde, C (corresponding author), CNR, Inst Prot Biochem, Via Pietro Castellino 111, I-80131 Naples, Italy.</t>
  </si>
  <si>
    <t>c.verde@ibp.cnr.it; gustinci@sissa.it</t>
  </si>
  <si>
    <t>Codrich, Marta/AAC-7724-2022</t>
  </si>
  <si>
    <t>Gustincich, Stefano/0000-0002-2749-2514; Zucchelli, Silvia/0000-0003-4556-2990; VERDE, Cinzia/0000-0001-6185-282X</t>
  </si>
  <si>
    <t>Italian Ministry of Education, University and Research (FIRB grant) [prot. RBAP11FRE9]; European Territorial Cooperation program for Italy-Slovenia cross-border cooperation (MINA) [CUP D35C12002830003]; Italian National Programme for Antarctic Research (PNRA)</t>
  </si>
  <si>
    <t>Italian Ministry of Education, University and Research (FIRB grant)(Ministry of Education, Universities and Research (MIUR)); European Territorial Cooperation program for Italy-Slovenia cross-border cooperation (MINA); Italian National Programme for Antarctic Research (PNRA)</t>
  </si>
  <si>
    <t>We are indebted to all the members of the SG lab for thought-provoking discussions and to Cristina Leonesi for technical support. This work was supported by the Italian Ministry of Education, University and Research (FIRB grant prot. RBAP11FRE9) and by the European Territorial Cooperation program for Italy-Slovenia cross-border cooperation 2007-2013 (MINA, CUP D35C12002830003) to S.G. and by the Italian National Programme for Antarctic Research (PNRA) to C.V.</t>
  </si>
  <si>
    <t>0006-3002</t>
  </si>
  <si>
    <t>10.1016/j.bbapap.2013.05.005</t>
  </si>
  <si>
    <t>WOS:000323191800029</t>
  </si>
  <si>
    <t>Ai, ST; Wang, ZM; Tan, Z; E, DC; Yan, M</t>
  </si>
  <si>
    <t>Ai SongTao; Wang ZeMin; Tan Zhi; E DongChen; Yan Ming</t>
  </si>
  <si>
    <t>Mass change study on Arctic glacier Pedersenbreen, during 1936-1990-2009</t>
  </si>
  <si>
    <t>Arctic; Pedersenbreen; mass change; Digital Elevation Model</t>
  </si>
  <si>
    <t>SVALBARD; MOUNTAINS; BALANCE; CHINA</t>
  </si>
  <si>
    <t>Pedersenbreen is a small polythermal valley glacier, located in Svalbard, which has been one of the two glaciers monitored by Chinese Arctic expedition members since 2004. This study estimates its area and volume and analyzes its change during 1936-1990-2009, using field collected GPS/GPR data in 2009 and historical topographic maps published by the Norwegian Polar Institute. We have found that Pedersenbreen is just like many other valley glaciers in Svalbard, having experienced a significant recession since the end of Little Ice Age in the early 20th century. The glacier tongue has retreated more than 0.6 km, while ice volume has decreased by approximately 13%. The overall thinning rate of Pedersenbreen has shown acceleration during the recent decades. Further analysis shows that the ice tongue in the downstream area of Pedersenbreen is melting at the highest rate, while a simultaneous accumulation occurred in the upstream. However, as global temperatures increase, the accumulation area is reducing year by year.</t>
  </si>
  <si>
    <t>[Ai SongTao; Wang ZeMin; Tan Zhi; E DongChen] Wuhan Univ, Chinese Antarctic Ctr Surveying &amp; Mapping, Wuhan 430079, Peoples R China; [Yan Ming] Polar Res Inst China, Shanghai 200136, Peoples R China</t>
  </si>
  <si>
    <t>Wuhan University; Polar Research Institute of China</t>
  </si>
  <si>
    <t>Ai, ST (corresponding author), Wuhan Univ, Chinese Antarctic Ctr Surveying &amp; Mapping, Wuhan 430079, Peoples R China.</t>
  </si>
  <si>
    <t>ast@whu.edu.cn</t>
  </si>
  <si>
    <t>ZeMin, Wang/AAU-3422-2020; Ai, Songtao/AAA-7338-2019</t>
  </si>
  <si>
    <t>National High Technology Research and Development Program of China [2012AA12A304]; National Natural Science Foundation of China [41076126, 41106163, 41174029, 41176172]; Chinese Polar Scientific Strategy Project [20080203, 20100103]; Chinese Polar Environment Comprehensive Investigation &amp; Assessment Programmes [CHINARE2013-04-07, CHINARE2013-02-04]; Chinese Arctic and Antarctic Administration, State Oceanic Administration</t>
  </si>
  <si>
    <t>National High Technology Research and Development Program of China(National High Technology Research and Development Program of China); National Natural Science Foundation of China(National Natural Science Foundation of China (NSFC)); Chinese Polar Scientific Strategy Project; Chinese Polar Environment Comprehensive Investigation &amp; Assessment Programmes; Chinese Arctic and Antarctic Administration, State Oceanic Administration</t>
  </si>
  <si>
    <t>This work was supported by the National High Technology Research and Development Program of China (2012AA12A304), the National Natural Science Foundation of China (41076126, 41106163, 41174029 and 41176172), the Chinese Polar Scientific Strategy Project (20080203 and 20100103) and the Chinese Polar Environment Comprehensive Investigation &amp; Assessment Programmes (CHINARE2013-04-07 and CHINARE2013-02-04). We are very grateful to the anonymous reviewers who provided useful comments, which significantly improved the clarity and presentation of the results, and the Chinese Arctic and Antarctic Administration, State Oceanic Administration for sponsoring the field surveying and research works around Chinese Arctic Yellow River Station. Especial thanks to Roger W. Hagerup and Jack Kohler from Norwegian Polar Institute for their help finding the historical maps in this area. We also thank to Professor Bryan C. Storey from University of Canterbury and Bobby M. S. from Australian College Information Centre for polishing English of this paper.</t>
  </si>
  <si>
    <t>10.1007/s11434-013-5772-8</t>
  </si>
  <si>
    <t>209FW</t>
  </si>
  <si>
    <t>WOS:000323741300013</t>
  </si>
  <si>
    <t>Dolhi, JM; Maxwell, DP; Morgan-Kiss, RM</t>
  </si>
  <si>
    <t>Dolhi, Jenna M.; Maxwell, Denis P.; Morgan-Kiss, Rachael M.</t>
  </si>
  <si>
    <t>Review: the Antarctic Chlamydomonas raudensis: an emerging model for cold adaptation of photosynthesis</t>
  </si>
  <si>
    <t>Antarctica; Microbial eukaryote; Psychrophile; Photosynthesis</t>
  </si>
  <si>
    <t>PSYCHROPHILIC GREEN-ALGA; HARVESTING COMPLEX-II; ICE-BINDING PROTEINS; MCMURDO DRY VALLEYS; PHOTOSYSTEM-II; LAKE BONNEY; EXCITATION PRESSURE; LOW-TEMPERATURE; ENERGY-BALANCE; WATER COLUMN</t>
  </si>
  <si>
    <t>Permanently cold habitats dominate our planet and psychrophilic microorganisms thrive in cold environments. Environmental adaptations unique to psychrophilic microorganisms have been thoroughly described; however, the vast majority of studies to date have focused on cold-adapted bacteria. The combination of low temperatures in the presence of light is one of the most damaging environmental stresses for a photosynthetic organism: in order to survive, photopsychrophiles (i.e. photosynthetic organisms adapted to low temperatures) balance temperature-independent reactions of light energy capture/transduction with downstream temperature-dependent metabolic processes such as carbon fixation. Here, we review research on photopsychrophiles with a focus on an emerging model organism, Chlamydomonas raudensis UWO241 (UWO241). UWO241 is a psychrophilic green algal species and is a member of the photosynthetic microbial eukaryote community that provides the majority of fixed carbon for ice-covered lake ecosystems located in the McMurdo Dry Valleys, Antarctica. The water column exerts a range of environmental stressors on the phytoplankton community that inhabits this aquatic ecosystem, including low temperatures, extreme shade of an unusual spectral range (blue-green), high salinity, nutrient deprivation and extremes in seasonal photoperiod. More than two decades of work on UWO241 have produced one of our most comprehensive views of environmental adaptation in a cold-adapted, photosynthetic microbial eukaryote.</t>
  </si>
  <si>
    <t>[Dolhi, Jenna M.; Morgan-Kiss, Rachael M.] Miami Univ, Dept Microbiol, Oxford, OH 45056 USA; [Maxwell, Denis P.] Univ Western Ontario, Dept Biol, London, ON, Canada</t>
  </si>
  <si>
    <t>University System of Ohio; Miami University; Western University (University of Western Ontario)</t>
  </si>
  <si>
    <t>Morgan-Kiss, RM (corresponding author), Miami Univ, Dept Microbiol, 700 E High St,32 Pearson Hall, Oxford, OH 45056 USA.</t>
  </si>
  <si>
    <t>morganr2@miamioh.edu</t>
  </si>
  <si>
    <t>Morgan-kiss, Rachael/0000-0003-4783-5358</t>
  </si>
  <si>
    <t>National Science Foundation Faculty Early Career Development (CAREER) Program; Office of Polar Programs [ANT0631659, ANT1056396]; Office of Polar Programs (OPP); Directorate For Geosciences [1056396] Funding Source: National Science Foundation</t>
  </si>
  <si>
    <t>National Science Foundation Faculty Early Career Development (CAREER) Program; Office of Polar Programs(National Science Foundation (NSF)NSF - Directorate for Geosciences (GEO)); Office of Polar Programs (OPP); Directorate For Geosciences(National Science Foundation (NSF)NSF - Directorate for Geosciences (GEO))</t>
  </si>
  <si>
    <t>The authors thank John C. Priscu and Patrick J. Neale for original isolation and donation of Chlamydomonas raudensis UWO241 strain. RMK and JMD were supported by the National Science Foundation Faculty Early Career Development (CAREER) Program and Office of Polar Programs (Grant Nos. ANT0631659 and ANT1056396).</t>
  </si>
  <si>
    <t>10.1007/s00792-013-0571-3</t>
  </si>
  <si>
    <t>206IW</t>
  </si>
  <si>
    <t>WOS:000323514400003</t>
  </si>
  <si>
    <t>Zhang, T; Xiang, HB; Zhang, YQ; Liu, HY; Wei, YZ; Zhao, LX; Yu, LY</t>
  </si>
  <si>
    <t>Zhang, Tao; Xiang, Hai-Bo; Zhang, Yu-Qin; Liu, Hong-Yu; Wei, Yu-Zhen; Zhao, Li-Xun; Yu, Li-Yan</t>
  </si>
  <si>
    <t>Molecular analysis of fungal diversity associated with three bryophyte species in the Fildes Region, King George Island, maritime Antarctica</t>
  </si>
  <si>
    <t>Antarctic microbiology; Fungal endophytes; Liverwort and moss; Clone library</t>
  </si>
  <si>
    <t>LIVERWORT CEPHALOZIELLA-VARIANS; CONTINENTAL ANTARCTICA; RHIZOSCYPHUS-ERICAE; ENDOLICHENIC FUNGI; WINDMILL ISLANDS; ENDOPHYTES; PATTERNS; MOSSES; SCALE; HOST</t>
  </si>
  <si>
    <t>The fungal communities associated with three bryophytes species (the liverwort Barbilophozia hatcheri, the mosses Chorisodontium aciphyllum and Sanionia uncinata) in the Fildes Region, King George Island, maritime Antarctica, were studied using clone library analysis. Fungal communities showed low diversity; the 680 clones belonged to 93 OTUs. Of these, 78 belonged to the phylum Ascomycota, 13 to the phylum Basidiomycota, 1 to the phylum Zygomycota, and 1 to an unknown phylum. Among the OTUs, the most common orders in the Ascomycota were Helotiales (42 OTUs) and Chaetothyriales (14 OTUs) and the most common orders in the Basidiomycota were Sebacinales (3 OTUs) and Platygloeales (3 OTUs). Most OTUs clustered within clades that contained phylotypes identified from samples in Antarctic or Arctic ecosystems or from bryophytes in other ecosystems. In addition, we found that host-related factor may shape the fungal communities associated with bryophytes in this region. This is the first systematic study of the fungal community in Antarctic bryophytes to be performed using culture-independent method and the results may improve understanding of the endophytic fungal evolution and ecology in the Antarctic ecosystem.</t>
  </si>
  <si>
    <t>[Zhang, Tao; Xiang, Hai-Bo; Zhang, Yu-Qin; Liu, Hong-Yu; Wei, Yu-Zhen; Zhao, Li-Xun; Yu, Li-Yan] Chinese Acad Med Sci, Inst Med Biotechnol, Beijing 100050, Peoples R China; [Zhang, Tao; Xiang, Hai-Bo; Zhang, Yu-Qin; Liu, Hong-Yu; Wei, Yu-Zhen; Zhao, Li-Xun; Yu, Li-Yan] Peking Union Med Coll, Beijing 100050, Peoples R China</t>
  </si>
  <si>
    <t>Chinese Academy of Medical Sciences - Peking Union Medical College; Institute of Medicinal Biotechnology - CAMS; Chinese Academy of Medical Sciences - Peking Union Medical College; Peking Union Medical College</t>
  </si>
  <si>
    <t>Yu, LY (corresponding author), Chinese Acad Med Sci, Inst Med Biotechnol, Beijing 100050, Peoples R China.</t>
  </si>
  <si>
    <t>yly@cpcc.ac.cn</t>
  </si>
  <si>
    <t>yu, liyan/GYD-2950-2022; Zhang, Yu-Qin/AEH-7339-2022</t>
  </si>
  <si>
    <t>yu, liyan/0000-0002-8861-9806; Zhang, Yu-Qin/0000-0002-1739-6705</t>
  </si>
  <si>
    <t>National Infrastructure of Microbial Resources [NIMR-2013-3]; National Natural Science Foundation of China (NSFC) [30970038, 31170041]; National S&amp;T Major Special Project on Major New Drug Innovation [2012ZX09301002-001, 2012ZX09301002-003]; Special Fund for Health-scientific Research in the Public Interest [201002021]</t>
  </si>
  <si>
    <t>National Infrastructure of Microbial Resources; National Natural Science Foundation of China (NSFC)(National Natural Science Foundation of China (NSFC)); National S&amp;T Major Special Project on Major New Drug Innovation; Special Fund for Health-scientific Research in the Public Interest</t>
  </si>
  <si>
    <t>This research was supported by National Infrastructure of Microbial Resources (No. NIMR-2013-3), the National Natural Science Foundation of China (NSFC) (Nos: 30970038 and 31170041), National S&amp;T Major Special Project on Major New Drug Innovation (Nos: 2012ZX09301002-001 and 2012ZX09301002-003) and Special Fund for Health-scientific Research in the Public Interest (No. 201002021). We thank the Chinese Arctic and Antarctic Administration (CAA) and Shunan Cao in China's 28nd Antarctic expedition team for sample collection.</t>
  </si>
  <si>
    <t>10.1007/s00792-013-0558-0</t>
  </si>
  <si>
    <t>WOS:000323514400007</t>
  </si>
  <si>
    <t>Aislabie, JM; Lau, A; Dsouza, M; Shepherd, C; Rhodes, P; Turner, SJ</t>
  </si>
  <si>
    <t>Aislabie, Jackie M.; Lau, Anna; Dsouza, Melissa; Shepherd, Charis; Rhodes, Phillippa; Turner, Susan J.</t>
  </si>
  <si>
    <t>Bacterial composition of soils of the Lake Wellman area, Darwin Mountains, Antarctica</t>
  </si>
  <si>
    <t>High latitude soils; Bacterial composition; Soil bacterial clones; Cultured bacteria</t>
  </si>
  <si>
    <t>MICROBIAL DIVERSITY; HETEROTROPHIC BACTERIA; COMMUNITY STRUCTURE; GORCE MOUNTAINS; VICTORIA LAND; SP NOV.; MODESTOBACTER; ENVIRONMENT; SEQUENCE; ACTINOBACTERIUM</t>
  </si>
  <si>
    <t>The aim of this study was to examine the bacterial composition of high latitude soils from the Darwin-Hatherton glacier region of Antarctica. Four soil pits on each of four glacial drift sheets were sampled for chemical and microbial analyses. The four drifts-Hatherton, Britannia, Danum, and Isca-ranged, respectively, from early Holocene (10 ky) to mid-Quaternary (ca 900 ky). Numbers of culturable bacteria were low, with highest levels detected in soils from the younger Hatherton drift. DNA was extracted and 16S rRNA gene clone libraries prepared from samples below the desert pavement for each of the four drift sheets. Between 31 and 262 clones were analysed from each of the Hatherton, Britannia, and Danum drifts. Bacterial sequences were dominated by members of the phyla Deinococcus-Thermus, Actinobacteria, and Bacteroidetes. Culturable bacteria, including some that clustered with soil clones (e.g., members of the genera Arthrobacter, Adhaeribacter, and Pontibacter), belonged to Actinobacteria and Bacteroidetes. The isolated bacteria are ideal model organisms for genomic and phenotypic investigations of those attributes that allow bacteria to survive and/or grow in Antarctic soils because they have close relatives that are not tolerant of these conditions.</t>
  </si>
  <si>
    <t>[Aislabie, Jackie M.; Rhodes, Phillippa] Landcare Res, Hamilton, New Zealand; [Lau, Anna; Dsouza, Melissa; Shepherd, Charis] Univ Auckland, Sch Biol Sci, Auckland 1, New Zealand; [Turner, Susan J.] BioDiscovery, Auckland, New Zealand</t>
  </si>
  <si>
    <t>Landcare Research - New Zealand; University of Auckland</t>
  </si>
  <si>
    <t>Aislabie, JM (corresponding author), Landcare Res, Private Bag 3127, Hamilton, New Zealand.</t>
  </si>
  <si>
    <t>aislabiej@landcareresearch.co.nz</t>
  </si>
  <si>
    <t>Ministry of Business Innovation and Employment, New Zealand [C09X0307, C09X1001]; New Zealand Ministry of Business, Innovation &amp; Employment (MBIE) [C09X1001] Funding Source: New Zealand Ministry of Business, Innovation &amp; Employment (MBIE)</t>
  </si>
  <si>
    <t>Ministry of Business Innovation and Employment, New Zealand(New Zealand Ministry of Business, Innovation and Employment (MBIE)); New Zealand Ministry of Business, Innovation &amp; Employment (MBIE)(New Zealand Ministry of Business, Innovation and Employment (MBIE))</t>
  </si>
  <si>
    <t>This research was supported by funding from the Ministry of Business Innovation and Employment, New Zealand (C09X0307 and C09X1001). Antarctica New Zealand provided logistic support. Soil analyses were carried out in the Environmental Chemistry Laboratory, Landcare Research, New Zealand.</t>
  </si>
  <si>
    <t>10.1007/s00792-013-0560-6</t>
  </si>
  <si>
    <t>WOS:000323514400009</t>
  </si>
  <si>
    <t>Wang, RJ; Xiao, WS; März, C; Li, QY</t>
  </si>
  <si>
    <t>Wang, Rujian; Xiao, Wenshen; Maerz, Christian; Li, Qianyu</t>
  </si>
  <si>
    <t>Late Quaternary paleoenvironmental changes revealed by multi-proxy records from the Chukchi Abyssal Plain, western Arctic Ocean</t>
  </si>
  <si>
    <t>IRD provenance; terrigenous input; surface productivity; Nps-delta O-18 and -delta C-13; Nps-Mg/Ca; late Quaternary; Western Arctic Ocean</t>
  </si>
  <si>
    <t>ICE-RAFTED DEBRIS; OUTER LAPTEV SEA; NEOGLOBOQUADRINA-PACHYDERMA; LATE PLEISTOCENE; PLANKTIC FORAMINIFERS; ORGANIC-CARBON; SURFACE SEDIMENTS; YOUNGER DRYAS; FERROMANGANESE CONCRETIONS; DEPOSITIONAL REGIMES</t>
  </si>
  <si>
    <t>Late Quaternary paleoenvironmental changes in the western Arctic Ocean are revealed by multi-proxy records of core 03M03 from the Chukchi Abyssal Plain (CAP). Proxy parameters include lithology, grain size fractions, and mineralogy and petrology of ice-rafted detritus (IRD), element contents, biogenic components, delta O-18, delta C-13 and Mg/Ca of planktonic foraminifera Neogloboquadrina pachyderma (sin.) (Nps). Seven IRD (&gt;250 mu m) peaks are interpreted as marking detrital input by rafting sea ice or icebergs during MIS 3 interstadials and early MIS 1. High MnO, CaO and MgO contents and high Ca/Al and Mg/Al ratios during MIS 3 and MIS 1 correspond to increases in ice-rafted detrital carbonates and the synchronous declines in siliciclastic elements (e.g., Al2O3, Fe2O3). Therefore, these warmer periods were characterized by a high detrital carbonate input entrained in icebergs from the Canadian Arctic Archipelago coeval with an increased input of Mn through rivers and/or coastal erosion. Relatively stable contents of siliciclastic elements and their ratios in the grayish sediment units are interpreted from turbid surface water plumes or nepheloid flows delivered by meltwater and/or brine rejection from ice-sheet margins at the Arctic Ocean periphery. Relatively stable clay- and silt-sized fractions were attributed mainly to sea ice entrainment over glacial-interglacial cycles. High foraminiferal abundances in the brown units during MIS 3 and 1 are related to enhanced calcareous plankton productivity under more open water conditions and/or the incremental input of Atlantic water masses. Relatively high TOC and opal contents in the grayish units of MIS 3 appear to have accumulated by lateral transport of organic matter from the Chukchi shelf to the deep abyssal plain. Lower contents of biogenic material in the brown units probably result from increased dilution by rapid IRD deposition, and from early diagenetic degradation. Depletions in Nps-delta O-18 and -delta C-13 concurrent with high foraminiferal abundances and IRD peaks within the brown units of MIS 3 and 1 are indicative of meltwater pulses, as previously documented across the Arctic Ocean. However, several Nps-delta O-18 and -delta C-13 depletions between the brown units B3 and B2 in MIS 3 could have resulted from enhanced sea ice formation. The Nps-Mg/Ca has the potential to record paleotemperature changes in the Arctic region, but still awaits a better calibration of the Nps-Mg/Ca-temperature relationship with results from core-tops, sediment traps, and plankton tows. (C) 2013 Elsevier B.V. All rights reserved.</t>
  </si>
  <si>
    <t>[Wang, Rujian; Xiao, Wenshen; Li, Qianyu] Tongji Univ, State Key Lab Marine Geol, Shanghai 200092, Peoples R China; [Maerz, Christian] Newcastle Univ, Sch Civil Engn &amp; Geosci, Newcastle Upon Tyne NE1 7RU, Tyne &amp; Wear, England; [Maerz, Christian] Carl von Ossietzky Univ Oldenburg, Inst Chem &amp; Biol Marine Environm, D-26111 Oldenburg, Germany; [Li, Qianyu] Univ Adelaide, Sch Earth &amp; Environm Sci, Adelaide, SA 5005, Australia</t>
  </si>
  <si>
    <t>Tongji University; Newcastle University - UK; Carl von Ossietzky Universitat Oldenburg; University of Adelaide</t>
  </si>
  <si>
    <t>Wang, RJ (corresponding author), Tongji Univ, State Key Lab Marine Geol, 1239 Siping Rd, Shanghai 200092, Peoples R China.</t>
  </si>
  <si>
    <t>rjwang@tongji.edu.cn</t>
  </si>
  <si>
    <t>li, qianyu/GXV-6594-2022</t>
  </si>
  <si>
    <t>, Christian/0000-0003-2558-4711</t>
  </si>
  <si>
    <t>National Natural Science Foundation of China [41030859, 41211120173]; Chinese Special Project of Arctic Ocean Marine Geology Investigation [CHINARE 2013-03-02]; National Basic Research Program of China [G2012CB957700]; China Geological Survey Project [12120113006200]; German Research Foundation within the Priority Program 527 IODP/ODP [MA 4791/1-1]; Ministry of Finance of China</t>
  </si>
  <si>
    <t>National Natural Science Foundation of China(National Natural Science Foundation of China (NSFC)); Chinese Special Project of Arctic Ocean Marine Geology Investigation; National Basic Research Program of China(National Basic Research Program of China); China Geological Survey Project(China Geological Survey); German Research Foundation within the Priority Program 527 IODP/ODP; Ministry of Finance of China</t>
  </si>
  <si>
    <t>We sincerely thank three reviewers for their inspiring and helpful comments on the paper. Special thanks to L. Polyak for providing original data of reference cores AR92-P25, HLY0503-8JPC and NP26 for stratigraphic correlation. This work was funded by the National Natural Science Foundation of China under contract No. 41030859 and 41211120173, the Chinese Special Project of Arctic Ocean Marine Geology Investigation under contract No. CHINARE 2013-03-02, the National Basic Research Program of China under contract No. G2012CB957700 and China Geological Survey Project No. 12120113006200. CM gratefully acknowledges funding by the German Research Foundation within the Priority Program 527 IODP/ODP (Research Grant MA 4791/1-1). This work is part of the project 2nd Chinese National Arctic Research Expedition (CHINARE-2003) supported by the Ministry of Finance of China and organized by the Chinese Arctic and Antarctic Administration (CAA). We thank the 2nd Chinese Arctic Expedition cruise members for retrieving the sediments.</t>
  </si>
  <si>
    <t>10.1016/j.gloplacha.2013.05.017</t>
  </si>
  <si>
    <t>205UR</t>
  </si>
  <si>
    <t>WOS:000323470800008</t>
  </si>
  <si>
    <t>Aoki, K; Minobe, S; Tanimoto, Y; Sasai, Y</t>
  </si>
  <si>
    <t>Aoki, Kunihiro; Minobe, Shoshiro; Tanimoto, Youichi; Sasai, Yoshikazu</t>
  </si>
  <si>
    <t>Southward Eddy Heat Transport Occurring along Southern Flanks of the Kuroshio Extension and the Gulf Stream in a 1/10° Global Ocean General Circulation Model</t>
  </si>
  <si>
    <t>Eddies; Fluxes; Mesoscale processes</t>
  </si>
  <si>
    <t>SUBTROPICAL NORTH PACIFIC; SATELLITE ALTIMETRY; ATLANTIC OCEAN; FLUX; VARIABILITY; ENERGY</t>
  </si>
  <si>
    <t>The present study investigates meridional heat transport induced by oceanic mesoscale variability in the World Ocean using a degrees global ocean general circulation model (OGCM) running on the Earth Simulator. The results indicate prominent poleward eddy heat transport around the western boundary currents and the Antarctic Circumpolar Current, and equatorward eddy heat transport in the equatorial region, consistent with the previous studies using coarse-resolution OGCMs. Such poleward eddy heat transport in midlatitude oceans suggests that the eddies act to reduce meridional background temperature gradients across the currents, as would be expected based on baroclinic instability. Interestingly, however, along the southern flanks of the eastward jets of the Kuroshio Extension and the Gulf Stream, southward eddy heat transport occurs in subsurface layers. This is likely due to the southward migration of warm water cores originating from southern areas adjacent to these currents. Southward movement of these cores is caused by interactions with unsteady meanders and cold eddies detaching from the meanders. The potential impact on biological production in the subtropical surface layers of these southward-traveling warm water cores is also discussed.</t>
  </si>
  <si>
    <t>[Aoki, Kunihiro; Tanimoto, Youichi] Hokkaido Univ, Fac Environm Earth Sci, Sapporo, Hokkaido 0600810, Japan; [Minobe, Shoshiro] Hokkaido Univ, Grad Sch Sci, Dept Nat Hist Sci, Sapporo, Hokkaido 0600810, Japan; [Tanimoto, Youichi; Sasai, Yoshikazu] Japan Agcy Marine Earth Sci &amp; Technol, Res Inst Global Change, Yokohama, Kanagawa, Japan</t>
  </si>
  <si>
    <t>Hokkaido University; Hokkaido University; Japan Agency for Marine-Earth Science &amp; Technology (JAMSTEC)</t>
  </si>
  <si>
    <t>Aoki, K (corresponding author), Hokkaido Univ, Grad Sch Environm Earth Sci, N10W5, Sapporo, Hokkaido 0600810, Japan.</t>
  </si>
  <si>
    <t>aokik@ees.hokudai.ac.jp</t>
  </si>
  <si>
    <t>Minobe, Shoshiro/E-2997-2010; Aoki, Kunihiro/GRY-2921-2022; Tanimoto, Youichi/F-8819-2012</t>
  </si>
  <si>
    <t>Minobe, Shoshiro/0000-0002-9487-9006;</t>
  </si>
  <si>
    <t>Ministry of Education, Science, Sports, and Culture in Japan [21740336, 22106008, 22106006, 22340132, 22340135, 22106007]; Population Outbreak of Marine Life (POMAL) of the Ministry of Agriculture, Forestry, and Fisheries in Japan; Grants-in-Aid for Scientific Research [22106007, 22340132, 22106008, 22244057, 22106001, 21740336] Funding Source: KAKEN</t>
  </si>
  <si>
    <t>Ministry of Education, Science, Sports, and Culture in Japan(Ministry of Education, Culture, Sports, Science and Technology, Japan (MEXT)); Population Outbreak of Marine Life (POMAL) of the Ministry of Agriculture, Forestry, and Fisheries in Japan; Grants-in-Aid for Scientific Research(Ministry of Education, Culture, Sports, Science and Technology, Japan (MEXT)Japan Society for the Promotion of ScienceGrants-in-Aid for Scientific Research (KAKENHI))</t>
  </si>
  <si>
    <t>The present study was supported by Grants-in-Aid (21740336, 22106008, 22106006, 22340132, 22340135, and 22106007) for Scientific Research from the Ministry of Education, Science, Sports, and Culture and the funds from the research program Population Outbreak of Marine Life (POMAL) of the Ministry of Agriculture, Forestry, and Fisheries, both in Japan. The authors also thank the anonymous reviewers and the editor for helpful comments.</t>
  </si>
  <si>
    <t>10.1175/JPO-D-12-0223.1</t>
  </si>
  <si>
    <t>211FU</t>
  </si>
  <si>
    <t>WOS:000323891800004</t>
  </si>
  <si>
    <t>Katsumata, K; Masuda, S</t>
  </si>
  <si>
    <t>Katsumata, K.; Masuda, S.</t>
  </si>
  <si>
    <t>Variability in Southern Hemisphere Ocean Circulation from the 1980s to the 2000s</t>
  </si>
  <si>
    <t>Southern Hemisphere; Meridional overturning circulation; Inverse methods; General circulation models; Decadal variability; Interannual variability</t>
  </si>
  <si>
    <t>ANTARCTIC CIRCUMPOLAR CURRENT; MERIDIONAL OVERTURNING CIRCULATION; BAROCLINIC TRANSPORT VARIABILITY; DRAKE PASSAGE; ANNULAR MODE; HYDROGRAPHIC SECTION; VOLUME TRANSPORT; NORTH-ATLANTIC; CLIMATE-CHANGE; BOTTOM WATER</t>
  </si>
  <si>
    <t>Interannual-to-decadal variability of ocean circulation in the Southern Hemisphere was examined using data from the 1980s to the 2000s in a box inverse model to estimate transport across hydrographic sections and three ocean general circulation models (OGCMs). The westerly wind stress over the OGCM Southern Ocean showed a steady increase of 5%-8% decade(-1). The meridional overturning circulation was quantified by the transport across 30 degrees S. The OGCMs suggested a slight strengthening [from 0.2 +/- 1.0 to 0.8 +/- 1.3 Sv decade(-1) (1 Sv 10(6) m(3) s(-1))] of the upper meridional cell (Deacon cell) and two OGCMs showed a weakening (-0.8 +/- 0.6 and -1.0 +/- 0.3 Sv decade(-1)) of the lower meridional [Antarctic Bottom Water (AABW)] cell, partly explained by contraction of the AABW volume. The box inverse estimates did not contradict these two findings. For Antarctic Circumpolar Current transport, quantified by zonal transport across four key sections, the box inverse model estimated a decrease of 5-21 Sv. Decomposition of the decrease into baroclinic transport by the Subantarctic and Polar Fronts, barotropic transport, and others shows that the decrease is mostly due to barotropic transport and transport carried by the flow north of the Subantarctic Front and south of the Polar Front. In the OGCMs, the variability of transport across key sections is often correlated with transport carried by a flow south of the Polar Front and with the southern annular mode index. In all models, then, the transport of the Antarctic Circumpolar Current, defined as the transport carried by the fronts, has not decreased significantly over the study period.</t>
  </si>
  <si>
    <t>[Katsumata, K.; Masuda, S.] RIGC JAMSTEC, Yokosuka, Kanagawa 2370061, Japan</t>
  </si>
  <si>
    <t>Japan Agency for Marine-Earth Science &amp; Technology (JAMSTEC)</t>
  </si>
  <si>
    <t>Katsumata, Katsuro/AAR-5034-2020</t>
  </si>
  <si>
    <t>Katsumata, Katsuro/0000-0002-4683-7610</t>
  </si>
  <si>
    <t>10.1175/JPO-D-12-0209.1</t>
  </si>
  <si>
    <t>WOS:000323891800009</t>
  </si>
  <si>
    <t>de la Cámara, A; Mechoso, CR; Mancho, AM; Serrano, E; Ide, K</t>
  </si>
  <si>
    <t>de la Camara, Alvaro; Mechoso, Carlos R.; Mancho, Ana M.; Serrano, Encarna; Ide, Kayo</t>
  </si>
  <si>
    <t>Isentropic Transport within the Antarctic Polar-Night Vortex: Rossby Wave Breaking Evidence and Lagrangian Structures</t>
  </si>
  <si>
    <t>Lagrangian circulation; transport; Stratospheric circulation; Trajectories; Wave breaking</t>
  </si>
  <si>
    <t>STRATOSPHERIC ARCTIC VORTEX; HYPERBOLIC TRAJECTORIES; SATELLITE-OBSERVATIONS; SOUTHERN STRATOSPHERE; UNSTABLE MANIFOLDS; MIXING PROPERTIES; VELOCITY-FIELDS; PLANETARY-WAVES; ANALYZED WINDS; DATA SETS</t>
  </si>
  <si>
    <t>The trajectories in the lower stratosphere of isopycnic balloons released from Antarctica by Vorcore and Concordiasi field campaigns during the southern springs of 2005 and 2010 showed events of latitudinal transport inside the stratospheric polar vortex, both away from and toward the poleward flank of the polar-night jet. The present paper applies trajectory-based diagnostic techniques to examine mechanisms at work during such events. Reverse domain-filling calculations of potential vorticity (PV) fields from the ECMWF Interim Re-Analysis (ERA-Interim) dataset during the events show irreversible filamentation of the PV fields in the inner side of the polar-night jet, which is a signature of planetary (Rossby) wave breaking. Balloon motions during the events are fairly consistent with the PV filaments. Events of both large (similar to 15 degrees of arc length) and small (similar to 5 degrees of arc length) balloon displacements from the vortex edge are associated, respectively, with deep and shallow penetration into the core of the elongated PV contours. Additionally, the Lagrangian descriptor M is applied to study the configuration of Lagrangian structures during the events. Breaking Rossby waves inside the vortex lead to the presence of hyperbolic points. The geometric configuration of the invariant manifolds associated with the hyperbolic trajectories helps to understand the apparent chaotic behavior of balloons' motions and to identify and analyze balloon transport events not captured by reverse domain-filling calculations.The Antarctic polar vortex edge is an effective barrier to air parcel crossings. Rossby wave breaking inside the vortex, however, can contribute to tracer mixing inside the vortex and to occasional air crossings of the edge.</t>
  </si>
  <si>
    <t>[de la Camara, Alvaro; Serrano, Encarna] Univ Complutense Madrid, Dept Geofis &amp; Meteorol, E-28040 Madrid, Spain; [de la Camara, Alvaro; Mancho, Ana M.] CSIC UAM UC3M UCM, Inst Ciencias Matemat, Madrid, Spain; [Mechoso, Carlos R.] Univ Calif Los Angeles, Dept Atmospher &amp; Ocean Sci, Los Angeles, CA USA; [Ide, Kayo] Univ Maryland, Dept Atmospher &amp; Ocean Sci, Ctr Sci Computat &amp; Math Modeling, College Pk, MD 20742 USA; [Ide, Kayo] Univ Maryland, Inst Phys Sci &amp; Technol, Earth Syst Sci Interdisciplinary Ctr, College Pk, MD 20742 USA</t>
  </si>
  <si>
    <t>Complutense University of Madrid; Consejo Superior de Investigaciones Cientificas (CSIC); CSIC - Instituto de Ciencias Matematicas (ICMAT); CSIC - Instituto de Ciencia de Materiales de Madrid (ICMM); University of California System; University of California Los Angeles; University System of Maryland; University of Maryland College Park; University System of Maryland; University of Maryland College Park</t>
  </si>
  <si>
    <t>de la Cámara, A (corresponding author), Univ Complutense Madrid, Fac Ciencias Fis, Dep Geofis &amp; Meteorol, Ciudad Univ, E-28040 Madrid, Spain.</t>
  </si>
  <si>
    <t>acamarai@ucm.es</t>
  </si>
  <si>
    <t>Mancho, Ana Maria/K-5194-2014; de la Camara, Alvaro/P-7062-2016; Serrano, Encarna/F-6346-2016</t>
  </si>
  <si>
    <t>Mancho, Ana Maria/0000-0002-8385-7098; de la Camara, Alvaro/0000-0002-8831-4789; Serrano, Encarna/0000-0003-0031-0562</t>
  </si>
  <si>
    <t>Spanish Ministry of Science [CGL2008-06295, MTM2011-26696]; ICMAT Severo Ochoa Project [SEV-2011-0087]; Spanish CSIC [ILINK-0145]; US NSF [ATM-0732222]; US ONR [N000140910418, N000141010655]; ICTS-CESGA Project [109]; FPI-UCM fellowship program; Meteo-France; CNES; IPEV; PNRA; CNRS/INSU; NSF; NCAR; Concordia consortium; University of Wyoming; Purdue University</t>
  </si>
  <si>
    <t>Spanish Ministry of Science(Spanish Government); ICMAT Severo Ochoa Project(Spanish Government); Spanish CSIC; US NSF(National Science Foundation (NSF)); US ONR(Office of Naval Research); ICTS-CESGA Project; FPI-UCM fellowship program; Meteo-France; CNES(Centre National D'etudes Spatiales); IPEV; PNRA; CNRS/INSU(Centre National de la Recherche Scientifique (CNRS)); NSF(National Science Foundation (NSF)); NCAR(National Science Foundation (NSF)NSF - Directorate for Geosciences (GEO)); Concordia consortium; University of Wyoming; Purdue University</t>
  </si>
  <si>
    <t>The authors thank an anonymous reviewer for insightful suggestions to a former version of the manuscript and two anonymous referees reviewing the present manuscript for their useful comments. This research was supported by the Spanish Ministry of Science under Grants CGL2008-06295, MTM2011-26696, ICMAT Severo Ochoa Project SEV-2011-0087, Spanish CSIC under Grant ILINK-0145, US NSF under Grant ATM-0732222, and US ONR N000140910418 and N000141010655. The computational part of this work has benefited from an ICTS-CESGA Project 109, which allowed priority access to supercomputer Finis Terrae. The first author was supported by the FPI-UCM fellowship program. Concordiasi was built by an international scientific group and is currently supported by the following agencies: Meteo-France, CNES, IPEV, PNRA, CNRS/INSU, NSF, NCAR, Concordia consortium, University of Wyoming, and Purdue University. ECMWF also contributes to the project through computer resources and support and scientific expertise. The two operational polar agencies PNRA and IPEV are thanked for their support at Concordia station. Concordiasi is part of the THORPEX-IPY cluster within the International Polar Year effort.</t>
  </si>
  <si>
    <t>10.1175/JAS-D-12-0274.1</t>
  </si>
  <si>
    <t>211FJ</t>
  </si>
  <si>
    <t>WOS:000323890400018</t>
  </si>
  <si>
    <t>Montgomery, JC; Radford, CA</t>
  </si>
  <si>
    <t>Montgomery, J. C.; Radford, C. A.</t>
  </si>
  <si>
    <t>Contributions of the Leigh Marine Laboratory to marine science, 1962-2012: sensory neuroethology</t>
  </si>
  <si>
    <t>NEW ZEALAND JOURNAL OF MARINE AND FRESHWATER RESEARCH</t>
  </si>
  <si>
    <t>Leigh Laboratory; marine science history; sensory neuroethology; vision; chemosense; electrosense; lateral line; hearing</t>
  </si>
  <si>
    <t>LATERAL-LINE SYSTEM; ELASMOBRANCH ELECTROSENSORY SYSTEM; FISH PAGOTHENIA-BORCHGREVINKI; ANTARCTIC NOTOTHENIOID FISH; PIPER HYPORHAMPHUS-IHI; BANDED KOKOPU; REEF FISHES; NEW-ZEALAND; BRAIN ORGANIZATION; GALAXIAS-FASCIATUS</t>
  </si>
  <si>
    <t>The purpose of this paper is to highlight the contributions of the Leigh Marine Laboratory to sensory neuroethology. A brief summary of the work done at Leigh, or by Leigh staff, is given across each of the main sensory modalities: chemosense, vision and octavolateralis sensory systems (electrosense, flow sensing and hearing). Within this broad overview, three particular areas have been singled out for more in-depth treatment as examples of Leigh research that have made particularly significant contributions to marine science. These three areas are: electrosensory processing, flow sensing and hearing, in particular the role of passive acoustics in orientation and settlement.</t>
  </si>
  <si>
    <t>[Montgomery, J. C.] Univ Auckland, Leigh Marine Lab, Auckland 1, New Zealand; Univ Auckland, Sch Biol Sci, Auckland 1, New Zealand</t>
  </si>
  <si>
    <t>University of Auckland; University of Auckland</t>
  </si>
  <si>
    <t>Montgomery, JC (corresponding author), Univ Auckland, Leigh Marine Lab, Auckland 1, New Zealand.</t>
  </si>
  <si>
    <t>j.montgomery@auckland.ac.nz</t>
  </si>
  <si>
    <t>Montgomery, John/D-4310-2009</t>
  </si>
  <si>
    <t>Montgomery, John/0000-0002-7451-3541; Radford, Craig/0000-0001-7949-9497</t>
  </si>
  <si>
    <t>0028-8330</t>
  </si>
  <si>
    <t>NEW ZEAL J MAR FRESH</t>
  </si>
  <si>
    <t>N. Z. J. Mar. Freshw. Res.</t>
  </si>
  <si>
    <t>10.1080/00288330.2013.803985</t>
  </si>
  <si>
    <t>201LZ</t>
  </si>
  <si>
    <t>WOS:000323144400009</t>
  </si>
  <si>
    <t>Polymeropoulos, ET; Elliott, NG; Wotherspoon, SJ; Frappell, PB</t>
  </si>
  <si>
    <t>Polymeropoulos, Elias T.; Elliott, Nicholas G.; Wotherspoon, Simon J.; Frappell, Peter B.</t>
  </si>
  <si>
    <t>Respirometry: Correcting for Diffusion and Validating the Use of Plastic Multiwell Plates with Integrated Optodes</t>
  </si>
  <si>
    <t>OXYGEN; CELLS</t>
  </si>
  <si>
    <t>Polystyrene multiwell plates with integrated optodes act as multiple closed-system respirometers that enable the simultaneous measurement of oxygen consumption in small animals. However, the diffusion of oxygen through polystyrene needs to be taken into consideration. Here we provide an equation that accounts for the empirically determined rate of oxygen through a polystyrene well when calculating the instantaneous rate of oxygen consumption. Furthermore, we describe a novel method of calibrating a small respirometer for accuracy using micro-osmotic pumps containing an oxygen scavenger, which is delivered at a constant rate and therefore yields a constant rate of oxygen consumption in an airtight system.</t>
  </si>
  <si>
    <t>[Polymeropoulos, Elias T.; Frappell, Peter B.] Univ Tasmania, Sch Zool, Hobart, Tas 7001, Australia; [Polymeropoulos, Elias T.; Elliott, Nicholas G.] CSIRO, Marine &amp; Atmospher Res, Natl Food Futures Flagship, Hobart, Tas 7001, Australia; [Wotherspoon, Simon J.; Frappell, Peter B.] Univ Tasmania, Inst Marine &amp; Antarctic Studies, Hobart, Tas 7001, Australia</t>
  </si>
  <si>
    <t>University of Tasmania; Commonwealth Scientific &amp; Industrial Research Organisation (CSIRO); University of Tasmania</t>
  </si>
  <si>
    <t>Polymeropoulos, ET (corresponding author), Univ Tasmania, Sch Zool, Hobart, Tas 7001, Australia.</t>
  </si>
  <si>
    <t>eliasp@utas.edu.au</t>
  </si>
  <si>
    <t>Wotherspoon, Simon J/B-2390-2013; Polymeropoulos, Elias T/E-9883-2013</t>
  </si>
  <si>
    <t>Wotherspoon, Simon J/0000-0002-6947-4445; Polymeropoulos, Elias Theodor/0000-0002-4816-6005</t>
  </si>
  <si>
    <t>Commonwealth Scientific and Industrial Research Organisation Information and Communication Technologies Centre</t>
  </si>
  <si>
    <t>We thank Brian Taylor, Richard Holmes, and Anthony Sprent for technical support and Loukas Petridis and George Petridis for providing constructive comments. E.T.P. is supported by a scholarship from the Commonwealth Scientific and Industrial Research Organisation Information and Communication Technologies Centre.</t>
  </si>
  <si>
    <t>10.1086/671800</t>
  </si>
  <si>
    <t>208TN</t>
  </si>
  <si>
    <t>WOS:000323702700010</t>
  </si>
  <si>
    <t>Nakada, M; Okuno, J; Ishii, M</t>
  </si>
  <si>
    <t>Nakada, Masao; Okuno, Jun'ichi; Ishii, Masayoshi</t>
  </si>
  <si>
    <t>Twentieth century sea-level rise inferred from tide gauge, geologically derived and thermosteric sea-level changes</t>
  </si>
  <si>
    <t>Twentieth century sea-level rise; Relative sea-level change; Tide gauge; Thermosteric sea-level; Mountain glaciers; Antarctic ice sheet; Greenland ice sheet</t>
  </si>
  <si>
    <t>OCEAN SUBSURFACE TEMPERATURE; GLACIAL-ISOSTATIC-ADJUSTMENT; HOLOCENE; PLEISTOCENE; RECORDS; RATES</t>
  </si>
  <si>
    <t>Relative sea-level (RSL) changes at thirteen sites derived from tide gauge and/or salt-marsh sediment sequences, with information for RSL changes during at least the past similar to 200 years, are used to infer the rates and causes of the global sea-level rise in the twentieth century (pre-satellite era) by incorporating spatially non-uniform thermosteric sea-level change and recent estimates for the melting of mountain glaciers and both polar ice sheets. The main advantage of the method adopted here is that we can avoid a model-dependence in the CIA (glacial isostatic adjustment) correction and any steady tectonic effect depending on each location can be corrected for. We first estimate the acceleration of sea-level rise in the twentieth century at each RSL observation site, and then evaluate the residuals between the sea-level acceleration and thermosteric sea-level rise. The spatially non-uniform residuals are examined to infer the rates of RSL rise due to the melting of mountain glaciers and polar ice sheets. The comparison between the residuals and the predicted rates for the melting wholly supports the estimates for the melting by the Fourth Assessment Report of the Intergovernmental Panel on Climate Change (IPCC 2007 Report), and does not require a significant melting from the Greenland ice sheet. However, the possible equivalent sea-level rise for mountain glaciers and/or Antarctic ice sheet may be similar to 0.3 mm yr(-1) larger than the preferred estimate by IPCC 2007 Report (similar to 0.7 mm yr(-1)), and the total one is similar to 1.0 mm yr(-1). The additional melting for similar to 0.3 mm yr(-1) is due to the comparison mainly for Brest with long tide gauge records of similar to 200 years. Also, the present study indicates that the global mean thermosteric sea-level rise before the rapid sea-level acceleration occurred at 1990 is similar to 0.3 mm yr(-1). (c) 2013 Elsevier Ltd. All rights reserved.</t>
  </si>
  <si>
    <t>[Nakada, Masao] Kyushu Univ, Fac Sci, Dept Earth &amp; Planetary Sci, Fukuoka 8128581, Japan; [Okuno, Jun'ichi] Natl Inst Polar Res, Tachikawa, Tokyo 1908518, Japan; [Ishii, Masayoshi] Japan Meteorol Agcy, Meteorol Res Inst, Tsukuba, Ibaraki 3050052, Japan</t>
  </si>
  <si>
    <t>Kyushu University; Research Organization of Information &amp; Systems (ROIS); National Institute of Polar Research (NIPR) - Japan; Meteorological Research Institute - Japan; Japan Meteorological Agency</t>
  </si>
  <si>
    <t>Nakada, M (corresponding author), Kyushu Univ, Fac Sci, Dept Earth &amp; Planetary Sci, Fukuoka 8128581, Japan.</t>
  </si>
  <si>
    <t>mnakada@geo.kyushu-u.ac.jp</t>
  </si>
  <si>
    <t>Japanese Ministry of Education, Science and Culture [22540440, 25400455]; Grants-in-Aid for Scientific Research [22540440, 25400455, 23501255] Funding Source: KAKEN</t>
  </si>
  <si>
    <t>Japanese Ministry of Education, Science and Culture(Ministry of Education, Culture, Sports, Science and Technology, Japan (MEXT)); Grants-in-Aid for Scientific Research(Ministry of Education, Culture, Sports, Science and Technology, Japan (MEXT)Japan Society for the Promotion of ScienceGrants-in-Aid for Scientific Research (KAKENHI))</t>
  </si>
  <si>
    <t>We thank W.R. Gehrels and A.C. Kemp for providing digital data of relative sea-level observations, and an anonymous reviewer and the editor (C.V. Murray-Wallace) for their constructive comments. This work was partly supported by the Japanese Ministry of Education, Science and Culture (Grand-in-Aid for Scientific Research No. 22540440 and No. 25400455).</t>
  </si>
  <si>
    <t>10.1016/j.quascirev.2013.06.010</t>
  </si>
  <si>
    <t>205UG</t>
  </si>
  <si>
    <t>WOS:000323469700008</t>
  </si>
  <si>
    <t>Shao, QL; Chen, XY; Huang, RX</t>
  </si>
  <si>
    <t>Shao QiuLi; Chen XianYao; Huang RuiXin</t>
  </si>
  <si>
    <t>Effect of opening the Drake Passage on the oceanic general circulation: A box model study</t>
  </si>
  <si>
    <t>SCIENCE CHINA-EARTH SCIENCES</t>
  </si>
  <si>
    <t>Drake Passage; Antarctic Bottom Water; North Atlantic Deep Water; box model; wind stress; thermal front</t>
  </si>
  <si>
    <t>THERMOHALINE CIRCULATION; GLOBAL CLIMATE; STABILITY; WATER</t>
  </si>
  <si>
    <t>The impacts of opening the Drake Passage (DP) on the oceanic general circulation are examined. When the DP is open, wind stress at mid- and high latitudes gives rise to a wind-driven gyre, which induces a meridional heat exchange between mid- and high latitudes in the Southern Ocean. After the opening of the DP, the Antarctic Circumpolar Current (ACC) forms and its associated strong temperature front blocks the heat transport from mid-latitudes to high latitudes. A simple box model is formulated, in which the effects of the wind stress (for the case of DP closed) and the thermal front (for the case of DP open) on the variability of Antarctic Bottom Water (AABW) and North Atlantic Deep Water (NADW) are explored. The sensitivity experiments demonstrate that: (1) When the DP is closed, the enhancement of the wind-driven gyre leads to the decline of AABW formation in the Southern Ocean and the increase of NADW formation in the North Atlantic. As a result, water in high latitudes of the Southern Ocean becomes warmer, so does the bottom water of global ocean. (2) When the DP is open, there is no formation of AABW until the intensity of thermal front along ACC exceeds a threshold value (it is 4.03A degrees C in our model). Before the formation of AABW, temperature in most of the oceans is higher than that after the formation of AABW, which usually leads to the cooling of high latitudes of the Southern Hemisphere and the bottom water in global ocean. When the strength of the thermal front is lower than the critical value, there is no AABW formation, and temperature in most of the oceans is slightly higher. These results demonstrate that during the opening of the DP, changes in wind stress and the formation of the thermal front in the Southern Ocean can substantially affect the formation of AABW and NADW, thus changing the state of meridional overturning circulation in the global ocean.</t>
  </si>
  <si>
    <t>[Shao QiuLi; Chen XianYao] State Ocean Adm, Key Lab Data Anal &amp; Applicat, Qingdao 266061, Peoples R China; [Shao QiuLi; Chen XianYao] State Ocean Adm, Inst Oceanog 1, Qingdao 266061, Peoples R China; [Huang RuiXin] Woods Hole Oceanog Inst, Woods Hole, MA 02543 USA</t>
  </si>
  <si>
    <t>First Institute of Oceanography, Ministry of Natural Resources; Woods Hole Oceanographic Institution</t>
  </si>
  <si>
    <t>Chen, XY (corresponding author), State Ocean Adm, Key Lab Data Anal &amp; Applicat, Qingdao 266061, Peoples R China.</t>
  </si>
  <si>
    <t>chenxy@fio.org.cn</t>
  </si>
  <si>
    <t>huang, rui/JYP-3898-2024</t>
  </si>
  <si>
    <t>Shao, Qiuli/0000-0003-0784-7653</t>
  </si>
  <si>
    <t>National Basic Research Program of China [2012CB957802]; Chinese Polar Environment Comprehensive Investigation &amp; Assessment Programmes [CHINARE2012-04-04]; Program of International Science and Technology Cooperation [S2011GR0348]; National Natural Science Foundation of China [41176029]</t>
  </si>
  <si>
    <t>National Basic Research Program of China(National Basic Research Program of China); Chinese Polar Environment Comprehensive Investigation &amp; Assessment Programmes; Program of International Science and Technology Cooperation; National Natural Science Foundation of China(National Natural Science Foundation of China (NSFC))</t>
  </si>
  <si>
    <t>We express our sincere gratitude to the members of Key Laboratory of Data Analysis and Applications, SOA, who help greatly in this work. We thank anonymous reviewers for their constructive comments. This work was supported by National Basic Research Program of China (Grant No. 2012CB957802), the Chinese Polar Environment Comprehensive Investigation &amp; Assessment Programmes (Grant No. CHINARE2012-04-04), Program of International Science and Technology Cooperation (Grant No. S2011GR0348), and National Natural Science Foundation of China (Grant No. 41176029).</t>
  </si>
  <si>
    <t>1674-7313</t>
  </si>
  <si>
    <t>SCI CHINA EARTH SCI</t>
  </si>
  <si>
    <t>Sci. China-Earth Sci.</t>
  </si>
  <si>
    <t>10.1007/s11430-012-4571-4</t>
  </si>
  <si>
    <t>209HO</t>
  </si>
  <si>
    <t>WOS:000323746500013</t>
  </si>
  <si>
    <t>Srinivasiah, S; Lovett, J; Polson, S; Bhavsar, J; Ghosh, D; Roy, K; Fuhrmann, JJ; Radosevich, M; Wommack, KE</t>
  </si>
  <si>
    <t>Srinivasiah, Sharath; Lovett, Jacqueline; Polson, Shawn; Bhavsar, Jaysheel; Ghosh, Dhritiman; Roy, Krishnakali; Fuhrmann, Jeffry J.; Radosevich, Mark; Wommack, K. Eric</t>
  </si>
  <si>
    <t>Direct Assessment of Viral Diversity in Soils by Random PCR Amplification of Polymorphic DNA</t>
  </si>
  <si>
    <t>APPLIED AND ENVIRONMENTAL MICROBIOLOGY</t>
  </si>
  <si>
    <t>MICROBIAL COMMUNITIES; RAPD ANALYSIS; LAND-USE; METAGENOMIC CHARACTERIZATION; VIRIOPLANKTON PRODUCTION; ANNEALING TEMPERATURE; SOLUBILIZING BACTERIA; ANTARCTIC SOIL; DIESEL OIL; VIRUSES</t>
  </si>
  <si>
    <t>Viruses are the most abundant and diverse biological entities within soils, yet their ecological impact is largely unknown. Defining how soil viral communities change with perturbation or across environments will contribute to understanding the larger ecological significance of soil viruses. A new approach to examining the composition of soil viral communities based on random PCR amplification of polymorphic DNA (RAPD-PCR) was developed. A key methodological improvement was the use of viral metagenomic sequence data for the design of RAPD-PCR primers. This metagenomically informed approach to primer design enabled the optimization of RAPD-PCR sensitivity for examining changes in soil viral communities. Initial application of RAPD-PCR viral fingerprinting to soil viral communities demonstrated that the composition of autochthonous soil viral assemblages noticeably changed over a distance of meters along a transect of Antarctic soils and across soils subjected to different land uses. For Antarctic soils, viral assemblages segregated upslope from the edge of dry valley lakes. In the case of temperate soils at the Kellogg Biological Station, viral communities clustered according to land use treatment. In both environments, soil viral communities changed along with environmental factors known to shape the composition of bacterial host communities. Overall, this work demonstrates that RAPD-PCR fingerprinting is an inexpensive, high-throughput means for addressing first-order questions of viral community dynamics within environmental samples and thus fills a methodological gap between narrow single-gene approaches and comprehensive shotgun metagenomic sequencing for the analysis of viral community diversity.</t>
  </si>
  <si>
    <t>[Srinivasiah, Sharath; Lovett, Jacqueline; Polson, Shawn; Bhavsar, Jaysheel; Wommack, K. Eric] Univ Delaware, Delaware Biotechnol Inst, Newark, DE 19716 USA; [Fuhrmann, Jeffry J.] Univ Delaware, Dept Plant &amp; Soil Sci, Newark, DE 19717 USA; [Ghosh, Dhritiman; Roy, Krishnakali; Radosevich, Mark] Univ Tennessee, Biosyst Engn &amp; Soil Sci Dept, Knoxville, TN USA</t>
  </si>
  <si>
    <t>University of Delaware; University of Delaware; University of Tennessee System; University of Tennessee Knoxville; UT Institute of Agriculture</t>
  </si>
  <si>
    <t>Wommack, KE (corresponding author), Univ Delaware, Delaware Biotechnol Inst, Newark, DE 19716 USA.</t>
  </si>
  <si>
    <t>wommack@dbi.udel.edu</t>
  </si>
  <si>
    <t>Polson, Shawn W./B-7696-2011</t>
  </si>
  <si>
    <t>Polson, Shawn W./0000-0002-3398-6932</t>
  </si>
  <si>
    <t>National Research Initiative competitive grant from the USDA Co-operative State Research, Education, and Extension Service [2005-35107-15214, 2007-35319-18432]; NSF Long-Term Ecological Research Program at the Kellogg Biological Station; Michigan Agricultural Experiment Station; Direct For Biological Sciences; Division Of Environmental Biology [1027253] Funding Source: National Science Foundation</t>
  </si>
  <si>
    <t>National Research Initiative competitive grant from the USDA Co-operative State Research, Education, and Extension Service; NSF Long-Term Ecological Research Program at the Kellogg Biological Station; Michigan Agricultural Experiment Station; Direct For Biological Sciences; Division Of Environmental Biology(National Science Foundation (NSF)NSF - Directorate for Biological Sciences (BIO))</t>
  </si>
  <si>
    <t>This project was supported by National Research Initiative competitive grant no. 2005-35107-15214 and 2007-35319-18432 from the USDA Co-operative State Research, Education, and Extension Service. Support for this research was also provided by the NSF Long-Term Ecological Research Program at the Kellogg Biological Station and by the Michigan Agricultural Experiment Station.</t>
  </si>
  <si>
    <t>0099-2240</t>
  </si>
  <si>
    <t>1098-5336</t>
  </si>
  <si>
    <t>APPL ENVIRON MICROB</t>
  </si>
  <si>
    <t>Appl. Environ. Microbiol.</t>
  </si>
  <si>
    <t>10.1128/AEM.00268-13</t>
  </si>
  <si>
    <t>205DO</t>
  </si>
  <si>
    <t>WOS:000323421900003</t>
  </si>
  <si>
    <t>Previdi, M; Smith, KL; Polvani, LM</t>
  </si>
  <si>
    <t>Previdi, Michael; Smith, Karen L.; Polvani, Lorenzo M.</t>
  </si>
  <si>
    <t>The Antarctic Atmospheric Energy Budget. Part I: Climatology and Intraseasonal-to-Interannual Variability</t>
  </si>
  <si>
    <t>Antarctica; Annular mode; ENSO; Energy budget; balance; Satellite observations; Reanalysis data</t>
  </si>
  <si>
    <t>SOUTHERN-OSCILLATION; SURFACE; ECMWF; STRATOSPHERE; CONSERVATION; OCEAN</t>
  </si>
  <si>
    <t>The authors present a new, observationally based estimate of the atmospheric energy budget for the Antarctic polar cap (the region poleward of 70 degrees S). This energy budget is constructed using state-of-the-art reanalysis products from ECMWF [the ECMWF Interim Re-Analysis (ERA-Interim)] and Clouds and the Earth's Radiant Energy System (CERES) top-of-atmosphere (TOA) radiative fluxes for the period 2001-10. The climatological mean Antarctic energy budget is characterized by an approximate balance between the TOA net outgoing radiation and the horizontal convergence of atmospheric energy transport, with the net surface energy flux and atmospheric energy storage generally being small in comparison. Variability in the energy budget on intraseasonal-to-interannual time scales bears a strong signature of the southern annular mode (SAM), with El Nino-Southern Oscillation (ENSO) having a smaller impact. The energy budget framework is shown to be a useful alternative to the SAM for interpreting surface climate variability in the Antarctic region.</t>
  </si>
  <si>
    <t>[Previdi, Michael; Smith, Karen L.; Polvani, Lorenzo M.] Columbia Univ, Lamont Doherty Earth Observ, Palisades, NY 10964 USA; [Polvani, Lorenzo M.] Columbia Univ, Dept Appl Phys &amp; Appl Math, New York, NY USA; [Polvani, Lorenzo M.] Columbia Univ, Dept Earth &amp; Environm Sci, New York, NY USA</t>
  </si>
  <si>
    <t>Columbia University; Columbia University; Columbia University</t>
  </si>
  <si>
    <t>Previdi, M (corresponding author), Columbia Univ, Lamont Doherty Earth Observ, 61 Route 9W, Palisades, NY 10964 USA.</t>
  </si>
  <si>
    <t>mprevidi@ldeo.columbia.edu</t>
  </si>
  <si>
    <t>Keyes, Dennis/AAZ-9285-2021; Polvani, Lorenzo M/E-5949-2011</t>
  </si>
  <si>
    <t>NSF Antarctic Sciences program [ANT 09-44063]; Office of Polar Programs (OPP); Directorate For Geosciences [0944063] Funding Source: National Science Foundation</t>
  </si>
  <si>
    <t>NSF Antarctic Sciences program; Office of Polar Programs (OPP); Directorate For Geosciences(National Science Foundation (NSF)NSF - Directorate for Geosciences (GEO))</t>
  </si>
  <si>
    <t>We thank three anonymous reviewers whose comments helped strengthen the manuscript. We gratefully acknowledge support from the NSF Antarctic Sciences program, ANT 09-44063. We thank Dennis Shea and John Fasullo for providing the CERES surface radiative fluxes.</t>
  </si>
  <si>
    <t>10.1175/JCLI-D-12-00640.1</t>
  </si>
  <si>
    <t>205AK</t>
  </si>
  <si>
    <t>WOS:000323412300012</t>
  </si>
  <si>
    <t>Morrow, E; Mitrovica, JX; Sterenborg, MG; Harig, C</t>
  </si>
  <si>
    <t>Morrow, E.; Mitrovica, J. X.; Sterenborg, M. G.; Harig, C.</t>
  </si>
  <si>
    <t>A Test of Recent Inferences of Net Polar Ice Mass Balance based on Long-Wavelength Gravity</t>
  </si>
  <si>
    <t>Antarctica; Arctic; Ice sheets</t>
  </si>
  <si>
    <t>SEA-LEVEL CHANGE; LAST GLACIAL MAXIMUM; MANTLE VISCOSITY; PLEISTOCENE DEGLACIATION; ZONAL HARMONICS; EARTH; LAGEOS; SHEET; MODEL; ACCELERATION</t>
  </si>
  <si>
    <t>A comprehensive analysis of satellite datasets has estimated that the ice sheets of Greenland, West Antarctica, the Antarctic Peninsula, and East Antarctica experienced a net mass loss of -100 +/- 92 Gt yr(-1) over the period 1992-2000 and -298 +/- 58 Gt yr(-1) over the period 2000-11, representing an increase of -198 +/- 109 Gt yr(-1) between the two epochs. The authors demonstrate that the time rate of change of the degree-four zonal harmonic of Earth's gravitational potential provides an independent check on these mass balances that is less sensitive to uncertainties that have contaminated previous analyses of the degree-2 zonal harmonic [e.g., due to ongoing glacial isostatic adjustment (GIA), solid Earth body tides, and core-mantle coupling]. For the period 2000-11, the signal implied by the ice sheet mass flux cited above is (3.8 +/- 0.6) x 10(-11) yr(-1), whereas the change in the harmonic across the two epochs is (2.3 +/- 1.1) x 10(-11) yr(-1). In comparison, using satellite laser ranging (SLR) data, the authors estimate a GIA-corrected value of (3.8 +/- 0.6) x 10(-11) yr(-1) for the epoch 2000-11 and a change across the two epochs of (5.3 +/- 1.6) x 10(-11) yr(-1). The authors conclude that the former supports recent estimates of melting over the last decade, whereas the latter suggests either that estimated melt rates for the earlier epoch were too high or that the uncertainty associated with the SLR-based inference of during the earlier epoch is underestimated.</t>
  </si>
  <si>
    <t>[Morrow, E.; Mitrovica, J. X.] Harvard Univ, Dept Earth &amp; Planetary Sci, Cambridge, MA 02138 USA; [Sterenborg, M. G.; Harig, C.] Princeton Univ, Dept Geosci, Princeton, NJ 08544 USA</t>
  </si>
  <si>
    <t>Harvard University; Princeton University</t>
  </si>
  <si>
    <t>Morrow, E (corresponding author), Harvard Univ, Dept Earth &amp; Planetary Sci, 20 Oxford St, Cambridge, MA 02138 USA.</t>
  </si>
  <si>
    <t>emorrow@fas.harvard.edu</t>
  </si>
  <si>
    <t>Harig, Christopher/B-4714-2009</t>
  </si>
  <si>
    <t>Harig, Christopher/0000-0001-7944-0591</t>
  </si>
  <si>
    <t>Harvard University; Princeton University; Canadian Institute for Advanced Research; Natural Sciences and Engineering Research Council of Canada; NSF [EAR-1014606]</t>
  </si>
  <si>
    <t>Harvard University; Princeton University(Princeton University); Canadian Institute for Advanced Research(Canadian Institute for Advanced Research (CIFAR)); Natural Sciences and Engineering Research Council of Canada(Natural Sciences and Engineering Research Council of Canada (NSERC)CGIAR); NSF(National Science Foundation (NSF))</t>
  </si>
  <si>
    <t>We thank Felix Landerer and two anonymous reviewers for helpful comments and suggestions and Minkang Cheng for providing the time series of SLR zonal harmonics used in the present study. The study was funded by Harvard University, Princeton University, the Canadian Institute for Advanced Research, the Natural Sciences and Engineering Research Council of Canada, and NSF Grant EAR-1014606.</t>
  </si>
  <si>
    <t>10.1175/JCLI-D-13-00078.1</t>
  </si>
  <si>
    <t>WOS:000323412300019</t>
  </si>
  <si>
    <t>Schlensog, M; Green, TGA; Schroeter, B</t>
  </si>
  <si>
    <t>Schlensog, Mark; Green, T. G. Allan; Schroeter, Burkhard</t>
  </si>
  <si>
    <t>Life form and water source interact to determine active time and environment in cryptogams: an example from the maritime Antarctic</t>
  </si>
  <si>
    <t>Chlorophyll fluorescence; Mosses; Lichens; Monitoring; Climate change; Water regime; Antarctica</t>
  </si>
  <si>
    <t>CHLOROPHYLL-A FLUORESCENCE; FIELD-MEASUREMENTS; VICTORIA LAND; CO2 EXCHANGE; MOSS; LICHENS; GROWTH; PHOTOSYNTHESIS; VEGETATION; SOUTHERN</t>
  </si>
  <si>
    <t>Antarctica, with its almost pristine conditions and relatively simple vegetation, offers excellent opportunities to investigate the influence of environmental factors on species performance, such information being crucial if the effects of possible climate change are to be understood. Antarctic vegetation is mainly cryptogamic. Cryptogams are poikilohydric and are only metabolically and photosynthetically active when hydrated. Activity patterns of the main life forms present, bryophytes (10 species, ecto- and endohydric), lichens (5 species) and phanerogams (2 species), were monitored for 21 days using chlorophyll a fluorescence as an indicator of metabolic activity and, therefore, of water regime at a mesic (hydration by meltwater) and a xeric (hydration by precipitation) site on L,onie Island/West Antarctic Peninsula (67A degrees 36'S). Length of activity depended mainly on site and form of hydration. Plants at the mesic site that were hydrated by meltwater were active for long periods, up to 100 % of the measurement period, whilst activity was much shorter at the xeric site where hydration was entirely by precipitation. There were also differences due to life form, with phanerogams and mesic bryophytes being most active and lichens generally much less so. The length of the active period for lichens was longer than in continental Antarctica but shorter than in the more northern Antarctic Peninsula. Light intensity when hydrated was positively related to the length of the active period. High activity species were strongly coupled to the incident light whilst low activity species were active under lower light levels and essentially uncoupled from incident light. Temperatures were little different between sites and also almost identical to temperatures, when active, for lichens in continental and peninsular Antarctica. Gradients in vegetation cover and growth rates across Antarctica are, therefore, not likely to be due to differences in temperature but more likely to the length of the hydrated (active) period. The strong effect on activity of the mode of hydration and the life form, plus the uncoupling from incident light for less active species, all make modelling of vegetation change with climate a more difficult exercise.</t>
  </si>
  <si>
    <t>[Schlensog, Mark; Schroeter, Burkhard] Univ Kiel, Inst Bot, D-24098 Kiel, Germany; [Green, T. G. Allan] Univ Waikato, Hamilton, New Zealand; [Schroeter, Burkhard] Univ Kiel, Leibniz Inst Sci &amp; Math Educ, D-24098 Kiel, Germany; [Green, T. G. Allan] Univ Complutense, Fac Farm, E-28040 Madrid, Spain</t>
  </si>
  <si>
    <t>University of Kiel; University of Waikato; Leibniz Institut fur die Padagogik der Naturwissenschaften und Mathematik an der Universitat Kiel (IPN); University of Kiel; Complutense University of Madrid</t>
  </si>
  <si>
    <t>Schroeter, B (corresponding author), Univ Kiel, Leibniz Inst Sci &amp; Math Educ, Olshausenstr 62, D-24098 Kiel, Germany.</t>
  </si>
  <si>
    <t>schroeter@ipn.uni-kiel.de</t>
  </si>
  <si>
    <t>Deutsche Forschungs-Gemeinschaft [DFG SCHR 473/4-3]; Ramon y Cajal Fellowship at Vegetal II, Farmacia, Universidad Complutense, Madrid, Spain; FRST</t>
  </si>
  <si>
    <t>Deutsche Forschungs-Gemeinschaft(German Research Foundation (DFG)); Ramon y Cajal Fellowship at Vegetal II, Farmacia, Universidad Complutense, Madrid, Spain; FRST(New Zealand Foundation for Research, Science and Technology)</t>
  </si>
  <si>
    <t>B.S. and M.S. gratefully acknowledge financial support by Deutsche Forschungs-Gemeinschaft (DFG SCHR 473/4-3). R.I.L. Smith, Cambridge, UK, is thanked for introduction to the field site at Leonie Island. Logistical and technical support was kindly provided by British Antarctic Survey (Cambridge, UK). Pete Convey, Cambridge, UK, is thanked for critical comments which substantially improved the manuscript. Magdalena Biszczuk, British Antarctic Survey Mapping and Geographic Information Centre, is thanked for preparing the map. T.G.A.G. was supported by Ramon y Cajal Fellowship at Vegetal II, Farmacia, Universidad Complutense, Madrid, Spain, and by FRST grant-Understanding, valuing and protecting Antarctica's unique terrestrial ecosystems: Predicting biocomplexity in Dry Valley ecosystems, during the writing of this paper. All required permits for field work and plant experimentation were obtained from the appropriate Antarctic authorities.</t>
  </si>
  <si>
    <t>10.1007/s00442-013-2608-9</t>
  </si>
  <si>
    <t>206FO</t>
  </si>
  <si>
    <t>WOS:000323504300006</t>
  </si>
  <si>
    <t>Lavers, JL; Bond, AL</t>
  </si>
  <si>
    <t>Lavers, Jennifer L.; Bond, Alexander L.</t>
  </si>
  <si>
    <t>Contaminants in indigenous harvests of apex predators: The Tasmanian Short-tailed Shearwater as a case study</t>
  </si>
  <si>
    <t>ECOTOXICOLOGY AND ENVIRONMENTAL SAFETY</t>
  </si>
  <si>
    <t>Indigenous harvest; Muttonbird; Polychlorinated biphenyls; Puffinus tenuirostris; Trace metals</t>
  </si>
  <si>
    <t>POLYCHLORINATED-BIPHENYLS; BIOMONITORING TOOL; BIRD FEATHERS; PCB EXPOSURE; HEAVY-METAL; MERCURY; ORGANOCHLORINE; ACCUMULATION; SEABIRDS; TISSUES</t>
  </si>
  <si>
    <t>The Short-tailed Shearwater (Puffinus tenuirostris), or muttonbird, migrates between hemispheres and is subject to an annual harvest at its breeding grounds in Tasmania. As top predators, these seabirds are exposed to high concentrations of contaminants. Concentrations of total polychlorinated biphenyls (PCBs) and 22 elements were determined in Short-tailed Shearwater muscle to evaluate the safety of this meat product for human consumption. Among muscle samples, 57 per cent exceeded food safety standards for either lead (&gt; 0.10 mu g/g wet weight (ww)) or copper ( &gt; 0.01 mu g/g ww/kg body mass). All muscle samples had total PCB concentrations below the limit of detection ( &lt; 0.01 mu g/g ww). We also sampled feathers to investigate their utility in predicting internal contaminant burdens. Feather-muscle relationships among elements were generally poor, especially for toxicologically important elements (As, Cd, Hg, Pb), limiting the utility of feathers to monitor internal contaminant concentrations. There are no existing monitoring programs for contaminants in harvested wild birds in Australia, and we urge a greater integration between human and wildlife health studies, especially in remote areas where harvesting wildlife is more prevalent, culturally important, and forms a significant component of human diets. (C) 2013 Elsevier Inc. All rights reserved.</t>
  </si>
  <si>
    <t>[Lavers, Jennifer L.] Univ Tasmania, Inst Marine &amp; Antarctic Studies, Hobart, Tas 7005, Australia; [Lavers, Jennifer L.] Monash Univ, Sch Biol Sci, Clayton, Vic 3800, Australia; [Bond, Alexander L.] Mem Univ Newfoundland, Dept Biol, St John, NF A1B 3X9, Canada</t>
  </si>
  <si>
    <t>University of Tasmania; Monash University; Memorial University Newfoundland</t>
  </si>
  <si>
    <t>Bond, AL (corresponding author), Univ Saskatchewan, Dept Biol, 11 Innovat Blvd, Saskatoon, SK S7N 3H5, Canada.</t>
  </si>
  <si>
    <t>Jennifer.Lavers@monash.edu; alex.bond@usask.ca</t>
  </si>
  <si>
    <t>Lavers, Jennifer/IWM-5417-2023; Lavers, Jennifer/O-4831-2017; Bond, Alexander L/A-3786-2010</t>
  </si>
  <si>
    <t>Lavers, Jennifer/0000-0001-7596-6588; Bond, Alexander/0000-0003-2125-7238</t>
  </si>
  <si>
    <t>Winifred Violet Scott Charitable Trust</t>
  </si>
  <si>
    <t>We thank J. Harris, staff at the Tasmanian Parks and Wildlife Office, and Queen Victoria Museum and Art Gallery (Registration number 2011:2:1) for providing access to specimens. L. Hewa assisted with lab analysis and H. Tassell provided the map. The Winifred Violet Scott Charitable Trust provided funding for this project. This research was approved by the University of Tasmania Animal Ethics Committee (A0010874). We thank H.E. Allen, K.A. Hobson and C. Johnson for comments on earlier drafts and three anonymous reviewers for improving this manuscript.</t>
  </si>
  <si>
    <t>0147-6513</t>
  </si>
  <si>
    <t>1090-2414</t>
  </si>
  <si>
    <t>ECOTOX ENVIRON SAFE</t>
  </si>
  <si>
    <t>Ecotox. Environ. Safe.</t>
  </si>
  <si>
    <t>10.1016/j.ecoenv.2013.05.021</t>
  </si>
  <si>
    <t>189RQ</t>
  </si>
  <si>
    <t>WOS:000322286400011</t>
  </si>
  <si>
    <t>Cheng, WH; Xie, ZQ; Blais, JM; Zhang, PF; Li, M; Yang, CY; Huang, W; Ding, R; Sun, LG</t>
  </si>
  <si>
    <t>Cheng, Wenhan; Xie, Zhouqing; Blais, Jules M.; Zhang, Pengfei; Li, Ming; Yang, Chengyun; Huang, Wen; Ding, Rui; Sun, Liguang</t>
  </si>
  <si>
    <t>Organophosphorus esters in the oceans and possible relation with ocean gyres</t>
  </si>
  <si>
    <t>Organophosphorus esters; Global contamination; Ocean gyres</t>
  </si>
  <si>
    <t>MASS-SPECTROMETRY DETERMINATION; FLAME RETARDANTS; PLASTIC DEBRIS; SURFACE WATERS; ORGANIC POLLUTANTS; INDOOR ENVIRONMENT; MARINE-ENVIRONMENT; NORTH-SEA; ACCUMULATION; PHOSPHATE</t>
  </si>
  <si>
    <t>Four organophosphorus esters (OPEs) were detected in aerosol samples collected in the West Pacific, the Indian Ocean and the Southern Ocean from 2009 to 2010, suggesting their circumpolar and global distribution. In general, the highest concentrations were detected near populated regions in China, Australia and New Zealand. OPE concentrations in the Southern Ocean were about two orders of magnitude lower than those near major continents. Additionally, relatively high OPE concentrations were detected at the Antarctic Peninsula, where several scientific survey stations are located. The four OPEs investigated here are significantly correlated with each other, suggesting they may derive from the same source. In the circumpolar transect, OPE concentrations were associated with ocean gyres in the open ocean. Their concentrations were positively related with average vorticity in the sampling area suggesting that a major source of OPEs may be found in ocean gyres where plastic debris is known to accumulate. (C) 2013 Elsevier Ltd. All rights reserved.</t>
  </si>
  <si>
    <t>[Cheng, Wenhan; Xie, Zhouqing; Li, Ming; Yang, Chengyun; Huang, Wen; Sun, Liguang] Univ Sci &amp; Technol China, Sch Earth &amp; Space Sci, Inst Polar Environm, Hefei, Peoples R China; [Blais, Jules M.] Univ Ottawa, Dept Biol, Lab Anal Nat &amp; Synthet Environm Toxicants, Ottawa, ON K1N 6N5, Canada; [Zhang, Pengfei; Ding, Rui] CUNY City Coll, Dept Earth &amp; Atmospher Sci, New York, NY USA</t>
  </si>
  <si>
    <t>Chinese Academy of Sciences; University of Science &amp; Technology of China, CAS; University of Ottawa; City University of New York (CUNY) System; City College of New York (CUNY)</t>
  </si>
  <si>
    <t>Sun, LG (corresponding author), Univ Sci &amp; Technol China, Sch Earth &amp; Space Sci, Inst Polar Environm, Hefei, Peoples R China.</t>
  </si>
  <si>
    <t>cheng, Wen-Han/I-6377-2012; Ding, Rui/JSL-0652-2023; Blais, Jules/AAV-2321-2020; Zhang, Pengfei/C-2264-2013; xie, zhouqing/P-9661-2019; DING, RUI/P-3018-2019</t>
  </si>
  <si>
    <t>Blais, Jules/0000-0002-7188-3598; Zhang, Pengfei/0000-0002-1765-5965; DING, RUI/0000-0002-3542-3965</t>
  </si>
  <si>
    <t>National Basic Research Program of China (973 Program) [2009CB421605]; Chinese Polar Environment Comprehensive Investigation &amp; Assessment Programs [CHINARE2013-02-02-07]</t>
  </si>
  <si>
    <t>National Basic Research Program of China (973 Program)(National Basic Research Program of China); Chinese Polar Environment Comprehensive Investigation &amp; Assessment Programs</t>
  </si>
  <si>
    <t>This study is supported by the National Basic Research Program of China (973 Program, granted No. 2009CB421605), Chinese Polar Environment Comprehensive Investigation &amp; Assessment Programs (CHINARE2013-02-02-07). The authors thank the crew of the 26th CHINARE for support on sampling.</t>
  </si>
  <si>
    <t>10.1016/j.envpol.2013.05.032</t>
  </si>
  <si>
    <t>191PO</t>
  </si>
  <si>
    <t>WOS:000322425300022</t>
  </si>
  <si>
    <t>Lekunberri, I; Sintes, E; de Corte, D; Yokokawa, T; Herndl, GJ</t>
  </si>
  <si>
    <t>Lekunberri, Itziar; Sintes, Eva; de Corte, Daniele; Yokokawa, Taichi; Herndl, Gerhard J.</t>
  </si>
  <si>
    <t>Spatial patterns of bacterial and archaeal communities along the Romanche Fracture Zone (tropical Atlantic)</t>
  </si>
  <si>
    <t>FEMS MICROBIOLOGY ECOLOGY</t>
  </si>
  <si>
    <t>Bacteria; catalyzed reporter deposition-fluorescence in situ hybridization; deep sea; prokaryotic communities; Romanche Fracture Zone; Thaumarchaeota</t>
  </si>
  <si>
    <t>CATALYZED REPORTER DEPOSITION; IN-SITU HYBRIDIZATION; DEEP-SEA; PICOPLANKTON POPULATIONS; SAR202 BACTERIOPLANKTON; BATHYPELAGIC WATERS; MESOPELAGIC ZONE; CLONE LIBRARIES; MARINE; DIVERSITY</t>
  </si>
  <si>
    <t>The composition of prokaryotic communities was determined in the meso- and bathypelagic waters funneled through the Romanche Fracture Zone (RFZ, 2 degrees 7'S, 31 degrees 79'W to 0 degrees 6'N, 14 degrees 33'W) in the tropical Atlantic. Distinct water masses were identified based on their physical and chemical characteristics. The bacterial and archaeal communities were depth-stratified with a total of 116 and 25 operational taxonomic units (OTUs), respectively, distributed among the distinct water masses as revealed by terminal restriction fragment length polymorphism, and cloning and sequencing. The relative abundance of Thaumarchaeota, determined by catalyzed reporter deposition-fluorescence in situ hybridization, was significantly higher in deeper layers (Antarctic Bottom Water, AABW, &gt; 4000 m depth), contributing up to 31% to the total prokaryotic community, than in the mesopelagic and lower euphotic layer. Although the contribution of SAR11 to bacterial abundance did not increase with depth, SAR202, SAR324, SAR406 and Alteromonas did increase with depth. Terminal restriction fragment length polymorphism analysis revealed successional changes in the bacterial and archaeal community composition of the North Atlantic Deep Water (NADW) with a passage time through the RFZ of c. 4 months but not in the under- and overlying water masses. Our results indicate that specific water masses harbor distinct bacterial and archaeal communities and that the prokaryotic community of the NADW undergoes successional changes in this conduit between the western and eastern Atlantic basin. Apparently, in the absence of major input of organic matter to specific deep-water masses, the indigenous prokaryotic community adapts to subtle physical and biogeochemical changes in the water mass within a time frame of weeks, similar to the reported seasonal changes in surface water prokaryotic communities.</t>
  </si>
  <si>
    <t>[Lekunberri, Itziar; Sintes, Eva; de Corte, Daniele; Herndl, Gerhard J.] Univ Vienna, Dept Marine Biol, Fac Ctr Ecol, A-1090 Vienna, Austria; [Yokokawa, Taichi] Ehime Univ, CMES, Matsuyama, Ehime, Japan; [Herndl, Gerhard J.] Royal Netherlands Inst Sea Res NIOZ, Dept Biol Oceanog, Texel, Netherlands; [Herndl, Gerhard J.] Univ Groningen, CEES, Groningen, Netherlands</t>
  </si>
  <si>
    <t>University of Vienna; Ehime University; Utrecht University; Royal Netherlands Institute for Sea Research (NIOZ); University of Groningen</t>
  </si>
  <si>
    <t>Sintes, E (corresponding author), Univ Vienna, Dept Marine Biol, Fac Ctr Ecol, Althanstr 14, A-1090 Vienna, Austria.</t>
  </si>
  <si>
    <t>eva.sintes@univie.ac.at</t>
  </si>
  <si>
    <t>Herndl, Gerhard J./B-1513-2013; Herndl, Gerhard J./S-3011-2019; De Corte, Daniele/AAB-9103-2021; Lekunberri, Itziar/B-7979-2019; Sintes, Eva/H-8494-2015; Yokokawa, Taichi/C-7063-2008</t>
  </si>
  <si>
    <t>Herndl, Gerhard J./0000-0002-2223-2852; De Corte, Daniele/0000-0002-9782-9821; Lekunberri, Itziar/0000-0001-8468-040X; Sintes, Eva/0000-0002-7408-5647; Yokokawa, Taichi/0000-0003-4041-100X</t>
  </si>
  <si>
    <t>European Commission; ESF EuroEEFG project MOCA; Austrian Science Fund (FWF) [I486-B09, P23234-B11]; University of Groningen; Dutch Science Fund (NWO-ALW) project Geotraces; Austrian Science Fund project MOCA; Austrian Science Fund (FWF) [P23234, Z194, I486] Funding Source: Austrian Science Fund (FWF); Austrian Science Fund (FWF) [I 486, Z 194, P 23234] Funding Source: researchfish</t>
  </si>
  <si>
    <t>European Commission(European Union (EU)European Commission Joint Research Centre); ESF EuroEEFG project MOCA; Austrian Science Fund (FWF)(Austrian Science Fund (FWF)); University of Groningen; Dutch Science Fund (NWO-ALW) project Geotraces; Austrian Science Fund project MOCA; Austrian Science Fund (FWF)(Austrian Science Fund (FWF)); Austrian Science Fund (FWF)(Austrian Science Fund (FWF))</t>
  </si>
  <si>
    <t>We thank the captain and crew of RV Pelagia for their support and the splendid atmosphere onboard, and H. Agogue and M. Brink for analyzing the DNA samples. I. L. was supported by the Marie Curie Fellowship project 'CAENEUS' of the European Commission. E. S. and lab work were supported by the ESF EuroEEFG project MOCA and the Austrian Science Fund (FWF) projects: I486-B09 and P23234-B11 to G.J.H. D.D.C. received a Ph.D. fellowship from the University of Groningen. T.Y. was supported by the Dutch Science Fund (NWO-ALW) project Geotraces. Shiptime was provided by the NWO-ALW project ARCHIMEDES and the ESF-EurEEFG and Austrian Science Fund project MOCA.</t>
  </si>
  <si>
    <t>0168-6496</t>
  </si>
  <si>
    <t>1574-6941</t>
  </si>
  <si>
    <t>FEMS MICROBIOL ECOL</t>
  </si>
  <si>
    <t>FEMS Microbiol. Ecol.</t>
  </si>
  <si>
    <t>10.1111/1574-6941.12142</t>
  </si>
  <si>
    <t>202FW</t>
  </si>
  <si>
    <t>WOS:000323200400011</t>
  </si>
  <si>
    <t>Dziewit, L; Grzesiak, J; Ciok, A; Nieckarz, M; Zdanowski, MK; Bartosik, D</t>
  </si>
  <si>
    <t>Dziewit, Lukasz; Grzesiak, Jakub; Ciok, Anna; Nieckarz, Marta; Zdanowski, Marek K.; Bartosik, Dariusz</t>
  </si>
  <si>
    <t>Sequence determination and analysis of three plasmids of Pseudomonas sp GLE121, a psychrophile isolated from surface ice of Ecology Glacier (Antarctica)</t>
  </si>
  <si>
    <t>PLASMID</t>
  </si>
  <si>
    <t>Pseudomonas sp GLE121; Psychrophile; Plasmid; Antarctica; Horizontal gene transfer</t>
  </si>
  <si>
    <t>FUNCTIONAL-ANALYSIS; NUCLEOTIDE-SEQUENCE; INITIATOR PROTEIN; ESCHERICHIA-COLI; GENOMIC ANALYSIS; ENTRY EXCLUSION; SYRINGAE; RESISTANCE; DIVERSITY; BACTERIA</t>
  </si>
  <si>
    <t>Pseudomonas sp. GLE121 (a psychrophilic Antarctic strain) carries three plasmids: pGLE121P1 (6899 bp), pGLE121P2 (8330 bp) and pGLE121P3 (39,583 bp). Plasmids pGLE121P1 and pGLE121P2 show significant sequence similarity to members of the IncP-9 and IncP-7 incompatibility groups, respectively, while the largest replicon, pGLE121P3, is highly related to plasmid pNCPPB880-40 of Pseudomonas syringae pathovar tomato NCPPB880. All three plasmids have a narrow host range, limited to members of the genus Pseudomonas. Plasmid pGLE121P3 encodes a conjugal transfer system, while pGLE121P1 carries only a putative MOB module, conserved in many mobilizable plasmids. Plasmid pGLE121P3 contains an additional load of genetic information, including a pair of genes with homology to the rulAB operon, responsible for ultraviolet radiation (UVR) tolerance. Given the increasing UV exposure in Antarctic regions, the expression of these genes is likely to be an important adaptive response. (C) 2013 Elsevier Inc. All rights reserved.</t>
  </si>
  <si>
    <t>[Dziewit, Lukasz; Ciok, Anna; Nieckarz, Marta; Bartosik, Dariusz] Univ Warsaw, Fac Biol, Inst Microbiol, Dept Bacterial Genet, PL-02096 Warsaw, Poland; [Grzesiak, Jakub; Zdanowski, Marek K.] Polish Acad Sci, Inst Biochem &amp; Biophys, PL-02106 Warsaw, Poland</t>
  </si>
  <si>
    <t>University of Warsaw; Polish Academy of Sciences; Institute of Biochemistry &amp; Biophysics - Polish Academy of Sciences</t>
  </si>
  <si>
    <t>Dziewit, L (corresponding author), Univ Warsaw, Fac Biol, Inst Microbiol, Dept Bacterial Genet, Miecznikowa 1, PL-02096 Warsaw, Poland.</t>
  </si>
  <si>
    <t>ldziewit@biol.uw.edu.pl</t>
  </si>
  <si>
    <t>Dziewit, Lukasz/L-1131-2016; Grzesiak, Jakub/ABD-5209-2020</t>
  </si>
  <si>
    <t>Dziewit, Lukasz/0000-0002-5057-2811; Nieckarz, Marta/0000-0002-3813-4923; Szych, Anna/0000-0001-5522-5395; Grzesiak, Jakub/0000-0001-5972-2356; Bartosik, Dariusz/0000-0002-3589-8864</t>
  </si>
  <si>
    <t>National Science Center, Poland [N N304 106940]</t>
  </si>
  <si>
    <t>National Science Center, Poland(National Science Centre, Poland)</t>
  </si>
  <si>
    <t>We acknowledge R. Matlakowska and A. Sklodowska (Laboratory of Environmental Pollution Analysis, University of Warsaw) for providing the strains: Stenotrophomonas sp. LM24, Pseudomonas sp. ZM2 and Pseudomonas aeruginosa LM10. This work was supported by the National Science Center, Poland (grant N N304 106940).</t>
  </si>
  <si>
    <t>0147-619X</t>
  </si>
  <si>
    <t>1095-9890</t>
  </si>
  <si>
    <t>Plasmid</t>
  </si>
  <si>
    <t>10.1016/j.plasmid.2013.05.007</t>
  </si>
  <si>
    <t>Genetics &amp; Heredity; Microbiology</t>
  </si>
  <si>
    <t>198NW</t>
  </si>
  <si>
    <t>WOS:000322930600010</t>
  </si>
  <si>
    <t>Liu, CL; Kirchengast, G; Zhang, KF; Norman, R; Li, Y; Zhang, SC; Carter, B; Fritzer, J; Schwaerz, M; Choy, SL; Wu, SQ; Tan, ZX</t>
  </si>
  <si>
    <t>Liu, C. L.; Kirchengast, G.; Zhang, K. F.; Norman, R.; Li, Y.; Zhang, S. C.; Carter, B.; Fritzer, J.; Schwaerz, M.; Choy, S. L.; Wu, S. Q.; Tan, Z. X.</t>
  </si>
  <si>
    <t>Characterisation of residual ionospheric errors in bending angles using GNSS RO end-to-end simulations</t>
  </si>
  <si>
    <t>Residual ionospheric errors; Bending angle; GNSS; Radio occultation</t>
  </si>
  <si>
    <t>RADIO OCCULTATION DATA; CLIMATE MONITORING UTILITY; ATMOSPHERE; VALIDATION; INVERSION; PROFILES; WEATHER; MODEL; MARS</t>
  </si>
  <si>
    <t>Global Navigation Satellite System (GNSS) radio occultation (RO) is an innovative meteorological remote sensing technique for measuring atmospheric parameters such as refractivity, temperature, water vapour and pressure for the improvement of numerical weather prediction (NWP) and global climate monitoring (GCM). GNSS RO has many unique characteristics including global coverage, long-term stability of observations, as well as high accuracy and high vertical resolution of the derived atmospheric profiles. One of the main error sources in GNSS RO observations that significantly affect the accuracy of the derived atmospheric parameters in the stratosphere is the ionospheric error. In order to mitigate the effect of this error, the linear ionospheric correction approach for dual-frequency GNSS RO observations is commonly used. However, the residual ionospheric errors (RIEs) can be still significant, especially when large ionospheric disturbances occur and prevail such as during the periods of active space weather. In this study, the RIEs were investigated under different local time, propagation direction and solar activity conditions and their effects on RO bending angles are characterised using end-to-end simulations. A three-step simulation study was designed to investigate the characteristics of the RIEs through comparing the bending angles with and without the effects of the RIEs. This research forms an important step forward in improving the accuracy of the atmospheric profiles derived from the GNSS RO technique. (C) 2013 COSPAR. Published by Elsevier Ltd. All rights reserved.</t>
  </si>
  <si>
    <t>[Liu, C. L.; Zhang, K. F.; Tan, Z. X.] China Univ Min &amp; Technol, Key Lab Land Environm &amp; Disaster Monitoring SBSM, Xuzhou 221116, Peoples R China; [Liu, C. L.; Zhang, K. F.; Norman, R.; Li, Y.; Zhang, S. C.; Carter, B.; Choy, S. L.; Wu, S. Q.] RMIT Univ, Space Res Ctr, Melbourne, Vic 3001, Australia; [Kirchengast, G.; Fritzer, J.; Schwaerz, M.] Graz Univ, Wegener Ctr Climate &amp; Global Change, A-8010 Graz, Austria; [Kirchengast, G.; Fritzer, J.; Schwaerz, M.] Graz Univ, Inst Phys, Inst Geophys Astrophys &amp; Meteorol, A-8010 Graz, Austria</t>
  </si>
  <si>
    <t>China University of Mining &amp; Technology; Royal Melbourne Institute of Technology (RMIT); Melbourne Genomics Health Alliance; University of Graz; University of Graz</t>
  </si>
  <si>
    <t>Liu, CL (corresponding author), RMIT SPACE Res Ctr, GPO Box 2476, Melbourne, Vic 3001, Australia.</t>
  </si>
  <si>
    <t>liucongliang1985@gmail.com</t>
  </si>
  <si>
    <t>Carter, Brett/J-2224-2012; zhang, ke/AAH-8217-2019; Choy, Suelynn/R-5975-2019; Kirchengast, Gottfried/D-4990-2016; Zhang, Kefei/R-5239-2019; Zhang, Shaocheng/C-9628-2012</t>
  </si>
  <si>
    <t>Carter, Brett/0000-0003-4881-3345; Choy, Suelynn/0000-0003-3519-1479; Kirchengast, Gottfried/0000-0001-9187-937X; Zhang, Shaocheng/0000-0002-5379-8293; Norman, Robert/0000-0001-8306-9588</t>
  </si>
  <si>
    <t>Priority Academic Program Development of Jiangsu Higher Education Institutions (PAPD); Australian Space Research Program (ASRP); Australian Research Council (ARC) [LP0883288]; Australian Antarctic Division project [4159]; CAS/SAFEA International Partnership Program for Creative Research Teams [KZZD-EW-TZ-05]; European Space Agency (ESA) projects OPSGRAS and MMValRO; Australian Research Council [LP0883288] Funding Source: Australian Research Council</t>
  </si>
  <si>
    <t>Priority Academic Program Development of Jiangsu Higher Education Institutions (PAPD); Australian Space Research Program (ASRP); Australian Research Council (ARC)(Australian Research Council); Australian Antarctic Division project; CAS/SAFEA International Partnership Program for Creative Research Teams(Chinese Academy of Sciences); European Space Agency (ESA) projects OPSGRAS and MMValRO; Australian Research Council(Australian Research Council)</t>
  </si>
  <si>
    <t>This research is partially supported by A Project Funded by the Priority Academic Program Development of Jiangsu Higher Education Institutions (PAPD) led by CUMT. The research at SPACE/RMIT is supported by the Australian Space Research Program (ASRP) and the Australian Research Council (ARC) (LP0883288) projects, the Australian Antarctic Division project (no. 4159) and the CAS/SAFEA International Partnership Program for Creative Research Teams (Grant No. KZZD-EW-TZ-05). The research at WEGC is supported by the European Space Agency (ESA) projects OPSGRAS and MMValRO.</t>
  </si>
  <si>
    <t>10.1016/j.asr.2013.05.021</t>
  </si>
  <si>
    <t>WOS:000323857700005</t>
  </si>
  <si>
    <t>Tosolini, AMP; Cantrill, DJ; Francis, JE</t>
  </si>
  <si>
    <t>Tosolini, Anne-Marie P.; Cantrill, David J.; Francis, Jane E.</t>
  </si>
  <si>
    <t>Paleocene flora from Seymour Island, Antarctica: revision of Dusen's (1908) angiosperm taxa</t>
  </si>
  <si>
    <t>ALCHERINGA</t>
  </si>
  <si>
    <t>Paleocene; Antarctica; Gondwana; polar; leaf flora; angiosperm; foliar physiognomy</t>
  </si>
  <si>
    <t>GONDWANAN POLAR FORESTS; LA MESETA FORMATION; KING GEORGE ISLAND; JAMES-ROSS-ISLAND; NOTHOFAGUS NOTHOFAGACEAE; TERTIARY WOOD; FOSSIL WOOD; CRETACEOUS STRATIGRAPHY; PLANT DIVERSITY; SOUTH-AMERICA</t>
  </si>
  <si>
    <t>The Paleocene flora from Seymour Island, Antarctica, is one of the most diverse floras of this age in the Southern Hemisphere. First collected on the Swedish South Polar Expedition (1901-1903), it was described by Dusen in 1908 as having 87 leaf taxa. Forty-seven angiosperm taxa were described and/or illustrated. Many species are based on single specimens, and the flora has not been re-examined in its entirety since it was first described. This study is the first reassessment of the flora updating the original research using current methodologies, and permitting evaluation of the flora in the context of modern ideas on plant evolution and palaeogeography. This paper continues the revision of the material first studied by Dusen; a previous paper described the ferns and gymnosperms; here we describe the angiosperms. The revision is based on the original collections held at the Swedish Museum of Natural History, together with the first major new collections held at the British Antarctic Survey. Among the taxa recognized by Dusen, we recognize only three entire-margined and 11 tooth-margined angiosperms. This revision to 14 species notably lacks the two tropical elements originally described from the flora, Mollinedia seymourensis and Miconiiphyllum austral. Hence, its status as a Mixed Flora' comes into question and influences climatic interpretations based on Gondwanan floras. Anne-Marie Tosolini [a.tosolini@unimelb.edu.au], Department of Earth Sciences, University of Leeds, Leeds LS2 9JT, UK, and Environmental Geoscience, Latrobe University, Victoria, 3086, Australia; David Cantrill [david.cantrill@rbg.vic.gov.au], National Herbarium of Victoria, Royal Botanic Gardens Melbourne, Private Bag 2000, Birdwood Ave, South Yarra, Victoria, 3141, Australia; Jane Francis [j.francis@earth.leeds.ac.uk], Department of Earth Sciences, University of Leeds, Leeds LS2 9JT, UK. Present address: School of Earth Sciences, The University of Melbourne, Victoria 3010, Australia. Received 5.5.2012; revised 13.12.2012; accepted 7.1.2012.</t>
  </si>
  <si>
    <t>[Tosolini, Anne-Marie P.; Francis, Jane E.] Univ Leeds, Dept Earth Sci, Leeds LS2 9JT, W Yorkshire, England; [Tosolini, Anne-Marie P.] La Trobe Univ, Bundoora, Vic 3086, Australia; [Cantrill, David J.] Royal Bot Gardens Melbourne, Natl Herbarium Victoria, S Yarra, Vic 3141, Australia</t>
  </si>
  <si>
    <t>University of Leeds; La Trobe University</t>
  </si>
  <si>
    <t>Tosolini, AMP (corresponding author), Univ Melbourne, Sch Earth Sci, Melbourne, Vic 3010, Australia.</t>
  </si>
  <si>
    <t>a.tosolini@unimelb.edu.au; david.cantrill@rbg.vic.gov.au; j.francis@earth.leeds.ac.uk</t>
  </si>
  <si>
    <t>Tosolini, Anne-Marie P/C-5076-2012; Cantrill, David/R-1415-2019</t>
  </si>
  <si>
    <t>Cantrill, David/0000-0002-1185-4015; Tosolini, Anne-Marie/0000-0001-7341-0703</t>
  </si>
  <si>
    <t>NERC-BAS Antarctic Funding Initiative grant [GR3/G0001]; NERC [NE/I00582X/1] Funding Source: UKRI; Natural Environment Research Council [NE/I00582X/1] Funding Source: researchfish</t>
  </si>
  <si>
    <t>NERC-BAS Antarctic Funding Initiative grant; NERC(UK Research &amp; Innovation (UKRI)Natural Environment Research Council (NERC)); Natural Environment Research Council(UK Research &amp; Innovation (UKRI)Natural Environment Research Council (NERC))</t>
  </si>
  <si>
    <t>Funding of JEF, DJC and the postdoctoral position of AM. T. was funded by the NERC-BAS Antarctic Funding Initiative grant GR3/G0001. All fieldwork to Antarctica was supported by this funding initiative, although specimens from many BAS trips to the region were also analyzed. We would like to thank Dr I. Poole and Crispin Day for helping to collect material in 1999, to Rob Scott in 2000, and also to past BAS (FIDS) geologists for their collections of the Cross Valley flora. Dr Richard Hunt is thanked for assistance with leaf architecture analysis, and drawing and photographic techniques. DJC would like to acknowledge that part of this work was supported when he was employed at the BAS and at the Swedish Museum of Natural History. The Swedish Museum of Natural History is thanked for giving assistance and access to the Nordenskjold Collection. Two anonymous reviewers are acknowledged for helpful comments on the manuscript.</t>
  </si>
  <si>
    <t>0311-5518</t>
  </si>
  <si>
    <t>1752-0754</t>
  </si>
  <si>
    <t>Alcheringa</t>
  </si>
  <si>
    <t>10.1080/03115518.2013.764698</t>
  </si>
  <si>
    <t>187WL</t>
  </si>
  <si>
    <t>WOS:000322152100009</t>
  </si>
  <si>
    <t>Clarke, A</t>
  </si>
  <si>
    <t>Clarke, Andrew</t>
  </si>
  <si>
    <t>Dinosaur Energetics: Setting the Bounds on Feasible Physiologies and Ecologies</t>
  </si>
  <si>
    <t>AMERICAN NATURALIST</t>
  </si>
  <si>
    <t>dinosaur; energetics; growth; metabolism; migration; size; temperature</t>
  </si>
  <si>
    <t>POSTCRANIAL SKELETAL PNEUMATICITY; BASAL METABOLIC-RATE; LIZARD HOME-RANGE; SAUROPOD DINOSAURS; BODY-SIZE; OXYGEN ISOTOPES; AIR-SACS; TERRESTRIAL VERTEBRATES; ONTOGENIC GROWTH; SEXUAL-MATURITY</t>
  </si>
  <si>
    <t>The metabolic status of dinosaurs has long been debated but remains unresolved as no consistent picture has emerged from a range of anatomical and isotopic evidence. Quantitative analysis of dinosaur energetics, based on general principles applicable to all vertebrates, shows that many features of dinosaur lifestyle are compatible with a physiology similar to that of extant lizards, scaled up to dinosaur body masses and temperatures. The analysis suggests that sufficient metabolic scope would have been available to support observed dinosaur growth rates and allow considerable locomotor activity, perhaps even migration. Since at least one dinosaur lineage evolved true endothermy, this study emphasizes there was no single dinosaur physiology. Many small theropods were insulated with feathers and appear to have been partial or full endotherms. Uninsulated small taxa, and all juveniles, presumably would have been ectothermic, with consequent diurnal and seasonal variations in body temperature. In larger taxa, inertial homeothermy would have resulted in warm and stable body temperatures but with a basal metabolism significantly below that of extant mammals or birds of the same size. It would appear that dinosaurs exhibited a range of metabolic levels to match the broad spectrum of ecological niches they occupied.</t>
  </si>
  <si>
    <t>[Clarke, Andrew] British Antarctic Survey, Cambridge CB3 0ET, England; [Clarke, Andrew] Univ E Anglia, Sch Environm Sci, Norwich NR4 7TJ, Norfolk, England</t>
  </si>
  <si>
    <t>UK Research &amp; Innovation (UKRI); Natural Environment Research Council (NERC); NERC British Antarctic Survey; University of East Anglia</t>
  </si>
  <si>
    <t>Clarke, A (corresponding author), British Antarctic Survey, Madingley Rd, Cambridge CB3 0ET, England.</t>
  </si>
  <si>
    <t>accl@bas.ac.uk</t>
  </si>
  <si>
    <t>University of East Anglia; NERC [bas0100025] Funding Source: UKRI; Natural Environment Research Council [bas0100025] Funding Source: researchfish</t>
  </si>
  <si>
    <t>University of East Anglia; NERC(UK Research &amp; Innovation (UKRI)Natural Environment Research Council (NERC)); Natural Environment Research Council(UK Research &amp; Innovation (UKRI)Natural Environment Research Council (NERC))</t>
  </si>
  <si>
    <t>I thank M. Angilletta and two anonymous reviewers for perceptive reviews that helped improve the article significantly. G. Erickson, T. Hubner, and D. Lee were very helpful in answering queries and providing dinosaur growth data. I also thank all those physiologists and paleobiologists with whom I have discussed dinosaur physiology over the years. They will not all agree with the views expressed here, but the discussions have always been rewarding and fun. This work was undertaken supported through an emeritus position at the British Antarctic Survey, Cambridge, and an honorary position at the University of East Anglia.</t>
  </si>
  <si>
    <t>0003-0147</t>
  </si>
  <si>
    <t>AM NAT</t>
  </si>
  <si>
    <t>Am. Nat.</t>
  </si>
  <si>
    <t>10.1086/671259</t>
  </si>
  <si>
    <t>198DF</t>
  </si>
  <si>
    <t>WOS:000322901300004</t>
  </si>
  <si>
    <t>Pereira, AB; Putzke, J</t>
  </si>
  <si>
    <t>Pereira, Antonio B.; Putzke, Jair</t>
  </si>
  <si>
    <t>The Brazilian research contribution to knowledge of the plant communities from Antarctic ice free areas</t>
  </si>
  <si>
    <t>ANAIS DA ACADEMIA BRASILEIRA DE CIENCIAS</t>
  </si>
  <si>
    <t>Scientific publication; Botany; South Shetlands Island; Antarctica</t>
  </si>
  <si>
    <t>KING GEORGE ISLAND; ADMIRALTY BAY; ADDITIONS</t>
  </si>
  <si>
    <t>This work aims to summarize the results of research carried out by Brazilian researchers on the plant communities of Antarctic ice free areas during the last twenty five years. Since 1988 field work has been carried out in Elephant Island, King George Island, Nelson Island and Deception Island. During this period six papers were published on the chemistry of lichens, seven papers on plant taxonomy, five papers on plant biology, two studies on UVB photoprotection, three studies about the relationships between plant communities and bird colonies and eleven papers on plant communities from ice free areas. At the present, Brazilian botanists are researching the plant communities of Antarctic ice free areas in order to understand their relationships to soil microbial communities, the biodiversity, the distribution of the plants populations and their relationship with birds colonies. In addition to these activities, a group of Brazilian researchers are undertaking studies related to Antarctic plant genetic diversity, plant chemistry and their biotechnological applications.</t>
  </si>
  <si>
    <t>[Pereira, Antonio B.] Univ Fed Pampa UNIPAMPA, INCT APA, BR-93000000 Sao Gabriel, RS, Brazil; [Putzke, Jair] Univ Santa Cruz do Sul UNISC, INCT APA, BR-96815900 Santa Cruz Do Sul, RS, Brazil</t>
  </si>
  <si>
    <t>Universidade Federal do Pampa; Universidade de Santa Cruz do Sul</t>
  </si>
  <si>
    <t>Pereira, AB (corresponding author), Univ Fed Pampa UNIPAMPA, INCT APA, Campus Sao Gabriel,Av Antonio Trilha 1847, BR-93000000 Sao Gabriel, RS, Brazil.</t>
  </si>
  <si>
    <t>anbatistape@gmail.com</t>
  </si>
  <si>
    <t>Pereira, Antonio B/I-8201-2014; Putzke, Jair/P-9380-2019</t>
  </si>
  <si>
    <t>Pereira, Antonio B/0000-0003-0368-4594;</t>
  </si>
  <si>
    <t>Brazilian Antarctic Program through the Conselho Nacional de Desenvolvimento Cientifico e Tecnologico (CNPq) [574018/2008]; Fundacao de Amparo a Pesquisa do Estado do Rio de Janeiro (FAPERJ) [E-26/170.023/2008]; Ministry of Environment - MMA; Ministry of Science, Technology and Innovation - MCTI; CIRM</t>
  </si>
  <si>
    <t>Brazilian Antarctic Program through the Conselho Nacional de Desenvolvimento Cientifico e Tecnologico (CNPq)(Conselho Nacional de Desenvolvimento Cientifico e Tecnologico (CNPQ)); Fundacao de Amparo a Pesquisa do Estado do Rio de Janeiro (FAPERJ)(Fundacao Carlos Chagas Filho de Amparo a Pesquisa do Estado do Rio De Janeiro (FAPERJ)); Ministry of Environment - MMA; Ministry of Science, Technology and Innovation - MCTI; CIRM(California Institute for Regenerative Medicine)</t>
  </si>
  <si>
    <t>This work was supported by the Brazilian Antarctic Program through the Conselho Nacional de Desenvolvimento Cientifico e Tecnologico (CNPq process no. 574018/2008), Fundacao de Amparo a Pesquisa do Estado do Rio de Janeiro (FAPERJ process E-26/170.023/2008), Ministry of Environment - MMA, Ministry of Science, Technology and Innovation - MCTI and CIRM.</t>
  </si>
  <si>
    <t>ACAD BRASILEIRA DE CIENCIAS</t>
  </si>
  <si>
    <t>RIO JANEIRO</t>
  </si>
  <si>
    <t>RUA ANFILOFIO DE CARVALHO, 29, 3 ANDAR, 20030-060 RIO JANEIRO, BRAZIL</t>
  </si>
  <si>
    <t>0001-3765</t>
  </si>
  <si>
    <t>1678-2690</t>
  </si>
  <si>
    <t>AN ACAD BRAS CIENC</t>
  </si>
  <si>
    <t>An. Acad. Bras. Cienc.</t>
  </si>
  <si>
    <t>10.1590/S0001-37652013000300008</t>
  </si>
  <si>
    <t>225FS</t>
  </si>
  <si>
    <t>WOS:000324948400009</t>
  </si>
  <si>
    <t>Rodrigo, JS; Anderson, PS</t>
  </si>
  <si>
    <t>Rodrigo, Javier Sanz; Anderson, Philip S.</t>
  </si>
  <si>
    <t>Investigation of the Stable Atmospheric Boundary Layer at Halley Antarctica</t>
  </si>
  <si>
    <t>BOUNDARY-LAYER METEOROLOGY</t>
  </si>
  <si>
    <t>Antarctica; Flux-profile relationships; Local scaling; Mixing length; Stable boundary layer; Richardson number</t>
  </si>
  <si>
    <t>FLUX-PROFILE RELATIONSHIPS; SIMILARITY THEORY; SELF-CORRELATION; RICHARDSON-NUMBER; TURBULENT FLUXES; PRANDTL NUMBER; ICE SHELF; SURFACE; WIND; LENGTHS</t>
  </si>
  <si>
    <t>Boundary-layer measurements from the Brunt Ice Shelf, Antarctica are analyzed to determine flux-profile relationships. Dimensionless quantities are derived in the standard approach from estimates of wind shear, potential temperature gradient, Richardson number, eddy diffusivities for momentum and heat, Prandtl number, mixing length and turbulent kinetic energy. Nieuwstadt local scaling theory for the stable atmospheric boundary-layer appears to work well departing only slightly from expressions found in mid-latitudes. An - single-column model of the stable boundary layer is implemented based on local scaling arguments. Simulations based on the first GEWEX Atmospheric Boundary-Layer Study case study are validated against ensemble-averaged profiles for various stability classes. A stability-dependent function of the dimensionless turbulent kinetic energy allows a better fit to the ensemble profiles.</t>
  </si>
  <si>
    <t>[Rodrigo, Javier Sanz] von Karman Inst, Rhode St Genese, Belgium; [Anderson, Philip S.] British Antarctic Survey, Cambridge CB3 0ET, England; [Anderson, Philip S.] Scottish Assoc Marine Sci, Oban, Argyll, Scotland; [Rodrigo, Javier Sanz] Natl Renewable Energy Ctr Spain CENER, Sarriguren, Spain</t>
  </si>
  <si>
    <t>UK Research &amp; Innovation (UKRI); Natural Environment Research Council (NERC); NERC British Antarctic Survey; UHI Millennium Institute</t>
  </si>
  <si>
    <t>Rodrigo, JS (corresponding author), Natl Renewable Energy Ctr Spain CENER, Sarriguren, Spain.</t>
  </si>
  <si>
    <t>jsrodrigo@cener.com</t>
  </si>
  <si>
    <t>Sanz Rodrigo, Javier/P-9150-2017</t>
  </si>
  <si>
    <t>Sanz Rodrigo, Javier/0000-0003-0291-6429</t>
  </si>
  <si>
    <t>0006-8314</t>
  </si>
  <si>
    <t>1573-1472</t>
  </si>
  <si>
    <t>BOUND-LAY METEOROL</t>
  </si>
  <si>
    <t>Bound.-Layer Meteor.</t>
  </si>
  <si>
    <t>10.1007/s10546-013-9831-0</t>
  </si>
  <si>
    <t>202VH</t>
  </si>
  <si>
    <t>WOS:000323247700005</t>
  </si>
  <si>
    <t>Strobel, A; Leo, E; Pörtner, HO; Mark, FC</t>
  </si>
  <si>
    <t>Strobel, Anneli; Leo, Elettra; Poertner, Hans O.; Mark, Felix C.</t>
  </si>
  <si>
    <t>Elevated temperature and PCO2 shift metabolic pathways in differentially oxidative tissues of Notothenia rossii</t>
  </si>
  <si>
    <t>COMPARATIVE BIOCHEMISTRY AND PHYSIOLOGY B-BIOCHEMISTRY &amp; MOLECULAR BIOLOGY</t>
  </si>
  <si>
    <t>Warm-/ Hypercapnia acclimation; Citrate synthase (CS); Cytochrome c oxidase (COX); Antarctic fish; Aerobic energy metabolism</t>
  </si>
  <si>
    <t>CYTOCHROME-C-OXIDASE; THERMAL-ACCLIMATION; DEPENDENT BIOGEOGRAPHY; PHYSIOLOGICAL-BASIS; ANTARCTIC TELEOST; ENERGY-METABOLISM; ARENICOLA-MARINA; FIBER TYPES; FISH; CAPACITIES</t>
  </si>
  <si>
    <t>Mitochondrial plasticity plays a central role in setting the capacity for acclimation of aerobic metabolism in ectotherms in response to environmental changes. We still lack a clear picture if and to what extent the energy metabolism and mitochondrial enzymes of Antarctic fish can compensate for changing temperatures or PCO2 and whether capacities for compensation differ between tissues. We therefore measured activities of key mitochondrial enzymes (citrate synthase (CS), cytochrome c oxidase (COX)) from heart, red muscle, white muscle and liver in the Antarctic fish Notothenia rossii after warm- (7 degrees C) and hypercapnia- (0.2 kPa CO2) acclimation vs. control conditions (1 degrees C, 0.04 kPa CO2). In heart, enzymes showed elevated activities after cold-hypercapnia acclimation, and a warm-acclimation-induced upward shift in thermal optima. The strongest increase in enzyme activities in response to hypercapnia occurred in red muscle. In white muscle, enzyme activities were temperature-compensated. CS activity in liver decreased after warm-normocapnia acclimation (temperature-compensation), while COX activities were lower after cold- and warm-hypercapnia exposure, but increased after warm-normocapnia acclimation. In conclusion, warm-acclimated N. rossii display low thermal compensation in response to rising energy demand in highly aerobic tissues, such as heart and red muscle. Chronic environmental hypercapnia elicits increased enzyme activities in these tissues, possibly to compensate for an elevated energy demand for acid-base regulation or a compromised mitochondrial metabolism, that is predicted to occur in response to hypercapnia exposure. This might be supported by enhanced metabolisation of liver energy stores. These patterns reflect a limited capacity of N. rossii to reorganise energy metabolism in response to rising temperature and PCO2. (C) 2013 Elsevier Inc. All rights reserved.</t>
  </si>
  <si>
    <t>[Strobel, Anneli; Leo, Elettra; Poertner, Hans O.; Mark, Felix C.] Alfred Wegener Inst Polar &amp; Marine Res, D-27570 Bremerhaven, Germany</t>
  </si>
  <si>
    <t>Strobel, A (corresponding author), Alfred Wegener Inst Polar &amp; Marine Res, Handelshafen 12, D-27570 Bremerhaven, Germany.</t>
  </si>
  <si>
    <t>Anneli.Strobel@awi.de; Elettra.Leo@awi.de; Hans.Poertner@awi.de; Felix.Christopher.Mark@awi.de</t>
  </si>
  <si>
    <t>Pörtner, Hans-O./K-9429-2016; Strobel, Anneli/S-5853-2016; Mark, Felix Christopher/P-4759-2016; Pörtner, Hans-O./ISU-9397-2023</t>
  </si>
  <si>
    <t>Pörtner, Hans-O./0000-0001-6535-6575; Mark, Felix Christopher/0000-0002-5586-6704;</t>
  </si>
  <si>
    <t>Deutsche Forschungsgemeinschaft DFG [PO 278/13-1]; ERASMUS scholarship</t>
  </si>
  <si>
    <t>Deutsche Forschungsgemeinschaft DFG(German Research Foundation (DFG)); ERASMUS scholarship</t>
  </si>
  <si>
    <t>This work was supported by the Deutsche Forschungsgemeinschaft DFG grant PO 278/13-1 to AS, HOP and FCM and by an ERASMUS scholarship to EL We wish to thank the crew of the Carlini Base on King George Island for their valuable technical support and Dr. Stephan Frickenhaus for his statistical support</t>
  </si>
  <si>
    <t>1096-4959</t>
  </si>
  <si>
    <t>1879-1107</t>
  </si>
  <si>
    <t>COMP BIOCHEM PHYS B</t>
  </si>
  <si>
    <t>Comp. Biochem. Physiol. B-Biochem. Mol. Biol.</t>
  </si>
  <si>
    <t>10.1016/j.cbpb.2013.06.006</t>
  </si>
  <si>
    <t>Biochemistry &amp; Molecular Biology; Zoology</t>
  </si>
  <si>
    <t>218TV</t>
  </si>
  <si>
    <t>WOS:000324456300007</t>
  </si>
  <si>
    <t>Roterman, CN; Copley, JT; Linse, KT; Tyler, PA; Rogers, AD</t>
  </si>
  <si>
    <t>Roterman, C. N.; Copley, J. T.; Linse, K. T.; Tyler, P. A.; Rogers, A. D.</t>
  </si>
  <si>
    <t>Development of polymorphic microsatellite loci for three species of vent-endemic megafauna from deep-sea hydrothermal vents in the Scotia Sea, Southern Ocean</t>
  </si>
  <si>
    <t>Microsatellite; Lepetodrilus; Kiwa; Peltospiridae; Peltospirid; Gigantopelta; Hydrothermal vent; Population genetics</t>
  </si>
  <si>
    <t>Microsatellite loci have been developed for three undescribed species discovered at hydrothermal vents on the East Scotia Ridge (ESR) in the Southern Ocean: a yeti crab, Kiwa sp. (Kiwaidae), a species of peltospiroid gastropod and a vent limpet, Lepetodrilus sp. (Lepetodrilidae). Nine, twelve and fourteen loci were developed for the three species respectively, with two loci deviating significantly from Hardy-Weinberg expectations. Observed heterozygosity ranged from 0.08 to 1 (means of 0.62, 0.44 and 0.63 for the three species respectively). These loci are being used to determine connectivity between vents at the northern and southern end of the ESR and between the ESR and the Kemp Caldera, a submerged part of the South Sandwich Island chain. These data will be crucial in understanding the ecology of the first hydrothermal vent communities discovered in the Southern Ocean.</t>
  </si>
  <si>
    <t>[Roterman, C. N.; Rogers, A. D.] Univ Oxford, Dept Zool, Oxford OX1 3PS, England; [Copley, J. T.; Tyler, P. A.] Univ Southampton, Sch Ocean &amp; Earth Sci, Southampton SO14 3ZH, Hants, England; [Linse, K. T.] British Antarctic Survey, Cambridge CB3 0ET, England</t>
  </si>
  <si>
    <t>University of Oxford; NERC National Oceanography Centre; University of Southampton; UK Research &amp; Innovation (UKRI); Natural Environment Research Council (NERC); NERC British Antarctic Survey</t>
  </si>
  <si>
    <t>Roterman, CN (corresponding author), Univ Oxford, Dept Zool, S Parks Rd, Oxford OX1 3PS, England.</t>
  </si>
  <si>
    <t>nicolai@theglide.com</t>
  </si>
  <si>
    <t>Roterman, Christopher/C-7327-2013; Roterman, Christopher Nicolai/AAX-4395-2021; Copley, Jon/I-7076-2012</t>
  </si>
  <si>
    <t>Roterman, Christopher/0000-0002-6636-6078; Roterman, Christopher Nicolai/0000-0002-6636-6078; Copley, Jon/0000-0003-3333-4325; Linse, Katrin/0000-0003-3477-3047; Rogers, Alex David/0000-0002-4864-2980</t>
  </si>
  <si>
    <t>Natural Environment Research Council (NERC) Consortium Grant [NE/DO1249X/1]; NERC PhD studentship [NE/D01429X/1]; Natural Environment Research Council [NE/D010470/2, NE/D01249X/1, bas0100026] Funding Source: researchfish; NERC [NE/D01249X/1, bas0100026, NE/D010470/2] Funding Source: UKRI</t>
  </si>
  <si>
    <t>Natural Environment Research Council (NERC) Consortium Grant(UK Research &amp; Innovation (UKRI)Natural Environment Research Council (NERC)); NERC PhD studentship(UK Research &amp; Innovation (UKRI)Natural Environment Research Council (NERC)); Natural Environment Research Council(UK Research &amp; Innovation (UKRI)Natural Environment Research Council (NERC)); NERC(UK Research &amp; Innovation (UKRI)Natural Environment Research Council (NERC))</t>
  </si>
  <si>
    <t>We'd like to thank the master and crew of the RRS James Cook and the technical crew of ROV ISIS for specimen collection during expedition JC42. Special thanks to Tom Hart, University of Oxford, for crucial input in microsatellite development. Fieldwork and analyses were funded by Natural Environment Research Council (NERC) Consortium Grant (NE/DO1249X/1) and NERC PhD studentship NE/D01429X/1(LH, LM, CNR).</t>
  </si>
  <si>
    <t>10.1007/s12686-013-9921-9</t>
  </si>
  <si>
    <t>WOS:000322619900056</t>
  </si>
  <si>
    <t>Haapkylä, J; Melbourne-Thomas, J; Flavell, M; Willis, BL</t>
  </si>
  <si>
    <t>Haapkylae, J.; Melbourne-Thomas, J.; Flavell, M.; Willis, B. L.</t>
  </si>
  <si>
    <t>Disease outbreaks, bleaching and a cyclone drive changes in coral assemblages on an inshore reef of the Great Barrier Reef</t>
  </si>
  <si>
    <t>CORAL REEFS</t>
  </si>
  <si>
    <t>Coral disease dynamics; Disturbance; Atramentous necrosis; Coral bleaching; Cyclone 'Yasi'; Disease susceptibility</t>
  </si>
  <si>
    <t>BLACK BAND DISEASE; WHITE SYNDROME; CLIMATE-CHANGE; RECOVERY; ISLAND; DYNAMICS; PATTERNS; COMMUNITIES; DISTURBANCE; PREVALENCE</t>
  </si>
  <si>
    <t>Coral disease is a major threat to the resilience of coral reefs; thus, understanding linkages between disease outbreaks and disturbances predicted to increase with climate change is becoming increasingly important. Coral disease surveys conducted twice yearly between 2008 and 2011 at a turbid inshore reef in the central Great Barrier Reef spanned two disturbance events, a coral bleaching event in 2009 and a severe cyclone (cyclone 'Yasi') in 2011. Surveys of coral cover, community structure and disease prevalence throughout this 4-yr study provide a unique opportunity to explore cumulative impacts of disturbance events and disease for inshore coral assemblages. The principal coral disease at the study site was atramentous necrosis (AtN), and it primarily affected the key inshore, reef-building coral Montipora aequituberculata. Other diseases detected were growth anomalies, white syndrome and brown band syndrome. Diseases affected eight coral genera, although Montipora was, by far, the genus mostly affected. The prevalence of AtN followed a clear seasonal pattern, with disease outbreaks occurring only in wet seasons. Mean prevalence of AtN on Montipora spp. (63.8 % +/- A 3.03) was three- to tenfold greater in the wet season of 2009, which coincided with the 2009 bleaching event, than in other years. Persistent wet season outbreaks of AtN combined with the impacts of bleaching and cyclone events resulted in a 50-80 % proportional decline in total coral cover. The greatest losses of branching and tabular acroporids occurred following the low-salinity-induced bleaching event of 2009, and the greatest losses of laminar montiporids occurred following AtN outbreaks in 2009 and in 2011 following cyclone Yasi. The shift to a less diverse coral assemblage and the concomitant loss of structural complexity are likely to have long-term consequences for associated vertebrate and invertebrate communities on Magnetic Island reefs.</t>
  </si>
  <si>
    <t>[Haapkylae, J.; Flavell, M.; Willis, B. L.] James Cook Univ, Sch Marine &amp; Trop Biol, Townsville, Qld 4811, Australia; [Haapkylae, J.; Flavell, M.; Willis, B. L.] James Cook Univ, ARC Ctr Excellence Coral Reef Studies, Townsville, Qld 4811, Australia; [Haapkylae, J.] AIMS JCU, Townsville, Qld 4810, Australia; [Melbourne-Thomas, J.] Univ Tasmania, Antarctic Climate &amp; Ecosyst Cooperat Res Ctr, Hobart, Tas 7001, Australia</t>
  </si>
  <si>
    <t>James Cook University; James Cook University; James Cook University; University of Tasmania; Antarctic Climate &amp; Ecosystems Cooperative Research Centre (ACE CRC)</t>
  </si>
  <si>
    <t>Haapkylä, J (corresponding author), James Cook Univ, Sch Marine &amp; Trop Biol, Townsville, Qld 4811, Australia.</t>
  </si>
  <si>
    <t>anna.haapkyla@my.jcu.edu.au</t>
  </si>
  <si>
    <t>Melbourne-Thomas, Jess/N-2437-2019</t>
  </si>
  <si>
    <t>Melbourne-Thomas, Jess/0000-0001-6585-876X</t>
  </si>
  <si>
    <t>James Cook University; AIMS@JCU; Australian Research Council (ARC)</t>
  </si>
  <si>
    <t>James Cook University; AIMS@JCU; Australian Research Council (ARC)(Australian Research Council)</t>
  </si>
  <si>
    <t>We would like to thank the James Cook University, AIMS@JCU and the Australian Research Council (ARC) for providing funding for this study. We are very grateful to numerous volunteers that helped with fieldwork and to the X-Base Backpackers on Magnetic Island for logistical support during our surveys.</t>
  </si>
  <si>
    <t>0722-4028</t>
  </si>
  <si>
    <t>1432-0975</t>
  </si>
  <si>
    <t>Coral Reefs</t>
  </si>
  <si>
    <t>10.1007/s00338-013-1029-x</t>
  </si>
  <si>
    <t>197TQ</t>
  </si>
  <si>
    <t>WOS:000322874500023</t>
  </si>
  <si>
    <t>Meredith, MP; Schofield, O; Newman, L; Urban, E; Sparrow, M</t>
  </si>
  <si>
    <t>Meredith, Michael P.; Schofield, Oscar; Newman, Louise; Urban, Ed; Sparrow, Michael</t>
  </si>
  <si>
    <t>The vision for a Southern Ocean Observing System</t>
  </si>
  <si>
    <t>CURRENT OPINION IN ENVIRONMENTAL SUSTAINABILITY</t>
  </si>
  <si>
    <t>PINE ISLAND GLACIER; CIRCULATION</t>
  </si>
  <si>
    <t>The Southern Ocean is fundamentally important to the Earth system, influencing global climate, biogeochemical and ecological cycles. Limited observations suggest the Southern Ocean is changing, yet chronic under-sampling makes the causes and consequences of such changes difficult to assess, and limits the effectiveness of any response. A Southern Ocean Observing System (SOOS) is thus being created, to facilitate integration of resources, to enhance data collection and access, and to guide the sustained development of strategic, multidisciplinary science in the Southern Ocean. Here we outline the long-term vision for this system, the gains inherent in its implementation, and how the international community can move towards achieving it.</t>
  </si>
  <si>
    <t>[Meredith, Michael P.] British Antarctic Survey, Cambridge CB3 0ET, Cambs, England; [Schofield, Oscar] Rutgers State Univ, Inst Marine &amp; Coastal Sci, Coastal Ocean Observat Lab, New Brunswick, NJ 08901 USA; [Newman, Louise] Univ Tasmania, Inst Marine &amp; Antarctic Studies, SOOS Int Project Off, Hobart, Tas 7001, Australia; [Urban, Ed] Univ Delaware, Sci Comm Ocean Res SCOR Secretariat, Newark, DE 19716 USA; [Sparrow, Michael] Univ Cambridge, Scott Polar Res Inst, Sci Comm Antarctic Res SCAR Secretariat, Cambridge CB2 1ER, England</t>
  </si>
  <si>
    <t>UK Research &amp; Innovation (UKRI); Natural Environment Research Council (NERC); NERC British Antarctic Survey; Rutgers University System; Rutgers University New Brunswick; University of Tasmania; University of Delaware; University of Cambridge</t>
  </si>
  <si>
    <t>Meredith, MP (corresponding author), British Antarctic Survey, Cambridge CB3 0ET, Cambs, England.</t>
  </si>
  <si>
    <t>mmm@bas.ac.uk</t>
  </si>
  <si>
    <t>Newman, Louise/HNI-7544-2023; Newman, Louise/Q-8592-2019; Schofield, Oscar/H-4169-2018</t>
  </si>
  <si>
    <t>Newman, Louise/0000-0001-9523-8713; Meredith, Michael/0000-0002-7342-7756; Schofield, Oscar/0000-0003-2359-4131; Urban, Edward/0000-0002-6177-5585</t>
  </si>
  <si>
    <t>SCAR; SCOR; Institute for Marine and Antarctic Studies (University of Tasmania, Australia); Australian Antarctic Division and Antarctica New Zealand; NERC [bas0100028] Funding Source: UKRI; Natural Environment Research Council [bas0100028] Funding Source: researchfish</t>
  </si>
  <si>
    <t>SCAR; SCOR; Institute for Marine and Antarctic Studies (University of Tasmania, Australia); Australian Antarctic Division and Antarctica New Zealand; NERC(UK Research &amp; Innovation (UKRI)Natural Environment Research Council (NERC)); Natural Environment Research Council(UK Research &amp; Innovation (UKRI)Natural Environment Research Council (NERC))</t>
  </si>
  <si>
    <t>SOOS is sponsored by SCAR and SCOR, and endorsed by the World Climate Research Programme's Climate and the Crysophere (CliC) and the Climate Variability and Predictability (CLIVAR) projects as well as the Partnership for Observations of the Global Oceans (POGO). The authors also acknowledge the support of the Institute for Marine and Antarctic Studies (University of Tasmania, Australia) for hosting of the SOOS International Project Office (IPO), and the Australian Antarctic Division and Antarctica New Zealand for their sponsorship of the IPO.</t>
  </si>
  <si>
    <t>1877-3435</t>
  </si>
  <si>
    <t>1877-3443</t>
  </si>
  <si>
    <t>CURR OPIN ENV SUST</t>
  </si>
  <si>
    <t>Curr. Opin. Environ. Sustain.</t>
  </si>
  <si>
    <t>10.1016/j.cosust.2013.03.002</t>
  </si>
  <si>
    <t>Green &amp; Sustainable Science &amp; Technology; Environmental Sciences</t>
  </si>
  <si>
    <t>Science &amp; Technology - Other Topics; Environmental Sciences &amp; Ecology</t>
  </si>
  <si>
    <t>235SR</t>
  </si>
  <si>
    <t>WOS:000325741500005</t>
  </si>
  <si>
    <t>Allan, EL; Froneman, PW; Durgadoo, JV; McQuaid, CD; Ansorge, IJ; Richoux, NB</t>
  </si>
  <si>
    <t>Allan, E. Louise; Froneman, P. William; Durgadoo, Jonathan V.; McQuaid, Christopher D.; Ansorge, Isabelle J.; Richoux, Nicole B.</t>
  </si>
  <si>
    <t>Critical indirect effects of climate change on sub-Antarctic ecosystem functioning</t>
  </si>
  <si>
    <t>Climate change; food web; frontal shifts; land-based top predators; Prince Edward Islands; Southern Ocean; stable isotope signatures; sub-Antarctic Front</t>
  </si>
  <si>
    <t>PRINCE-EDWARD-ISLANDS; SHRIMP NAUTICARIS-MARIONIS; SOUTHERN-OCEAN; GROWTH-RATE; PHALACROCORAX-ATRICEPS; CO2 CONCENTRATION; PYGOSCELIS-PAPUA; RECENT TRENDS; FOOD-WEB; FRACTIONATION</t>
  </si>
  <si>
    <t>Sub-Antarctic islands represent critical breeding habitats for land-based top predators that dominate Southern Ocean food webs. Reproduction and molting incur high energetic demands that are sustained at the sub-Antarctic Prince Edward Islands (PEIs) by both inshore (phytoplankton blooms; island mass effect; autochthonous) and offshore (allochthonous) productivity. As the relative contributions of these sustenance pathways are, in turn, affected by oceanographic conditions around the PEIs, we address the consequences of climatically driven changes in the physical environment on this island ecosystem. We show that there has been a measurable long-term shift in the carbon isotope signatures of the benthos inhabiting the shallow shelf region of the PEIs, most likely reflecting a long-term decline in enhanced phytoplankton productivity at the islands in response to a climate-driven shift in the position of the sub-Antarctic Front. Our results indicate that regional climate change has affected the balance between allochthonous and autochthonous productivity at the PEIs. Over the last three decades, inshore-feeding top predators at the islands have shown a marked decrease in their population sizes. Conversely, population sizes of off-shore-feeding predators that forage over great distances from the islands have remained stable or increased, with one exception. Population decline of predators that rely heavily on organisms inhabiting the inshore region strongly suggest changes in prey availability, which are likely driven by factors such as fisheries impacts on some prey populations and shifts in competitive interactions among predators. In addition to these local factors, our analysis indicates that changes in prey availability may also result indirectly through regional climate change effects on the islands' marine ecosystem. Most importantly, our results indicate that a fundamental shift in the balance between allochthonous and autochthonous trophic pathways within this island ecosystem may be detected throughout the food web, demonstrating that the most powerful effects of climate change on marine systems may be indirect.</t>
  </si>
  <si>
    <t>[Allan, E. Louise; Froneman, P. William; McQuaid, Christopher D.; Richoux, Nicole B.] Rhodes Univ, Dept Zool &amp; Entomol, Grahamstown, South Africa; [Durgadoo, Jonathan V.] GEOMAR Helmholtz Zentrum Ozeanforsch Kiel, Kiel, Germany; [Ansorge, Isabelle J.] Univ Cape Town, Marine Res Inst, Dept Oceanog, ZA-7700 Rondebosch, South Africa</t>
  </si>
  <si>
    <t>Rhodes University; Helmholtz Association; GEOMAR Helmholtz Center for Ocean Research Kiel; University of Cape Town</t>
  </si>
  <si>
    <t>Allan, EL (corresponding author), Rhodes Univ, Dept Zool &amp; Entomol, Grahamstown, South Africa.</t>
  </si>
  <si>
    <t>louise.allan@gmail.com</t>
  </si>
  <si>
    <t>Froneman, William/GLS-0460-2022; McQuaid, Christopher/AAT-3725-2020; Froneman, William/C-9085-2012; ANSORGE, ISABELLE/AAY-7396-2020</t>
  </si>
  <si>
    <t>Froneman, William/0000-0003-0615-1355; McQuaid, Christopher/0000-0002-3473-8308; Durgadoo, Jonathan/0000-0001-6297-5178; Richoux, Nicole/0000-0002-9501-6368; Ansorge, Isabelle/0000-0001-7071-8147</t>
  </si>
  <si>
    <t>South African Department of Environmental Affairs and Tourism; National Research Foundation; Rhodes University; Deutscher Akademischer Austausch Dienst; Andrew Mellon Foundation</t>
  </si>
  <si>
    <t>South African Department of Environmental Affairs and Tourism; National Research Foundation; Rhodes University; Deutscher Akademischer Austausch Dienst(Deutscher Akademischer Austausch Dienst (DAAD)); Andrew Mellon Foundation</t>
  </si>
  <si>
    <t>This study was supported by the South African Department of Environmental Affairs and Tourism, the National Research Foundation, and Rhodes University. Additional scholarship funding was provided by Deutscher Akademischer Austausch Dienst and the Andrew Mellon Foundation.</t>
  </si>
  <si>
    <t>10.1002/ece3.678</t>
  </si>
  <si>
    <t>213HL</t>
  </si>
  <si>
    <t>WOS:000324046400018</t>
  </si>
  <si>
    <t>Wilson, LAB; Colombo, M; Hanel, R; Salzburger, W; Sánchez-Villagra, MR</t>
  </si>
  <si>
    <t>Wilson, Laura A. B.; Colombo, Marco; Hanel, Reinhold; Salzburger, Walter; Sanchez-Villagra, Marcelo R.</t>
  </si>
  <si>
    <t>Ecomorphological disparity in an adaptive radiation: opercular bone shape and stable isotopes in Antarctic icefishes</t>
  </si>
  <si>
    <t>Craniofacial bone; ecology; geometric morphometrics; phylogeny; stable isotopes</t>
  </si>
  <si>
    <t>FISH NOTOTHENIA-CORIICEPS; PHARYNGEAL JAW APPARATUS; CICHLID FISH; FUNCTIONAL-MORPHOLOGY; EVOLUTIONARY DIVERSIFICATION; GEOMETRIC MORPHOMETRICS; CHARACTER DISPLACEMENT; FEEDING APPARATUS; MCMURDO SOUND; EARLY BURSTS</t>
  </si>
  <si>
    <t>To assess how ecological and morphological disparity is interrelated in the adaptive radiation of Antarctic notothenioid fish we used patterns of opercle bone evolution as a model to quantify shape disparity, phylogenetic patterns of shape evolution, and ecological correlates in the form of stable isotope values. Using a sample of 25 species including representatives from four major notothenioid clades, we show that opercle shape disparity is higher in the modern fauna than would be expected under the neutral evolution Brownian motion model. Phylogenetic comparative methods indicate that opercle shape data best fit a model of directional selection (Ornstein-Uhlenbeck) and are least supported by the early burst model of adaptive radiation. The main evolutionary axis of opercle shape change reflects movement from a broad and more symmetrically tapered opercle to one that narrows along the distal margin, but with only slight shape change on the proximal margin. We find a trend in opercle shape change along the benthic-pelagic axis, underlining the importance of this axis for diversification in the notothenioid radiation. A major impetus for the study of adaptive radiations is to uncover generalized patterns among different groups, and the evolutionary patterns in opercle shape among notothenioids are similar to those found among other adaptive radiations (three-spined sticklebacks) promoting the utility of this approach for assessing ecomorphological interactions on a broad scale.</t>
  </si>
  <si>
    <t>[Wilson, Laura A. B.; Sanchez-Villagra, Marcelo R.] Palaontol Inst &amp; Museum, CH-8006 Zurich, Switzerland; [Wilson, Laura A. B.] Univ New S Wales, Sch Biol Earth &amp; Environm Sci, Kensington, NSW 2052, Australia; [Colombo, Marco; Salzburger, Walter] Univ Basel, Inst Zool, CH-4051 Basel, Switzerland; [Hanel, Reinhold] Fed Res Inst Rural Areas Forestry &amp; Fisheries, Johann Heinrich von Thunen Inst, Inst Fisheries Ecol, D-22767 Hamburg, Germany</t>
  </si>
  <si>
    <t>University of New South Wales Sydney; University of Basel; Johann Heinrich von Thunen Institute</t>
  </si>
  <si>
    <t>Wilson, LAB (corresponding author), Palaontol Inst &amp; Museum, Karl Schmid Str 4, CH-8006 Zurich, Switzerland.</t>
  </si>
  <si>
    <t>laura.a.b.wilson@gmail.com</t>
  </si>
  <si>
    <t>Hanel, Reinhold/AAO-4887-2021; Salzburger, Walter/G-1598-2011; Wilson, Laura AB/A-4881-2012</t>
  </si>
  <si>
    <t>Salzburger, Walter/0000-0002-9988-1674; Wilson, Laura A.B./0000-0002-3779-8277; Sanchez-Villagra, Marcelo Ricardo/0000-0001-7587-3648</t>
  </si>
  <si>
    <t>Swiss National Fund Sinergia project [CRSII3-136293]; Swiss National Science Fund [PBZHP3_141470]; Swiss National Science Foundation (SNF) [PBZHP3_141470] Funding Source: Swiss National Science Foundation (SNF)</t>
  </si>
  <si>
    <t>Swiss National Fund Sinergia project; Swiss National Science Fund(Swiss National Science Foundation (SNSF)); Swiss National Science Foundation (SNF)(Swiss National Science Foundation (SNSF))</t>
  </si>
  <si>
    <t>This project is supported by the Swiss National Fund Sinergia project granted to W. S., M. R. S.-V. and Heinz Furrer (CRSII3-136293). L. A. B. W. is currently supported by a fellowship from the Swiss National Science Fund (PBZHP3_141470).</t>
  </si>
  <si>
    <t>10.1002/ece3.708</t>
  </si>
  <si>
    <t>WOS:000324046400031</t>
  </si>
  <si>
    <t>Clark, MS; Thorne, MAS; Amaral, A; Vieira, F; Batista, FM; Reis, J; Power, DM</t>
  </si>
  <si>
    <t>Clark, Melody S.; Thorne, Michael A. S.; Amaral, Ana; Vieira, Florbela; Batista, Frederico M.; Reis, Joao; Power, Deborah M.</t>
  </si>
  <si>
    <t>Identification of molecular and physiological responses to chronic environmental challenge in an invasive species: the Pacific oyster, Crassostrea gigas</t>
  </si>
  <si>
    <t>Candidate genes; condition index; energetic trade-offs; mTOR pathway; transcriptional profiling</t>
  </si>
  <si>
    <t>MUSSEL MYTILUS-EDULIS; CLIMATE-CHANGE; OCEAN ACIDIFICATION; SUMMER MORTALITY; GENE-EXPRESSION; EASTERN OYSTERS; CO2 LEVELS; METABOLISM; TEMPERATURE; PROTEIN</t>
  </si>
  <si>
    <t>Understanding the environmental responses of an invasive species is critical in predicting how ecosystem composition may be transformed in the future, especially under climate change. In this study, Crassostrea gigas, a species well adapted to the highly variable intertidal environment, was exposed to the chronic environmental challenges of temperature (19 and 24 degrees C) and pH (ambient seawater and a reduction of 0.4 pH units) in an extended 3-month laboratory-based study. Physiological parameters were measured (condition index, shell growth, respiration, excretion rates, O:N ratios, and ability to repair shell damage) alongside molecular analyses. Temperature was by far the most important stressor, as demonstrated by reduced condition indexes and shell growth at 24 degrees C, with relatively little effect detected for pH. Transcriptional profiling using candidate genes and SOLiD sequencing of mantle tissue revealed that classical stress genes, previously reported to be upregulated under acute temperature challenges, were not significantly expressed in any of the treatments, emphasizing the different response between acute and longer term chronic stress. The transcriptional profiling also elaborated on the cellular responses underpinning the physiological results, including the identification of the PI3K/AKT/mTOR pathway as a potentially novel marker for chronic environmental challenge. This study represents a first attempt to understand the energetic consequences of cumulative thermal stress on the intertidal C.gigas which could significantly impact on coastal ecosystem biodiversity and function in the future.</t>
  </si>
  <si>
    <t>[Clark, Melody S.; Thorne, Michael A. S.] British Antarctic Survey, NERC, Cambridge CB3 0ET, England; [Amaral, Ana; Vieira, Florbela; Reis, Joao; Power, Deborah M.] Univ Algarve, Ctr Marine Sci CCMAR, P-8005139 Faro, Portugal; [Batista, Frederico M.] IPMA, Estacao Expt Moluscicultura Tavira, P-880 Vale Caranguejo, Tavira, Portugal</t>
  </si>
  <si>
    <t>UK Research &amp; Innovation (UKRI); Natural Environment Research Council (NERC); NERC British Antarctic Survey; Universidade do Algarve</t>
  </si>
  <si>
    <t>Clark, MS (corresponding author), British Antarctic Survey, Madingley Rd, Cambridge CB3 0ET, England.</t>
  </si>
  <si>
    <t>mscl@bas.ac.uk</t>
  </si>
  <si>
    <t>Power, Deborah M/D-3333-2011; Batista, Frederico/F-5651-2010; Araujo Amaral, Ana Margarida/M-4717-2013; Clark, Melody/D-7371-2014</t>
  </si>
  <si>
    <t>Power, Deborah M/0000-0003-1366-0246; Batista, Frederico/0000-0002-2848-3011; Araujo Amaral, Ana Margarida/0000-0002-7663-8313; Thorne, Michael/0000-0001-7759-612X; Clark, Melody/0000-0002-3442-3824</t>
  </si>
  <si>
    <t>EU Research Infrastructure Action under the FP7 Capacities Specific Programme, ASSEMBLE [227799, 00415/2010]; Natural Environment Research Council [bas0100025] Funding Source: researchfish; NERC [bas0100025] Funding Source: UKRI</t>
  </si>
  <si>
    <t>EU Research Infrastructure Action under the FP7 Capacities Specific Programme, ASSEMBLE; Natural Environment Research Council(UK Research &amp; Innovation (UKRI)Natural Environment Research Council (NERC)); NERC(UK Research &amp; Innovation (UKRI)Natural Environment Research Council (NERC))</t>
  </si>
  <si>
    <t>This work was supported by an EU Research Infrastructure Action under the FP7 Capacities Specific Programme, ASSEMBLE grant agreement no. 227799, CCMAR Ref 00415/2010.</t>
  </si>
  <si>
    <t>10.1002/ece3.719</t>
  </si>
  <si>
    <t>224ZR</t>
  </si>
  <si>
    <t>Green Published, gold, Green Accepted</t>
  </si>
  <si>
    <t>WOS:000324932600008</t>
  </si>
  <si>
    <t>Chong, CW; Goh, YS; Convey, P; Pearce, D; Tan, IKP</t>
  </si>
  <si>
    <t>Chong, Chun Wie; Goh, Yuh Shan; Convey, Peter; Pearce, David; Tan, Irene Kit Ping</t>
  </si>
  <si>
    <t>Spatial pattern in Antarctica: what can we learn from Antarctic bacterial isolates?</t>
  </si>
  <si>
    <t>Antarctic microbiology; Biodiversity; Psychrophile ecology</t>
  </si>
  <si>
    <t>MCMURDO DRY VALLEYS; 16S RIBOSOMAL-RNA; HYDROCARBON-DEGRADING BACTERIA; SP-NOV.; MICROBIAL DIVERSITY; PSYCHROTOLERANT BACTERIUM; GENE-SEQUENCES; VICTORIA LAND; SIGNY ISLAND; MAT SAMPLE</t>
  </si>
  <si>
    <t>A range of small- to moderate-scale studies of patterns in bacterial biodiversity have been conducted in Antarctica over the last two decades, most suggesting strong correlations between the described bacterial communities and elements of local environmental heterogeneity. However, very few of these studies have advanced interpretations in terms of spatially associated patterns, despite increasing evidence of patterns in bacterial biogeography globally. This is likely to be a consequence of restricted sampling coverage, with most studies to date focusing only on a few localities within a specific Antarctic region. Clearly, there is now a need for synthesis over a much larger spatial to consolidate the available data. In this study, we collated Antarctic bacterial culture identities based on the 16S rRNA gene information available in the literature and the GenBank database (n &gt; 2,000 sequences). In contrast to some recent evidence for a distinct Antarctic microbiome, our phylogenetic comparisons show that a majority (similar to 75 %) of Antarctic bacterial isolates were highly similar (a parts per thousand yen99 % sequence similarity) to those retrieved from tropical and temperate regions, suggesting widespread distribution of eurythermal mesophiles in Antarctic environments. However, across different Antarctic regions, the dominant bacterial genera exhibit some spatially distinct diversity patterns analogous to those recently proposed for Antarctic terrestrial macroorganisms. Taken together, our results highlight the threat of cross-regional homogenisation in Antarctic biodiversity, and the imperative to include microbiota within the framework of biosecurity measures for Antarctica.</t>
  </si>
  <si>
    <t>[Chong, Chun Wie] Int Med Univ, Dept Life Sci, Kuala Lumpur 57000, Malaysia; [Goh, Yuh Shan; Tan, Irene Kit Ping] Univ Malaya, Inst Biol Sci, Kuala Lumpur, Malaysia; [Convey, Peter; Pearce, David] British Antarctic Survey, Ecosyst Programme, Cambridge CB3 0ET, England; [Convey, Peter; Tan, Irene Kit Ping] Univ Malaya, Natl Antarctic Res Ctr, Kuala Lumpur, Malaysia</t>
  </si>
  <si>
    <t>International Medical University Malaysia; Universiti Malaya; UK Research &amp; Innovation (UKRI); Natural Environment Research Council (NERC); NERC British Antarctic Survey; Universiti Malaya</t>
  </si>
  <si>
    <t>Chong, CW (corresponding author), Int Med Univ, Dept Life Sci, Kuala Lumpur 57000, Malaysia.</t>
  </si>
  <si>
    <t>chongchunwie@imu.edu.my</t>
  </si>
  <si>
    <t>Convey, Peter/AAV-5728-2020; Chong, Chun Wie/ABG-7676-2020; Tan, Irene Kit Ping/B-8661-2010</t>
  </si>
  <si>
    <t>Convey, Peter/0000-0001-8497-9903; Chong, Chun Wie/0000-0002-6881-8883; Tan, Irene Kit Ping/0000-0001-9601-5810; Pearce, David/0000-0001-5292-4596</t>
  </si>
  <si>
    <t>University of Malaya (UM) [RG020/09SUS]; UM Postdoctoral Fellowship; NERC [bas0100025] Funding Source: UKRI; Natural Environment Research Council [bas0100025] Funding Source: researchfish</t>
  </si>
  <si>
    <t>University of Malaya (UM)(Universiti Malaya); UM Postdoctoral Fellowship; NERC(UK Research &amp; Innovation (UKRI)Natural Environment Research Council (NERC)); Natural Environment Research Council(UK Research &amp; Innovation (UKRI)Natural Environment Research Council (NERC))</t>
  </si>
  <si>
    <t>This study was supported by University of Malaya (UM) Research Grant RG020/09SUS, and partially supported by UM Postdoctoral Fellowship to Chong Chun Wie. We thank Peter Fretwell (BAS Mapping and Geographic Information Centre) for Fig. 2, and Prof. Aharon Oren and an anonymous reviewer for their constructive comments and suggestions on an earlier version of this paper. This paper contributes to the BAS 'Polar Science for Planet Earth' and SCAR 'Evolution and Biodiversity in Antarctica' research programmes.</t>
  </si>
  <si>
    <t>10.1007/s00792-013-0555-3</t>
  </si>
  <si>
    <t>WOS:000323514400005</t>
  </si>
  <si>
    <t>Che, S; Song, L; Song, WZ; Yang, M; Liu, GM; Lin, XZ</t>
  </si>
  <si>
    <t>Che, Shuai; Song, Lai; Song, Weizhi; Yang, Meng; Liu, Guiming; Lin, Xuezheng</t>
  </si>
  <si>
    <t>Complete Genome Sequence of Antarctic Bacterium Psychrobacter sp. Strain G</t>
  </si>
  <si>
    <t>Here, we report the complete genome sequence of Psychrobacter sp. strain G, isolated from King George Island, Antarctica, which can produce lipolytic enzymes at low temperatures. The genomics information of this strain will facilitate the study of the physiology, cold adaptation properties, and evolution of this genus.</t>
  </si>
  <si>
    <t>[Che, Shuai; Song, Weizhi; Lin, Xuezheng] SOA, Key Lab Marine Bioact Subst, Inst Oceanog 1, Qingdao, Peoples R China; [Song, Lai; Yang, Meng; Liu, Guiming] Chinese Acad Sci, CAS Key Lab &amp; Genom Sci &amp; Informat, Beijing Inst Genom, Beijing, Peoples R China</t>
  </si>
  <si>
    <t>First Institute of Oceanography, Ministry of Natural Resources; Chinese Academy of Sciences; Beijing Institute of Genomics, CAS</t>
  </si>
  <si>
    <t>Lin, XZ (corresponding author), SOA, Key Lab Marine Bioact Subst, Inst Oceanog 1, Qingdao, Peoples R China.</t>
  </si>
  <si>
    <t>liugm@big.ac.cn; linxz@fio.org.cn</t>
  </si>
  <si>
    <t>, Meng/0000-0002-2672-3069; Song, Weizhi/0000-0001-5890-5361</t>
  </si>
  <si>
    <t>National Natural Science Foundation of China [41176174, 40906097]; Public Science and Technology Research Funds Projects of Ocean [201005032-2, 201205020-5]</t>
  </si>
  <si>
    <t>National Natural Science Foundation of China(National Natural Science Foundation of China (NSFC)); Public Science and Technology Research Funds Projects of Ocean</t>
  </si>
  <si>
    <t>This research was supported by the National Natural Science Foundation of China (41176174 and 40906097) and the Public Science and Technology Research Funds Projects of Ocean (201005032-2 and 201205020-5).</t>
  </si>
  <si>
    <t>e00725-13</t>
  </si>
  <si>
    <t>10.1128/genomeA.00725-13</t>
  </si>
  <si>
    <t>VI1AK</t>
  </si>
  <si>
    <t>WOS:000460358500044</t>
  </si>
  <si>
    <t>Koh, HY; Jung, W; Do, H; Lee, SG; Lee, JH; Kim, HJ</t>
  </si>
  <si>
    <t>Koh, Hye Yeon; Jung, Woongsic; Do, Hackwon; Lee, Sung Gu; Lee, Jun Hyuck; Kim, Hak Jun</t>
  </si>
  <si>
    <t>Draft Genome Sequence of Pseudomonas pelagia CL-AP6, a Psychrotolerant Bacterium Isolated from Culture of Antarctic Green Alga Pyramimonas gelidicola</t>
  </si>
  <si>
    <t>Pseudomonas pelagia CL-AP6, isolated from a culture of the Antarctic green alga Pyramimonas gelidicola, is a psychrotolerant bacterium. Here, we report the draft genome sequence of this strain, which may provide insights into the mutualistic interaction between microalgae and bacteria in sea ice, as well as the cold adaptation mechanisms of bacteria.</t>
  </si>
  <si>
    <t>[Koh, Hye Yeon; Jung, Woongsic; Do, Hackwon; Lee, Sung Gu; Lee, Jun Hyuck] Korea Polar Res Inst, Div Polar Life Sci, Incheon, South Korea; [Do, Hackwon; Lee, Sung Gu; Lee, Jun Hyuck] Univ Sci &amp; Technol, Dept Polar Sci, Incheon, South Korea; [Koh, Hye Yeon] Gangneung Wonju Natl Univ, Dept Appl Marine Biotechnol &amp; Engn, Kangnung, South Korea; [Kim, Hak Jun] Pukyong Natl Univ, Dept Chem, Busan, South Korea</t>
  </si>
  <si>
    <t>Korea Polar Research Institute (KOPRI); Kangnung Wonju National University; Pukyong National University</t>
  </si>
  <si>
    <t>Kim, HJ (corresponding author), Pukyong Natl Univ, Dept Chem, Busan, South Korea.</t>
  </si>
  <si>
    <t>afpibp@gmail.com</t>
  </si>
  <si>
    <t>Korea Polar Research Institute [PE13270]</t>
  </si>
  <si>
    <t>The work was supported by a grant from the Korea Polar Research Institute (PE13270).</t>
  </si>
  <si>
    <t>e00699-13</t>
  </si>
  <si>
    <t>10.1128/genomeA.00699-13</t>
  </si>
  <si>
    <t>WOS:000460358500029</t>
  </si>
  <si>
    <t>Dalziel, IWD; Lawver, LA; Pearce, JA; Barker, PF; Hastie, AR; Barfod, DN; Schenke, HW; Davis, MB</t>
  </si>
  <si>
    <t>Dalziel, I. W. D.; Lawver, L. A.; Pearce, J. A.; Barker, P. F.; Hastie, A. R.; Barfod, D. N.; Schenke, H-W.; Davis, M. B.</t>
  </si>
  <si>
    <t>A potential barrier to deep Antarctic circumpolar flow until the late Miocene?</t>
  </si>
  <si>
    <t>SCOTIA SEA; TECTONIC EVOLUTION; OCEAN; TOPOGRAPHY; ORIGIN; ARC</t>
  </si>
  <si>
    <t>The central Scotia Sea, located between the South American and Antarctic plates, is an integral part of the marine conduit that permits eastward deep-water flow from the Pacific Ocean to the Atlantic Ocean. The geologic history of the central Scotia Sea is therefore critical for a full understanding of the initiation and subsequent evolution of the complete, deep Antarctic Circumpolar Current, widely believed to have been a key factor in the history of Antarctic glaciation. Here, we present new evidence on the nature and age of the central Scotia Sea floor. Multibeam surveys and the first dredged samples indicate that a now-submerged remnant volcanic arc may have formed a barrier to deep eastward oceanic circulation until after the mid-Miocene climatic optimum. Inception and development of a full deep Antarctic Circumpolar Current may therefore have been important, not in the drop in global temperatures at the Eocene-Oligocene boundary as long surmised, but in the subsequent late Miocene global cooling and intensification of Antarctic glaciation. [GRAPHICS] .</t>
  </si>
  <si>
    <t>[Dalziel, I. W. D.; Lawver, L. A.; Davis, M. B.] Univ Texas Austin, Inst Geophys, Austin, TX 78758 USA; [Pearce, J. A.; Hastie, A. R.] Cardiff Univ, Sch Earth &amp; Ocean Sci, Cardiff CF10 3AT, S Glam, Wales; [Barker, P. F.] Univ Birmingham, Sch Geog Earth &amp; Environm Sci, Birmingham B15 2TT, W Midlands, England; [Hastie, A. R.] Univ Edinburgh, Sch Geosci, Edinburgh EH9 3JW, Midlothian, Scotland; [Barfod, D. N.] NERC Argon Res Facil, E Kilbride G75 0QF, Lanark, Scotland; [Schenke, H-W.] Alfred Wegener Inst, D-27515 Bremerhaven, Germany</t>
  </si>
  <si>
    <t>University of Texas System; University of Texas Austin; Cardiff University; University of Birmingham; University of Edinburgh; Helmholtz Association; Alfred Wegener Institute, Helmholtz Centre for Polar &amp; Marine Research</t>
  </si>
  <si>
    <t>Dalziel, IWD (corresponding author), Univ Texas Austin, Inst Geophys, 10100 Burnet Rd R2200, Austin, TX 78758 USA.</t>
  </si>
  <si>
    <t>Pearce, Julian A/C-5807-2009; Barfod, Dan/P-1527-2019; Dalziel, Ian W. D./G-5926-2010</t>
  </si>
  <si>
    <t>Barfod, Dan/0000-0001-8934-4034</t>
  </si>
  <si>
    <t>Office of Polar Programs of the U.S. National Science Foundation [0636850]; Natural Environment Research Council (NERC, UK) [NE/F004974/1]; Alfred Wegener Institute, Germany; British Antarctic Survey, NERC; Natural Environment Research Council [aif10001, NE/F004974/1] Funding Source: researchfish; NERC [NE/F004974/1, aif10001] Funding Source: UKRI; Directorate For Geosciences; Office of Polar Programs (OPP) [0636850] Funding Source: National Science Foundation</t>
  </si>
  <si>
    <t>Office of Polar Programs of the U.S. National Science Foundation; Natural Environment Research Council (NERC, UK)(UK Research &amp; Innovation (UKRI)Natural Environment Research Council (NERC)); Alfred Wegener Institute, Germany(Helmholtz Association); British Antarctic Survey, NERC; Natural Environment Research Council(UK Research &amp; Innovation (UKRI)Natural Environment Research Council (NERC)); NERC(UK Research &amp; Innovation (UKRI)Natural Environment Research Council (NERC)); Directorate For Geosciences; Office of Polar Programs (OPP)(National Science Foundation (NSF)NSF - Directorate for Geosciences (GEO))</t>
  </si>
  <si>
    <t>Cruise NBP0805 and the work by Dalziel, Lawver, and Davis were supported by the Office of Polar Programs of the U.S. National Science Foundation under grant 0636850. The work of Pearce, Hastie, and Barfod was funded by the Natural Environment Research Council (NERC, UK) under grant NE/F004974/1 and related analytical facility grants. Some of the multibeam data from the central Scotia Sea were acquired by H-W. Schenke with support from the Alfred Wegener Institute, Germany, and on cruises supported by the British Antarctic Survey, NERC. We thank Captain Mike Watson and the officers and crew of RVIB Nathaniel B. Palmer, and the marine technicians of the Raytheon Polar Services Company, for their support at sea. This contribution is dedicated to our late colleague and friend Peter F. Barker, a pioneer in the unraveling of Scotia arc tectonic history. This is Contribution No. 2570 of the Institute for Geophysics, The University of Texas at Austin.</t>
  </si>
  <si>
    <t>10.1130/G34352.1</t>
  </si>
  <si>
    <t>203FS</t>
  </si>
  <si>
    <t>WOS:000323277300009</t>
  </si>
  <si>
    <t>Mawbey, EM; Lear, CH</t>
  </si>
  <si>
    <t>Mawbey, Elaine M.; Lear, Caroline H.</t>
  </si>
  <si>
    <t>Carbon cycle feedbacks during the Oligocene-Miocene transient glaciation</t>
  </si>
  <si>
    <t>FORAMINIFERAL MG/CA-PALEOTHERMOMETRY; ANTARCTIC ICE-SHEET; TEMPERATURE; BOUNDARY; CLIMATE; OSCILLATIONS; HYPOTHESIS; ATLANTIC; RECORDS; CORAL</t>
  </si>
  <si>
    <t>Ice sheet models suggest that once formed, the large, high-altitude East Antarctic Ice Sheet was relatively self-stabilizing, due to its cold upper surface. The ice sheet hysteresis problem results from an inability to reconcile this expectation with geological evidence for episodes of ice sheet retreat. A classic example of this problem is manifested in benthic foraminiferal oxygen isotope records across the Oligocene-Miocene boundary (ca. 23 Ma), which display a transient similar to 1% excursion to higher values. The inferred increase and subsequent decrease in ice volume has been linked to advance and retreat of the Antarctic ice sheet across the continental shelf. However, oxygen isotope records alone do not provide unambiguous records of temperature and ice volume, hindering assessment of the driving mechanism for these variations. Here we present new benthic foraminiferal Mg/Ca, Li/Ca, and U/Ca records across the Oligocene-Miocene boundary from Ocean Drilling Program Sites 926 and 929. Our records demonstrate that Atlantic bottom-water temperatures varied cyclically, with the main cooling and warming steps followed by ice growth and decay respectively. We suggest that enhanced organic carbon burial acted as a positive feedback as climate cooled. Several lines of evidence suggest that the deglaciation was associated with an input of carbon to the ocean-atmosphere system, culminating in a previously unidentified seafloor dissolution event. We suggest that one of the initial sources of carbon was organic matter oxidation in ocean sediments. This study demonstrates that carbon cycle feed-backs should be considered when evaluating the stability of ancient ice sheets.</t>
  </si>
  <si>
    <t>[Mawbey, Elaine M.; Lear, Caroline H.] Cardiff Univ, Sch Earth &amp; Ocean Sci, Cardiff CF10 3AT, S Glam, Wales</t>
  </si>
  <si>
    <t>Cardiff University</t>
  </si>
  <si>
    <t>Mawbey, EM (corresponding author), Cardiff Univ, Sch Earth &amp; Ocean Sci, Main Bldg,Pk Pl, Cardiff CF10 3AT, S Glam, Wales.</t>
  </si>
  <si>
    <t>learc@cf.ac.uk</t>
  </si>
  <si>
    <t>Lear, Caroline H/D-2582-2009</t>
  </si>
  <si>
    <t>Lear, Caroline/0000-0002-7533-4430</t>
  </si>
  <si>
    <t>NERC [NE/I006427/1]; NERC studentship [NE/F016603/1]; NERC [NE/I006427/1] Funding Source: UKRI; Natural Environment Research Council [NE/I006427/1] Funding Source: researchfish</t>
  </si>
  <si>
    <t>NERC(UK Research &amp; Innovation (UKRI)Natural Environment Research Council (NERC)); NERC studentship(UK Research &amp; Innovation (UKRI)Natural Environment Research Council (NERC)); NERC(UK Research &amp; Innovation (UKRI)Natural Environment Research Council (NERC)); Natural Environment Research Council(UK Research &amp; Innovation (UKRI)Natural Environment Research Council (NERC))</t>
  </si>
  <si>
    <t>This research used samples provided by the Integrated Ocean Drilling Program (IODP). We thank Jim Zachos for providing some washed samples from Sites 929 and 926. Funding was provided by a NERC grant (NE/I006427/1) to Lear and a NERC studentship (NE/F016603/1) to Mawbey. We thank Stephen Conn for the shell weight analysis, Anabel Morte Rodenas for technical assistance, Liselotte Diester-Haass for sharing published data, and Steve Barker, Hugh Jenkyns, Dan Lunt, and Paul Pearson for helpful discussions. This manuscript was improved by the comments of three anonymous reviewers and the editor, Ellen Thomas.</t>
  </si>
  <si>
    <t>10.1130/G34422.1</t>
  </si>
  <si>
    <t>WOS:000323277300013</t>
  </si>
  <si>
    <t>Do Hur, S; Soyol-Erdene, TO; Hwang, HJ; Han, C; Gabrielli, P; Barbante, C; Boutron, CF; Hong, S</t>
  </si>
  <si>
    <t>Do Hur, Soon; Soyol-Erdene, Tseren-Ochir; Hwang, Hee Jin; Han, Changhee; Gabrielli, Paolo; Barbante, Carlo; Boutron, Claude F.; Hong, Sungmin</t>
  </si>
  <si>
    <t>Climate-related variations in atmospheric Sb and Tl in the EPICA Dome C ice (East Antarctica) during the past 800,000 years</t>
  </si>
  <si>
    <t>antimony; thallium; Antarctica; EPICA Dome C ice core; climate change</t>
  </si>
  <si>
    <t>TRACE-ELEMENTS; SEA-ICE; HEAVY-METALS; POLAR SNOW; CORE; RECORD; LEAD; DEPOSITION; EMISSIONS; THALLIUM</t>
  </si>
  <si>
    <t>A record of antimony (Sb) and thallium (Tl) from the European Project for Ice Coring in Antarctica (EPICA) Dome C Antarctic ice core provides the characteristics of climate-related natural changes in concentrations and fluxes of these toxic elements over the time period back to Marine Isotope Stage 20.2, similar to 800kyrB.P. A strong variability in concentrations and fluxes are observed for both elements, with considerably higher values during glacial maxima and lower values during intermediate and warm periods. Rock and soil dust accounts for, on average, 58% of Sb and 76% of Tl in ice during glacial maxima. This contribution remains significant during warm periods, accounting for 21% for Sb and 27% for Tl. The contribution from volcanoes appears to be very important particularly for Tl when climatic conditions become warmer, with an estimated volcanic contribution of 72% for Tl during interglacials. The sea-salt contribution is significant for Sb, particularly during intermediate climatic periods, with an average contribution of 17%. This sea-salt contribution is most likely caused by greater production of sea salt from highly saline frost flowers and relatively more efficient transport of Sb-enriched sea-ice salt from source areas on the East Antarctic Plateau. Our ice core data, along with snow data recently reported from the Antarctic snow layers at Dome Fuji, shows that the present-day Sb flux (6.6ng/m(2)/yr) is approximately double the highest natural level (2.8ng/m(2)/yr) during glacial maxima throughout the last successive eight glacial/interglacial cycles. This result indicates that human activity has induced the greatest perturbation of the atmospheric cycle of Sb ever experienced over a period of similar to 800 kyr in the most remote area on Earth.</t>
  </si>
  <si>
    <t>[Do Hur, Soon; Soyol-Erdene, Tseren-Ochir; Hwang, Hee Jin; Han, Changhee] Korea Polar Res Inst, Inchon, South Korea; [Soyol-Erdene, Tseren-Ochir] Natl Univ Mongolia, Sch Chem &amp; Chem Engn, Ulaanbaatar, Mongolia; [Han, Changhee; Hong, Sungmin] Inha Univ, Dept Ocean Sci, Inchon 402751, South Korea; [Gabrielli, Paolo] Ohio State Univ, Sch Earth Sci, Columbus, OH 43210 USA; [Gabrielli, Paolo] Ohio State Univ, Byrd Polar Res Ctr, Columbus, OH 43210 USA; [Barbante, Carlo] Univ Venice, Dept Environm Sci, I-30123 Venice, Italy; [Boutron, Claude F.] Ecole Natl Super Electrochim &amp; Electrome Grenoble, Thermodynam &amp; Physicochim Met Lab, CNRS, Lab Glaciol &amp; Geophys Environm,UMR 5183, F-38402 St Martin Dheres, France</t>
  </si>
  <si>
    <t>Korea Polar Research Institute (KOPRI); Korea Institute of Ocean Science &amp; Technology (KIOST); National University of Mongolia; Inha University; University System of Ohio; Ohio State University; University System of Ohio; Ohio State University; Universita Ca Foscari Venezia; Centre National de la Recherche Scientifique (CNRS); Communaute Universite Grenoble Alpes; Institut National Polytechnique de Grenoble</t>
  </si>
  <si>
    <t>Hong, S (corresponding author), Inha Univ, Dept Ocean Sci, 100 Inha Ro, Inchon 402751, South Korea.</t>
  </si>
  <si>
    <t>smhong@inha.ac.kr</t>
  </si>
  <si>
    <t>Tseren-Ochir, Soyol-Erdene/P-9364-2015; Barbante, Carlo/B-3195-2011</t>
  </si>
  <si>
    <t>Tseren-Ochir, Soyol-Erdene/0000-0002-6356-1361; Barbante, Carlo/0000-0003-4177-2288</t>
  </si>
  <si>
    <t>European Commission; INHA University [INHA-43829-01]; Polar Academic Program (PAP); KOPRI; KOPRI [PE12070]; National Research Foundation of Korea (NRF); Ministry of Education, Science and Technology [2012R1A1A2001832]</t>
  </si>
  <si>
    <t>European Commission(European Union (EU)European Commission Joint Research Centre); INHA University; Polar Academic Program (PAP); KOPRI(Korea Polar Research Institute of Marine Research Placement (KOPRI)); KOPRI(Korea Polar Research Institute of Marine Research Placement (KOPRI)); National Research Foundation of Korea (NRF)(National Research Foundation of Korea); Ministry of Education, Science and Technology(Ministry of Education, Science &amp; Technology (MEST), Republic of Korea)</t>
  </si>
  <si>
    <t>We wish to thank all the participants in the field at Dome C, East Antarctica. This work is a contribution to the European Project for Ice Coring in Antarctica (EPICA), a joint ESF (European Science Foundation)/EC scientific program (EPICA-MIS), funded by the European Commission and by national contributions from Belgium, Denmark, France, Germany, Italy, Netherlands, Norway, Sweden, Switzerland, and the United Kingdom. This work was supported in South Korea by INHA University research grant INHA-43829-01, funded by Polar Academic Program (PAP), KOPRI, and KOPRI research grant PE12070. This research was also supported by the Basic Science Research Program through the National Research Foundation of Korea (NRF) funded by the Ministry of Education, Science and Technology (2012R1A1A2001832).</t>
  </si>
  <si>
    <t>10.1002/gbc.20079</t>
  </si>
  <si>
    <t>WOS:000325488600028</t>
  </si>
  <si>
    <t>Bajerski, F; Ganzert, L; Mangelsdorf, K; Lipski, A; Busse, HJ; Padur, L; Wagner, D</t>
  </si>
  <si>
    <t>Bajerski, Felizitas; Ganzert, Lars; Mangelsdorf, Kai; Lipski, Andre; Busse, Hans-Juergen; Padur, Lisa; Wagner, Dirk</t>
  </si>
  <si>
    <t>Herbaspirillum psychrotolerans sp nov., a member of the family Oxalobacteraceae from a glacier forefield</t>
  </si>
  <si>
    <t>DEOXYRIBONUCLEIC-ACID; EMENDED DESCRIPTION; DNA; HYBRIDIZATION; DIVERSITY; SEQUENCES; BACTERIA; SOIL</t>
  </si>
  <si>
    <t>A novel psychrotolerant, Gram-negative, shiny white, curved-rod-shaped, facultatively anaerobic bacterium PB1(T) was isolated from a soil sample collected from a glacier forefield of the Larsemann Hills, East Antarctica. Isolate PB1(T) has catalase and low urease activity and hydrolyses gelatin and starch. Strain PB1(T) is able to grow between -5 degrees C and 30 degrees C with optimum growth at 14-20 degrees C. Glycerol, DL-arabinose, D-xylose, D-galactose, D-fructose, D-lyxose, D-fucose and potassium gluconate are used as sole carbon sources. The major quinone is ubiquinone Q-8. The major fatty acids (&gt;10 %) for PB1(T) are C-16:0 (19.1%), C-16:1 omega 7cis (44.6%) and C-18:1 omega 7cis (16.2%). The major polyamines are putrescine [54.9 mu mol (g dry weight)(-1)] and 2-hydroxy putrescine [18.5 mu mol (g dry weight)(-1)]. DNA G+C content is 62.5 mol%. Strain PB1(T) is phylogenetically related to species of the genus Herbaspirillum, with highest 16S rRNA gene sequence similarities to Herbaspirillum canariense (97.3 %), Herbaspirillum aurantiacum (97.2 %), Herbaspirillum soli (97.2 %) and Herbaspirillum frisingense (97.0 %). The DNA-DNA relatedness values were below 30% between PB1(T) and the type strains of Herbaspirillum canariense, Herbaspirillum aurantiacum and Herbaspirillum soli. The different geographical origin of strain PB1(T) from its closest phylogenetic relatives resulted in different phenotypic and genotypic specifications, whereby strain PBT represents a novel species of the genus Herbaspirillum, for which the name Herbaspirillum psychrotolerans is proposed. The type strain is PB1(T) (DSM 26001(T)=LMG 27282(T)).</t>
  </si>
  <si>
    <t>[Bajerski, Felizitas; Padur, Lisa; Wagner, Dirk] Alfred Wegener Inst Polar &amp; Marine Res, Res Dept Potsdam, Bremerhaven, Germany; [Ganzert, Lars] Univ Tromso, Dept Arctic &amp; Marine Biol, Tromso, Norway; [Mangelsdorf, Kai] GFZ German Res Ctr Geosci, Helmholtz Ctr Potsdam, Sect 4 3, Potsdam, Germany; [Lipski, Andre] Univ Bonn, Inst Nutr &amp; Food Sci, Dept Food Microbiol &amp; Hyg, Bonn, Germany; [Busse, Hans-Juergen] Univ Vet Med Vienna, Div Clin Microbiol &amp; Infect Biol, Vienna, Austria; [Wagner, Dirk] GFZ German Res Ctr Geosci, Helmholtz Ctr Potsdam, Sect 4 5, Potsdam, Germany</t>
  </si>
  <si>
    <t>Helmholtz Association; Alfred Wegener Institute, Helmholtz Centre for Polar &amp; Marine Research; UiT The Arctic University of Tromso; Helmholtz Association; Helmholtz-Center Potsdam GFZ German Research Center for Geosciences; University of Bonn; University of Veterinary Medicine Vienna; Helmholtz Association; Helmholtz-Center Potsdam GFZ German Research Center for Geosciences</t>
  </si>
  <si>
    <t>Bajerski, F (corresponding author), Alfred Wegener Inst Polar &amp; Marine Res, Res Dept Potsdam, Bremerhaven, Germany.</t>
  </si>
  <si>
    <t>Felizitas.Bajerski@awi.de</t>
  </si>
  <si>
    <t>Wagner, Dirk/C-3932-2012; Ganzert, Lars/AAT-1992-2021</t>
  </si>
  <si>
    <t>Wagner, Dirk/0000-0001-5064-497X; Ganzert, Lars/0000-0001-9595-1041</t>
  </si>
  <si>
    <t>Norwegian Research Council (NFR) through an 'Yggdrasil stipend [210923]; Deutsche Forschungsgemeinschaft (DFG) [1158, WA 1554/9]</t>
  </si>
  <si>
    <t>Norwegian Research Council (NFR) through an 'Yggdrasil stipend; Deutsche Forschungsgemeinschaft (DFG)(German Research Foundation (DFG))</t>
  </si>
  <si>
    <t>The authors wish to thank the shipboard scientific party, particularly H.-W. Hubberten (Alfred Wegener Institute for Polar and Marine Research) and the crew of the expedition ANT-XXIII/9 in 2007 with RV Polarstern. Special thanks go to Cornelia Karger and Oliver Burckhardt (both Helmholtz Centre Potsdam GFZ) for successful lab work and Beate Silkens and Eva Meyer (both Rheinische Friedrich-Wilhelms-Universitat Bonn) for technical assistance. L. G. was supported by the Norwegian Research Council (NFR) through an 'Yggdrasil stipend (#210923). The main project was funded by the Deutsche Forschungsgemeinschaft (DFG) in the framework of the priority program 1158 'Antarctic Research With Comparative Investigations In Arctic Ice Areas' by a grant to D. W. (WA 1554/9).</t>
  </si>
  <si>
    <t>10.1099/ijs.0.046920-0</t>
  </si>
  <si>
    <t>WOS:000326426100012</t>
  </si>
  <si>
    <t>Bhattarai, HD; Kim, T; Oh, H; Yim, JH</t>
  </si>
  <si>
    <t>Bhattarai, Hari Datta; Kim, Taikyung; Oh, Hyuncheol; Yim, Joung Han</t>
  </si>
  <si>
    <t>A new pseudodepsidone from the Antarctic lichen Stereocaulon alpinum and its antioxidant, antibacterial activity</t>
  </si>
  <si>
    <t>JOURNAL OF ANTIBIOTICS</t>
  </si>
  <si>
    <t>antibacterial; depsidones; lichen metabolites; lobaric acid; Stereocaulon alpinum</t>
  </si>
  <si>
    <t>RAMALINA-TEREBRATA; ACID; CONSTITUENTS</t>
  </si>
  <si>
    <t>[Bhattarai, Hari Datta; Kim, Taikyung; Yim, Joung Han] KOPRI, Div Life Sci, Korea Polar Res Inst, Inchon 406840, South Korea; [Oh, Hyuncheol] Wonkwang Univ, Coll Pharm, Iksan, South Korea</t>
  </si>
  <si>
    <t>Korea Polar Research Institute (KOPRI); Korea Institute of Ocean Science &amp; Technology (KIOST); Wonkwang University</t>
  </si>
  <si>
    <t>Yim, JH (corresponding author), KOPRI, Div Life Sci, Korea Polar Res Inst, Inchon 406840, South Korea.</t>
  </si>
  <si>
    <t>jhyim@kopri.re.kr</t>
  </si>
  <si>
    <t>Korea Polar Research Institute, KOPRI [PE10200]</t>
  </si>
  <si>
    <t>Korea Polar Research Institute, KOPRI</t>
  </si>
  <si>
    <t>This work was supported by a grant to the Korea Polar Research Institute, KOPRI, under a project PE10200.</t>
  </si>
  <si>
    <t>JAPAN ANTIBIOTICS RESEARCH ASSOC</t>
  </si>
  <si>
    <t>2 20 8 KAMIOSAKI SHINAGAWA KU, TOKYO, 141, JAPAN</t>
  </si>
  <si>
    <t>0021-8820</t>
  </si>
  <si>
    <t>J ANTIBIOT</t>
  </si>
  <si>
    <t>J. Antibiot.</t>
  </si>
  <si>
    <t>10.1038/ja.2013.41</t>
  </si>
  <si>
    <t>Biotechnology &amp; Applied Microbiology; Immunology; Microbiology; Pharmacology &amp; Pharmacy</t>
  </si>
  <si>
    <t>Science Citation Index Expanded (SCI-EXPANDED); Index Chemicus (IC)</t>
  </si>
  <si>
    <t>226BD</t>
  </si>
  <si>
    <t>WOS:000325008300010</t>
  </si>
  <si>
    <t>Chisham, G; Freeman, MP</t>
  </si>
  <si>
    <t>Chisham, Gareth; Freeman, Mervyn P.</t>
  </si>
  <si>
    <t>A reassessment of SuperDARN meteor echoes from the upper mesosphere and lower thermosphere</t>
  </si>
  <si>
    <t>SuperDARN; Mesosphere and lower thermosphere; Meteor echoes; Meteor echo height; SuperDARN interferometry</t>
  </si>
  <si>
    <t>AURORAL RADAR NETWORK; HF RADAR; AMBIPOLAR DIFFUSION; HEIGHT DISTRIBUTION; MESOPAUSE REGION; UPPER-ATMOSPHERE; RADIO METEORS; DECAY TIMES; BACKSCATTER; ANTARCTICA</t>
  </si>
  <si>
    <t>The Super Dual Auroral Radar Network (SuperDARN) is a network of HF radars used to study phenomena in the Earth's magnetosphere, ionosphere, and upper atmosphere. Phenomena in the upper mesosphere and lower thermosphere (MLT) can be studied as the SuperDARN radars act effectively as meteor radars at near ranges. However, SuperDARN meteor echo measurements from all heights have typically been combined together to give a height-averaged picture of large-scale characteristics and dynamics of the MLT. This is in part due to the uncertainty in the measurement of individual meteor echo heights, which is in turn partly due to the lack of reliable (and for some radars, the lack of any) interferometric information. Here, we present a method for calibrating SuperDARN interferometer data which reduces the systematic offsets in meteor echo height estimations. Using 9 years of SuperDARN data we then determine occurrence distributions of SuperDARN meteor echo heights. The distributions are approximately Gaussian with height, extending from similar to 75 to similar to 125 km and peaking around similar to 102-103 km. In addition, we investigate whether the Doppler spectral width measured by the SuperDARN radars, which is related to the ambipolar diffusion coefficient for meteor echoes, can be used as a proxy measurement for meteor echo height. Due to the large spread of spectral width measurements at any one height we conclude that this proxy measurement is not practical and that the height of individual SuperDARN meteor echoes cannot be estimated without interferometric information. We also discuss how more accurate height information could be used to study the height variation of neutral wind velocities and the ambipolar diffusion coefficient across the MLT altitude range, and conclude that SuperDARN meteor echo observations have the potential to complement, and significantly extend the altitude range of, meteor echo observations from standard VHF meteor radars. (C) 2013 The Authors. Published by Elsevier Ltd. All rights reserved.</t>
  </si>
  <si>
    <t>[Chisham, Gareth; Freeman, Mervyn P.] British Antarctic Survey, Nat Environm Res Council, Cambridge CB3 0ET, England</t>
  </si>
  <si>
    <t>Chisham, G (corresponding author), British Antarctic Survey, Nat Environm Res Council, Madingley Rd, Cambridge CB3 0ET, England.</t>
  </si>
  <si>
    <t>gchi@bas.ac.uk; mpf@bas.ac.uk</t>
  </si>
  <si>
    <t>national scientific funding agency of Australia; national scientific funding agency of Canada; national scientific funding agency of China; national scientific funding agency of France; national scientific funding agency of Japan; national scientific funding agency of South Africa; national scientific funding agency of United Kingdom; national scientific funding agency of United States of America; NERC [bas0100023] Funding Source: UKRI; Natural Environment Research Council [bas0100023] Funding Source: researchfish</t>
  </si>
  <si>
    <t>national scientific funding agency of Australia; national scientific funding agency of Canada; national scientific funding agency of China; national scientific funding agency of France; national scientific funding agency of Japan; national scientific funding agency of South Africa; national scientific funding agency of United Kingdom; national scientific funding agency of United States of America; NERC(UK Research &amp; Innovation (UKRI)Natural Environment Research Council (NERC)); Natural Environment Research Council(UK Research &amp; Innovation (UKRI)Natural Environment Research Council (NERC))</t>
  </si>
  <si>
    <t>The authors acknowledge the use of SuperDARN data. SuperDARN is a collection of radars funded by the national scientific funding agencies of Australia, Canada, China, France, Japan, South Africa, United Kingdom and United States of America. We are extremely grateful to George Sofko, who was PI for the Saskatoon and Prince George SuperDARN radars during the time when the measurements used in this paper were made. We would also like to acknowledge helpful discussions with Mai Mai Lam and Andrew Kavanagh of the British Antarctic Survey, Mark Lester and Steve Milan of the University of Leicester, UK, and Nick Mitchell of the University of Bath, UK.</t>
  </si>
  <si>
    <t>10.1016/j.jastp.2013.05.018</t>
  </si>
  <si>
    <t>WOS:000324014100023</t>
  </si>
  <si>
    <t>Taylor, ML; Yesson, C; Agnew, DJ; Mitchell, RE; Rogers, AD</t>
  </si>
  <si>
    <t>Taylor, Michelle L.; Yesson, Chris; Agnew, David J.; Mitchell, Rebecca E.; Rogers, Alex D.</t>
  </si>
  <si>
    <t>Using fisheries by-catch data to predict octocoral habitat suitability around South Georgia</t>
  </si>
  <si>
    <t>Benthic Terrain Modeler; by-catch sample; conservation biogeography; ENFA; marine protected area; Octocorallia; strategic conservation planning; sub-Antarctic; vulnerable marine ecosystems</t>
  </si>
  <si>
    <t>WATER GORGONIAN CORALS; COLD-WATER; OCEAN ACIDIFICATION; NORTHEAST CHANNEL; SUITABLE HABITAT; SCOTIA ARC; SEA; ATLANTIC; IMPACTS; CONSERVATION</t>
  </si>
  <si>
    <t>Aim For many deep-sea fisheries, there is an urgent management requirement for information on the presence of vulnerable marine ecosystems (VMEs). Gathering deep-sea data using conventional techniques can be expensive and time-consuming. One way to provide a relatively rapid assessment of VME presence is to use data from fisheries by-catch and historical scientific observations. Our aim was to predict suitable habitat for octocorals around South Georgia and to estimate the extent to which octocoral habitat is currently protected by fisheries management measures. In addition, we attempted to determine the types of terrain in which octocorals and fishing activities occur. Location South Georgia, sub-Antarctic. Methods A terrain map of South Georgia was created using Benthic Terrain Modeler (BTM). Georeferenced octocoral data were combined with environmental layers to create an octocoral habitat suitability map using ecological niche factor analysis (ENFA). Results Most octocoral by-catch samples originated from narrow crest (an area representing shelf break and moraines) and steep (continental) slope terrains. Calcite saturation state and apparent oxygen utilization (AOU) were the most influential environmental parameters in determining highly suitable octocoral habitat. The ENFA model highlighted shelf-break areas to be highly suitable habitat for octocorals and that 38% of this habitat around South Georgia lies within areas currently protected by fisheries management; a further 20% is below the 2000-m fishing depth, meaning effectively that 58% of predicted highly suitable octocoral habitat is currently protected. Although these results indicate protection levels for octocoral habitat well above international standards/targets, the fishery remains active within a relatively concentrated shelf area at 700-2000 m, potentially having a large impact on the 42% of highly suitable octocoral habitat predicted to lie at these depths. Main conclusions This research demonstrates the potential for using fisheries by-catch data to create habitat suitability maps that can inform fisheries management and future research.</t>
  </si>
  <si>
    <t>[Taylor, Michelle L.; Rogers, Alex D.] Univ Oxford, Dept Zool, Oxford OX1 3PS, England; [Yesson, Chris] Zool Soc London, Inst Zool, London NW1 4RY, England; [Agnew, David J.] Univ London Imperial Coll Sci Technol &amp; Med, Div Biol, London SW7 2AZ, England; [Mitchell, Rebecca E.] MRAG Ltd, London W1J 5PN, England</t>
  </si>
  <si>
    <t>University of Oxford; Zoological Society of London; Imperial College London</t>
  </si>
  <si>
    <t>Taylor, ML (corresponding author), Univ Oxford, Dept Zool, S Parks Rd, Oxford OX1 3PS, England.</t>
  </si>
  <si>
    <t>michelle.taylor@zoo.ox.ac.uk</t>
  </si>
  <si>
    <t>Taylor, Michelle/AAY-3864-2021; Taylor, Michelle/C-3918-2015; Yesson, Chris/Q-1196-2017</t>
  </si>
  <si>
    <t>Taylor, Michelle/0000-0001-7271-4385; Yesson, Chris/0000-0002-6731-4229; Rogers, Alex David/0000-0002-4864-2980</t>
  </si>
  <si>
    <t>Smithsonian Fellowship; NERC CASE Studentship [NE/F00785X/1]; European Community [213144]; MRAG Ltd, London; Natural Environment Research Council [NBAF010003] Funding Source: researchfish; NERC [NBAF010003] Funding Source: UKRI</t>
  </si>
  <si>
    <t>Smithsonian Fellowship; NERC CASE Studentship(UK Research &amp; Innovation (UKRI)Natural Environment Research Council (NERC)); European Community; MRAG Ltd, London; Natural Environment Research Council(UK Research &amp; Innovation (UKRI)Natural Environment Research Council (NERC)); NERC(UK Research &amp; Innovation (UKRI)Natural Environment Research Council (NERC))</t>
  </si>
  <si>
    <t>Numerous fisheries observers are thanked for their time and efforts in collecting specimens, as is the GSGSSI. M. L. T. was sponsored by a Smithsonian Fellowship and NERC CASE Studentship, NE/F00785X/1, in partnership with MRAG Ltd, London. From MRAG we send our warmest thanks to James Clark, John Pearce and Tom Peatman. C.Y. is funded by the European Community's Seventh Framework Programme (FP7/2007-2013) under grant agreement number 213144, The CoralFISH Project.</t>
  </si>
  <si>
    <t>10.1111/jbi.12122</t>
  </si>
  <si>
    <t>199GG</t>
  </si>
  <si>
    <t>WOS:000322981900006</t>
  </si>
  <si>
    <t>Hosking, JS; Orr, A; Marshall, GJ; Turner, J; Phillips, T</t>
  </si>
  <si>
    <t>Hosking, J. Scott; Orr, Andrew; Marshall, Gareth J.; Turner, John; Phillips, Tony</t>
  </si>
  <si>
    <t>The Influence of the Amundsen-Bellingshausen Seas Low on the Climate of West Antarctica and Its Representation in Coupled Climate Model Simulations</t>
  </si>
  <si>
    <t>Climate models; Climate variability</t>
  </si>
  <si>
    <t>SOUTHERN ANNULAR MODE; TEMPERATURE; VARIABILITY; SURFACE; CIRCULATION; OSCILLATION; HEMISPHERE; TRENDS; CMIP5</t>
  </si>
  <si>
    <t>In contrast to earlier studies, the authors describe the climatological deep low pressure system that exists over the South Pacific sector of the Southern Ocean, referred to as the Amundsen-Bellingshausen Seas low (ABSL), in terms of its relative (rather than actual) central pressure by removing the background area-averaged mean sea level pressure (MSLP). Doing so removes much of the influence of large-scale variability across the ABSL sector region (e.g., due to the southern annular mode), allowing a clearer understanding of ABSL variability and its effect on the regional climate of West Antarctica. Using ECMWF Interim Re-Analysis (ERA-Interim) fields, the annual cycle of the relative central pressure of the ABSL for the period from 1979 to 2011 shows a minimum (maximum) during winter (summer), differing considerably from the earlier studies based on actual central pressure, which suggests a semiannual oscillation. The annual cycle of the longitudinal position of the ABSL is insensitive to the background pressure, and shows it shifting westward from approximate to 250 degrees to approximate to 220 degrees E between summer and winter, in agreement with earlier studies. The authors demonstrate that ABSL variability, and in particular its longitudinal position, play an important role in controlling the surface climate of West Antarctica and the surrounding ocean by quantifying its influence on key meteorological parameters. Examination of the ABSL annual cycle in 17 CMIP5 climate models run with historical forcing shows that the majority of them have definite biases, especially in terms of longitudinal position, and a correspondingly poor representation of West Antarctic climate.</t>
  </si>
  <si>
    <t>[Hosking, J. Scott; Orr, Andrew; Marshall, Gareth J.; Turner, John; Phillips, Tony] British Antarctic Survey, Nat Environm Res Council, Cambridge CB3 0ET, England</t>
  </si>
  <si>
    <t>Hosking, JS (corresponding author), British Antarctic Survey, Nat Environm Res Council, Madingley Rd, Cambridge CB3 0ET, England.</t>
  </si>
  <si>
    <t>jask@bas.ac.uk</t>
  </si>
  <si>
    <t>Natural Environment Research Council of the United Kingdom; NERC [NE/H02333X/1, bas0100023] Funding Source: UKRI; Natural Environment Research Council [NE/H02333X/1, bas0100023] Funding Source: researchfish</t>
  </si>
  <si>
    <t>Natural Environment Research Council of the United Kingdom(UK Research &amp; Innovation (UKRI)Natural Environment Research Council (NERC)); NERC(UK Research &amp; Innovation (UKRI)Natural Environment Research Council (NERC)); Natural Environment Research Council(UK Research &amp; Innovation (UKRI)Natural Environment Research Council (NERC))</t>
  </si>
  <si>
    <t>The valuable comments of the three anonymous reviewers contributed tremendously to the improvement of the original manuscript. This work was undertaken as part of the Polar Science for Planet Earth Programme of the British Antarctic Survey, supported by the Natural Environment Research Council of the United Kingdom. We acknowledge the World Climate Research Programme's Working Group on Coupled Modelling, which is responsible for CMIP, and we thank the climate-modeling groups (listed in Table 1 of this paper) for producing and making available their model output. For CMIP the U.S. Department of Energy's Program for Climate Model Diagnosis and Intercomparison provides coordinating support and led development of software infrastructure in partnership with the Global Organization for Earth System Science Portals. Many thanks are given to T. Bracegirdle for valuable discussions on this work, and also to H. Roscoe and J. King for advice on statistical analysis.</t>
  </si>
  <si>
    <t>10.1175/JCLI-D-12-00813.1</t>
  </si>
  <si>
    <t>WOS:000323412300025</t>
  </si>
  <si>
    <t>Phipps, SJ; McGregor, HV; Gergis, J; Gallant, AJE; Neukom, R; Stevenson, S; Ackerley, D; Brown, JR; Fischer, MJ; van Ommen, TD</t>
  </si>
  <si>
    <t>Phipps, Steven J.; McGregor, Helen V.; Gergis, Joelle; Gallant, Ailie J. E.; Neukom, Raphael; Stevenson, Samantha; Ackerley, Duncan; Brown, Josephine R.; Fischer, Matt J.; van Ommen, Tas D.</t>
  </si>
  <si>
    <t>Paleoclimate Data-Model Comparison and the Role of Climate Forcings over the Past 1500 Years</t>
  </si>
  <si>
    <t>Southern Hemisphere; Climate change; Climate variability; Paleoclimate; Climate models; Model comparison</t>
  </si>
  <si>
    <t>LAST GLACIAL MAXIMUM; EL-NINO/SOUTHERN-OSCILLATION; ESTIMATING SIGNAL AMPLITUDES; PMIP2 COUPLED SIMULATIONS; SEA-SURFACE TEMPERATURE; SOUTHERN-OSCILLATION; TROPICAL PACIFIC; EAST ANTARCTICA; VARIABILITY; SOLAR</t>
  </si>
  <si>
    <t>The past 1500 years provide a valuable opportunity to study the response of the climate system to external forcings. However, the integration of paleoclimate proxies with climate modeling is critical to improving the understanding of climate dynamics. In this paper, a climate system model and proxy records are therefore used to study the role of natural and anthropogenic forcings in driving the global climate. The inverse and forward approaches to paleoclimate data-model comparison are applied, and sources of uncertainty are identified and discussed. In the first of two case studies, the climate model simulations are compared with multiproxy temperature reconstructions. Robust solar and volcanic signals are detected in Southern Hemisphere temperatures, with a possible volcanic signal detected in the Northern Hemisphere. The anthropogenic signal dominates during the industrial period. It is also found that seasonal and geographical biases may cause multiproxy reconstructions to overestimate the magnitude of the long-term preindustrial cooling trend. In the second case study, the model simulations are compared with a coral O-18 record from the central Pacific Ocean. It is found that greenhouse gases, solar irradiance, and volcanic eruptions all influence the mean state of the central Pacific, but there is no evidence that natural or anthropogenic forcings have any systematic impact on El Nino-Southern Oscillation. The proxy climate relationship is found to change over time, challenging the assumption of stationarity that underlies the interpretation of paleoclimate proxies. These case studies demonstrate the value of paleoclimate data-model comparison but also highlight the limitations of current techniques and demonstrate the need to develop alternative approaches.</t>
  </si>
  <si>
    <t>[Phipps, Steven J.] Univ New S Wales, Climate Change Res Ctr, Sydney, NSW, Australia; [Phipps, Steven J.] Univ New S Wales, ARC Ctr Excellence Climate Syst Sci, Sydney, NSW, Australia; [McGregor, Helen V.] Univ Wollongong, Sch Earth &amp; Environm Sci, Wollongong, NSW, Australia; [Gergis, Joelle; Gallant, Ailie J. E.] Univ Melbourne, Sch Earth Sci, Parkville, Vic 3052, Australia; [Neukom, Raphael] Swiss Fed Res Inst WSL, Birmensdorf, Switzerland; [Neukom, Raphael] Univ Bern, Oeschger Ctr Climate Change Res, Bern, Switzerland; [Stevenson, Samantha] Univ Hawaii Manoa, Int Pacific Res Ctr, Honolulu, HI 96822 USA; [Ackerley, Duncan] Monash Univ, Monash Weather &amp; Climate, Clayton, Vic, Australia; [Brown, Josephine R.] Ctr Australian Weather &amp; Climate Res, Melbourne, Vic, Australia; [Fischer, Matt J.] Australian Nucl Sci &amp; Technol Org, Inst Environm Res, Menai, NSW 2234, Australia; [van Ommen, Tas D.] Australian Antarctic Div, Kingston, Tas, Australia; [van Ommen, Tas D.] Univ Tasmania, Antarctic Climate &amp; Ecosyst CRC, Hobart, Tas, Australia</t>
  </si>
  <si>
    <t>University of New South Wales Sydney; University of New South Wales Sydney; ARC Centre of Excellence for Climate System Science; University of Wollongong; University of Melbourne; Swiss Federal Institutes of Technology Domain; Swiss Federal Institute for Forest, Snow &amp; Landscape Research; University of Bern; University of Hawaii System; University of Hawaii Manoa; Monash University; Commonwealth Scientific &amp; Industrial Research Organisation (CSIRO); Australian Nuclear Science &amp; Technology Organisation; Australian Antarctic Division; University of Tasmania</t>
  </si>
  <si>
    <t>Phipps, SJ (corresponding author), Univ New S Wales, Climate Change Res Ctr, Unsw Sydney, NSW 2052, Australia.</t>
  </si>
  <si>
    <t>s.phipps@unsw.edu.au</t>
  </si>
  <si>
    <t>IPO, PAGES/JXY-7546-2024; ACKERLEY, DUNCAN/JGE-5894-2023; Fischer, Matt/G-8160-2011; Gallant, Ailie/N-3938-2013; ACKERLEY, DUNCAN/A-8052-2013; Neukom, Raphael/J-7842-2017; van Ommen, Tas/B-5020-2012; McGregor, Helen/I-1479-2013; Phipps, Steven/B-3135-2008</t>
  </si>
  <si>
    <t>ACKERLEY, DUNCAN/0000-0001-9027-4088; Fischer, Matt/0000-0002-4052-3549; van Ommen, Tas/0000-0002-2463-1718; GERGIS, JOELLE/0000-0002-4168-7924; Neukom, Raphael/0000-0001-9392-0997; Stevenson, Samantha/0000-0002-1223-8521; McGregor, Helen/0000-0002-4031-2282; Brown, Josephine/0000-0002-1100-7457; Phipps, Steven/0000-0001-5657-8782; Gallant, Ailie/0000-0002-7917-1069</t>
  </si>
  <si>
    <t>Australian Research Council [DP1092945, LP0990151]; Australian Government Department of Climate Change and Energy Efficiency; Merit Allocation Scheme on the NCI National Facility at the Australian National University; AINSE Research Fellowship; Australian Research Council [DP1092945, LP0990151] Funding Source: Australian Research Council</t>
  </si>
  <si>
    <t>Australian Research Council(Australian Research Council); Australian Government Department of Climate Change and Energy Efficiency(Australian Government); Merit Allocation Scheme on the NCI National Facility at the Australian National University; AINSE Research Fellowship; Australian Research Council(Australian Research Council)</t>
  </si>
  <si>
    <t>This research was supported under the Australian Research Council's Discovery Projects and Linkage Projects funding schemes (Projects DP1092945 and LP0990151). This work was also supported by an award from the Australian Government Department of Climate Change and Energy Efficiency and by an award under the Merit Allocation Scheme on the NCI National Facility at the Australian National University. HVM is supported by an AINSE Research Fellowship. The authors wish to acknowledge use of the Ferret program for analysis and graphics in this paper (http://ferret.pmel.noaa.gov/Ferret/). The anthropogenic greenhouse gas concentrations of MacFarling Meure et al. (2006) were supplied by David Etheridge. We thank NOAA for supporting the production of this special issue of Journal of Climate. Comments by David Frank, Andrew Lorrey, and three anonymous reviewers have greatly improved this manuscript.</t>
  </si>
  <si>
    <t>10.1175/JCLI-D-12-00108.1</t>
  </si>
  <si>
    <t>Bronze, Green Published, Green Accepted, Green Submitted</t>
  </si>
  <si>
    <t>WOS:000324057600010</t>
  </si>
  <si>
    <t>Downes, SM; Hogg, AM</t>
  </si>
  <si>
    <t>Downes, Stephanie M.; Hogg, Andrew McC.</t>
  </si>
  <si>
    <t>Southern Ocean Circulation and Eddy Compensation in CMIP5 Models</t>
  </si>
  <si>
    <t>Meridional overturning circulation; Mesoscale processes; Ocean circulation; Climate models</t>
  </si>
  <si>
    <t>ANTARCTIC CIRCUMPOLAR CURRENT; OVERTURNING CIRCULATION; HEMISPHERE WINDS; NEXT-GENERATION; CLIMATE MODEL; SEA-ICE; EDDIES; SATURATION; SIMULATION; TRANSPORT</t>
  </si>
  <si>
    <t>Thirteen state-of-the-art climate models from phase 5 of the Coupled Model Intercomparison Project (CMIP5) are used to evaluate the response of the Antarctic Circumpolar Current (ACC) transport and Southern Ocean meridional overturning circulation to surface wind stress and buoyancy changes. Understanding how these flowsfundamental players in the global distribution of heat, gases, and nutrientsrespond to climate change is currently a widely debated issue among oceanographers. Here, the authors analyze the circulation responses of these coarse-resolution coupled models to surface fluxes. Under a future CMIP5 climate pathway where the equivalent atmospheric CO2 reaches 1370 ppm by 2100, the models robustly project reduced Southern Ocean density in the upper 2000 m accompanied by strengthened stratification. Despite an overall increase in overlying wind stress (similar to 20%), the projected ACC transports lie within +/- 15% of their historical state, and no significant relationship with changes in the magnitude or position of the wind stress is identified. The models indicate that a weakening of ACC transport at the end of the twenty-first century is correlated with a strong increase in the surface heat and freshwater fluxes in the ACC region. In contrast, the surface heat gain across the ACC region and the wind-driven surface transports are significantly correlated with an increased upper and decreased lower Eulerian-mean meridional overturning circulation. The change in the eddy-induced overturning in both the depth and density spaces is quantified, and it is found that the CMIP5 models project partial eddy compensation of the upper and lower overturning cells.</t>
  </si>
  <si>
    <t>[Downes, Stephanie M.] Australian Natl Univ, Res Sch Earth Sci, Acton, ACT 0200, Australia; Australian Natl Univ, ARC Ctr Excellence Climate Syst Sci, Acton, ACT 0200, Australia</t>
  </si>
  <si>
    <t>Australian National University; Australian National University</t>
  </si>
  <si>
    <t>Downes, SM (corresponding author), Australian Natl Univ, Res Sch Earth Sci, Acton, ACT 0200, Australia.</t>
  </si>
  <si>
    <t>stephanie.downes@anu.edu.au</t>
  </si>
  <si>
    <t>Hogg, Andy McC./A-7553-2011; Downes, Stephanie/A-1424-2012; Hogg, Andy/AAZ-8733-2021</t>
  </si>
  <si>
    <t>Hogg, Andy McC./0000-0001-5898-7635; Hogg, Andy/0000-0001-5898-7635</t>
  </si>
  <si>
    <t>Australian Commonwealth Government; Australian Research Council Future Fellowship [FT120100842]</t>
  </si>
  <si>
    <t>Australian Commonwealth Government(Australian Government); Australian Research Council Future Fellowship(Australian Research Council)</t>
  </si>
  <si>
    <t>The authors wish to thank the modelers responsible for the development of the CMIP5 models analyzed here and their continuous assistance with these types of multimodel projects. We are grateful for the constructive comments provided by A. Gnanadesikan and three anonymous reviewers. This research was undertaken on the NCI National Facility in Canberra, Australia, which is supported by the Australian Commonwealth Government. We are grateful for the efforts of particular Paola Petrelli for improving access to CMIP5 output. AMH was supported by an Australian Research Council Future Fellowship FT120100842.</t>
  </si>
  <si>
    <t>10.1175/JCLI-D-12-00504.1</t>
  </si>
  <si>
    <t>WOS:000324057600026</t>
  </si>
  <si>
    <t>Meehl, GA; Hu, AX; Arblaster, JM; Fasullo, J; Trenberth, KE</t>
  </si>
  <si>
    <t>Meehl, Gerald A.; Hu, Aixue; Arblaster, Julie M.; Fasullo, John; Trenberth, Kevin E.</t>
  </si>
  <si>
    <t>Externally Forced and Internally Generated Decadal Climate Variability Associated with the Interdecadal Pacific Oscillation</t>
  </si>
  <si>
    <t>Atmosphere-ocean interaction; Pacific decadal oscillation; Climate models; Coupled models; Decadal variability</t>
  </si>
  <si>
    <t>20TH-CENTURY CLIMATE; EARTHS ENERGY; UPPER-OCEAN; HEAT; CIRCULATION; REGION; ENSO</t>
  </si>
  <si>
    <t>Globally averaged surface air temperatures in some decades show rapid increases (accelerated warming decades), and in other decades there is no warming trend (hiatus decades). A previous study showed that the net energy imbalance at the top of the atmosphere of about 1 W m(-2) is associated with greater increases of deep ocean heat content below 750 m during the hiatus decades, while there is little globally averaged surface temperature increase or warming in the upper ocean layers. Here the authors examine processes involved with accelerated warming decades and address the relative roles of external forcing from increasing greenhouse gases and internally generated decadal climate variability associated with interdecadal Pacific oscillation (IPO). Model results from the Community Climate System Model, version 4 (CCSM4), show that accelerated warming decades are characterized by rapid warming of globally averaged surface air temperature, greater increases of heat content in the upper ocean layers, and less heat content increase in the deep ocean, opposite to the hiatus decades. In addition to contributions from processes potentially linked to Antarctic Bottom Water (AABW) formation and the Atlantic meridional overturning circulation (AMOC), the positive phase of the IPO, adding to the response to external forcing, is usually associated with accelerated warming decades. Conversely, hiatus decades typically occur with the negative phase of the IPO, when warming from the external forcing is overwhelmed by internally generated cooling in the tropical Pacific. Internally generated hiatus periods of up to 15 years with zero global warming trend are present in the future climate simulations. This suggests that there is a chance that the current observed hiatus could extend for several more years.</t>
  </si>
  <si>
    <t>[Meehl, Gerald A.; Hu, Aixue; Arblaster, Julie M.; Fasullo, John; Trenberth, Kevin E.] Natl Ctr Atmospher Res, Boulder, CO 80307 USA; [Arblaster, Julie M.] Bur Meteorol, CAWCR, Melbourne, Vic, Australia</t>
  </si>
  <si>
    <t>National Center Atmospheric Research (NCAR) - USA; Bureau of Meteorology - Australia</t>
  </si>
  <si>
    <t>Meehl, GA (corresponding author), Natl Ctr Atmospher Res, CCR, CGD, POB 3000, Boulder, CO 80307 USA.</t>
  </si>
  <si>
    <t>meehl@ncar.ucar.edu</t>
  </si>
  <si>
    <t>Hu, Aixue/E-1063-2013; Fasullo, John/H-4552-2019; Trenberth, Kevin/A-5683-2012; Arblaster, Julie/C-1342-2010</t>
  </si>
  <si>
    <t>Hu, Aixue/0000-0002-1337-287X; Fasullo, John/0000-0003-1216-892X; Trenberth, Kevin/0000-0002-1445-1000; Arblaster, Julie/0000-0002-4287-2363</t>
  </si>
  <si>
    <t>Office of Science (BER), U.S. Department of Energy; National Science Foundation; NASA [NNX09AH89G]; Innovative and Novel Computational Impact on Theory and Experiment (INCITE) program</t>
  </si>
  <si>
    <t>Office of Science (BER), U.S. Department of Energy(United States Department of Energy (DOE)); National Science Foundation(National Science Foundation (NSF)); NASA(National Aeronautics &amp; Space Administration (NASA)); Innovative and Novel Computational Impact on Theory and Experiment (INCITE) program</t>
  </si>
  <si>
    <t>The authors thank Claudia Tebaldi for consultation on the statistical significance calculations and Jing-Jia Luo, Michael McPhaden, and three anonymous reviewers for constructive and helpful comments. Portions of this study were supported by the Office of Science (BER), U.S. Department of Energy; the National Science Foundation; and NASA Grant NNX09AH89G.; The CCSM project is supported by the National Science Foundation and the Office of Science (BER) of the U.S. Department of Energy. Computing resources were provided by the Climate Simulation Laboratory at NCAR's Computational and Information Systems Laboratory (CISL), sponsored by the National Science Foundation and other agencies, as well as computing resources of the National Energy Research Scientific Computing Center and the Oak Ridge Leadership Computing Facility, both supported by the Office of Science (BER) of the U.S. Department of Energy. An award of computer time was provided by the Innovative and Novel Computational Impact on Theory and Experiment (INCITE) program.</t>
  </si>
  <si>
    <t>10.1175/JCLI-D-12-00548.1</t>
  </si>
  <si>
    <t>WOS:000324057600031</t>
  </si>
  <si>
    <t>Arthern, RJ; Corr, HFJ; Gillet-Chaulet, F; Hawley, RL; Morris, EM</t>
  </si>
  <si>
    <t>Arthern, Robert J.; Corr, Hugh F. J.; Gillet-Chaulet, Fabien; Hawley, Robert L.; Morris, Elizabeth M.</t>
  </si>
  <si>
    <t>Inversion for the density-depth profile of polar firn using a stepped-frequency radar</t>
  </si>
  <si>
    <t>common-midpoint; phase-sensitive; firn</t>
  </si>
  <si>
    <t>ANTARCTIC ICE SHEETS; MASS-BALANCE; GREENLAND; DENSIFICATION; SURFACE; MIGRATION; GLACIERS; VELOCITY; SUMMIT; MODEL</t>
  </si>
  <si>
    <t>Translating satellite measurements of ice sheet volume change into sea level contribution requires knowledge of the profile of density as a function of depth within the ice sheet and how this profile changes over time. This paper describes an interferometric method of inverting ground-penetrating radar returns for the profile of firn density as a function of depth. The method is an interferometric implementation of the common-midpoint approach, performed using a stepped-frequency, phase-sensitive ground-penetrating radar. By recording the phase difference of returns with a range of antenna separations, the different path lengths through the firn allow recovery of a smoothed representation of the density profile. This density model is characterized by three parameters: surface density and two decay lengths for porosity, each operating over a different density range. Our results suggest that the stepped-frequency radar used here can accurately recover differences in two-way traveltime and produce useful estimates of the density profile. In a test of the method performed at Summit station in Greenland, the recovered density-depth profile agreed with independent density measurements from an ice core and a neutron probe to within 6% root-mean-square error.</t>
  </si>
  <si>
    <t>[Arthern, Robert J.; Corr, Hugh F. J.] British Antarctic Survey, Nat Environm Res Council, Cambridge CB3 0ET, England; [Gillet-Chaulet, Fabien] Univ Grenoble 1, Lab Glaciol &amp; Geophys Environm, Grenoble, France; [Hawley, Robert L.] Dartmouth Coll, Dept Earth Sci, Hanover, NH 03755 USA; [Morris, Elizabeth M.] Univ Cambridge, Scott Polar Res Inst, Cambridge CB2 1ER, England</t>
  </si>
  <si>
    <t>UK Research &amp; Innovation (UKRI); Natural Environment Research Council (NERC); NERC British Antarctic Survey; Communaute Universite Grenoble Alpes; Universite Grenoble Alpes (UGA); Dartmouth College; University of Cambridge</t>
  </si>
  <si>
    <t>Arthern, RJ (corresponding author), British Antarctic Survey, Nat Environm Res Council, Madingley Rd, Cambridge CB3 0ET, England.</t>
  </si>
  <si>
    <t>rart@bas.ac.uk</t>
  </si>
  <si>
    <t>Corr, Hugh/C-5398-2011; Hawley, Robert/KHY-1082-2024</t>
  </si>
  <si>
    <t>Natural Environment Research Council; NERC [NE/F00446X/1]; NERC [bas0100027, NE/F00446X/1] Funding Source: UKRI; Natural Environment Research Council [bas0100027, NE/F00446X/1] Funding Source: researchfish</t>
  </si>
  <si>
    <t>Natural Environment Research Council(UK Research &amp; Innovation (UKRI)Natural Environment Research Council (NERC)); NERC(UK Research &amp; Innovation (UKRI)Natural Environment Research Council (NERC)); NERC(UK Research &amp; Innovation (UKRI)Natural Environment Research Council (NERC)); Natural Environment Research Council(UK Research &amp; Innovation (UKRI)Natural Environment Research Council (NERC))</t>
  </si>
  <si>
    <t>The research was funded by the Natural Environment Research Council. F.G.-C.'s fieldwork was supported by NERC grant NE/F00446X/1, Measuring and modeling the Raymond Effect to infer low strain rate ice rheology. We are extremely grateful for suggestions made by Jack Kohler and an anonymous reviewer that significantly improved the manuscript.</t>
  </si>
  <si>
    <t>10.1002/jgrf.20089</t>
  </si>
  <si>
    <t>WOS:000325978500005</t>
  </si>
  <si>
    <t>Graham, AGC; Dutrieux, P; Vaughan, DG; Nitsche, FO; Gyllencreutz, R; Greenwood, SL; Larter, RD; Jenkins, A</t>
  </si>
  <si>
    <t>Graham, Alastair G. C.; Dutrieux, Pierre; Vaughan, David G.; Nitsche, Frank O.; Gyllencreutz, Richard; Greenwood, Sarah L.; Larter, Robert D.; Jenkins, Adrian</t>
  </si>
  <si>
    <t>Seabed corrugations beneath an Antarctic ice shelf revealed by autonomous underwater vehicle survey: Origin and implications for the history of Pine Island Glacier</t>
  </si>
  <si>
    <t>West Antarctica; ice shelf; Pine Island; seabed; bedforms; Holocene</t>
  </si>
  <si>
    <t>GROUNDING-LINE RETREAT; WEST ANTARCTICA; SUBGLACIAL BEDFORMS; TIDEWATER GLACIERS; RIBBED MORAINES; MASS-BALANCE; STREAM BED; SHEET; LANDFORMS; OCEAN</t>
  </si>
  <si>
    <t>Ice shelves are critical features in the debate about West Antarctic ice sheet change and sea level rise, both because they limit ice discharge and because they are sensitive to change in the surrounding ocean. The Pine Island Glacier ice shelf has been thinning rapidly since at least the early 1990s, which has caused its trunk to accelerate and retreat. Although the ice shelf front has remained stable for the past six decades, past periods of ice shelf collapse have been inferred from relict seabed corrugations (corrugated ridges), preserved 340km from the glacier in Pine Island Trough. Here we present high-resolution bathymetry gathered by an autonomous underwater vehicle operating beneath an Antarctic ice shelf, which provides evidence of long-term change in Pine Island Glacier. Corrugations and ploughmarks on a sub-ice shelf ridge that was a former grounding line closely resemble those observed offshore, interpreted previously as the result of iceberg grounding. The same interpretation here would indicate a significantly reduced ice shelf extent within the last 11kyr, implying Holocene glacier retreat beyond present limits, or a past tidewater glacier regime different from today. The alternative, that corrugations were not formed in open water, would question ice shelf collapse events interpreted from the geological record, revealing detail of another bed-shaping process occurring at glacier margins. We assess hypotheses for corrugation formation and suggest periodic grounding of ice shelf keels during glacier unpinning as a viable origin. This interpretation requires neither loss of the ice shelf nor glacier retreat and is consistent with a stable grounding-line configuration throughout the Holocene.</t>
  </si>
  <si>
    <t>[Graham, Alastair G. C.; Dutrieux, Pierre; Vaughan, David G.; Larter, Robert D.; Jenkins, Adrian] British Antarctic Survey, Nat Environm Res Council, Cambridge CB3 0ET, England; [Graham, Alastair G. C.] Univ Exeter, Coll Life &amp; Environm Sci, Exeter EX4 4RJ, Devon, England; [Nitsche, Frank O.] Columbia Univ, Lamont Doherty Geol Observ, Palisades, NY 10964 USA; [Gyllencreutz, Richard; Greenwood, Sarah L.] Stockholm Univ, Dept Geol Sci, S-10691 Stockholm, Sweden</t>
  </si>
  <si>
    <t>UK Research &amp; Innovation (UKRI); Natural Environment Research Council (NERC); NERC British Antarctic Survey; University of Exeter; Columbia University; Stockholm University</t>
  </si>
  <si>
    <t>Graham, AGC (corresponding author), Univ Exeter, Coll Life &amp; Environm Sci, Exeter EX4 4RJ, Devon, England.</t>
  </si>
  <si>
    <t>a.graham@exeter.ac.uk</t>
  </si>
  <si>
    <t>Nitsche, Frank O/A-9343-2009; Vaughan, David/C-8348-2011; Jenkins, Adrian/IUN-2406-2023; Dutrieux, Pierre/GVS-2890-2022</t>
  </si>
  <si>
    <t>Nitsche, Frank O/0000-0002-4137-547X; Dutrieux, Pierre/0000-0002-8066-934X; Gyllencreutz, Richard/0000-0003-3193-8598; Greenwood, Sarah/0000-0003-3048-7916; Graham, Alastair/0000-0002-2880-2908; Jenkins, Adrian/0000-0002-9117-0616; Vaughan, David/0000-0002-9065-0570</t>
  </si>
  <si>
    <t>Natural Environment Research Council; NERC [NE/G001367/1]; NSF [OPP06-32282]; NERC [NE/G001367/1, bas0100028, bas0100027] Funding Source: UKRI; Natural Environment Research Council [bas0100027, bas0100028, NE/G001367/1] Funding Source: researchfish</t>
  </si>
  <si>
    <t>Natural Environment Research Council(UK Research &amp; Innovation (UKRI)Natural Environment Research Council (NERC)); NERC(UK Research &amp; Innovation (UKRI)Natural Environment Research Council (NERC)); NSF(National Science Foundation (NSF)); NERC(UK Research &amp; Innovation (UKRI)Natural Environment Research Council (NERC)); Natural Environment Research Council(UK Research &amp; Innovation (UKRI)Natural Environment Research Council (NERC))</t>
  </si>
  <si>
    <t>The work is part of the British Antarctic Survey program, Polar Science for Planet Earth funded by the Natural Environment Research Council. We thank the Captain and crew of RVIB Nathaniel B Palmer and NBP09-01 cruise participants for conducting the AUV operations. A. G. acknowledges invaluable conversation with (and the hospitality of) Chris Clark, as well as fruitful discussion with Martin Jakobsson, James Smith, and Dave Roberts over the origin of corrugations. John Anderson and two anonymous reviewers, the Editor (Bryn Hubbard), and Associate Editor (Mike Bentley) are thanked for their constructive comments. Autosub-3 data collection and P. D. were supported by NERC grant NE/G001367/1. F.N. was supported by NSF grant OPP06-32282.</t>
  </si>
  <si>
    <t>10.1002/jgrf.20087</t>
  </si>
  <si>
    <t>WOS:000325978500013</t>
  </si>
  <si>
    <t>Jansen, D; Luckman, A; Kulessa, B; Holland, PR; King, EC</t>
  </si>
  <si>
    <t>Jansen, Daniela; Luckman, Adrian; Kulessa, Bernd; Holland, Paul R.; King, Edward C.</t>
  </si>
  <si>
    <t>Marine ice formation in a suture zone on the Larsen C Ice Shelf and its influence on ice shelf dynamics</t>
  </si>
  <si>
    <t>marine ice; suture zone; Larsen C Ice Shelf; ice shelf dynamics</t>
  </si>
  <si>
    <t>BASAL CREVASSES; ANTARCTICA; BENEATH; INTERFEROMETRY; STABILITY</t>
  </si>
  <si>
    <t>Antarctic ice shelves are fed primarily by the glaciers flowing into them. Downstream of promontories separating these glaciers, supercooled water can rise and freeze into suture zones, leading to the accretion of marine ice. Marine ice bodies have been found in several Antarctic ice shelves, but little is known about their detailed geometry, rate of accretion, or influence on ice dynamics. In this study, we investigate marine ice in a suture zone downstream of the Joerg Peninsula in the southern part of the Larsen C Ice Shelf, Antarctic Peninsula. We present ground penetrating radar data from which we infer the base of the meteoric ice and, in combination with GPS data and assuming hydrostatic equilibrium, estimate marine ice thickness within a suture zone. We show that the Joerg Peninsula suture zone contains marine ice layer, which is increasing in thickness along flow from similar to 140 m to 180 m over 20 km, implying an average basal accretion rate of similar to 0.5 m a(-1) in our study area. We examined the impact of this inferred marine ice on ice shelf dynamics by modeling the suture zone within an ice flow model. The results, which replicate observed surface velocities and strain rates, show that the warmer and thus softer ice of the suture zone serves to channel shear deformation. This enables decoupling of neighboring flow units with different flow velocities, while maintaining the structural integrity of the ice shelf.</t>
  </si>
  <si>
    <t>[Jansen, Daniela; Luckman, Adrian; Kulessa, Bernd] Swansea Univ, Coll Sci, Swansea, W Glam, Wales; [Holland, Paul R.; King, Edward C.] British Antarctic Survey, Cambridge CB3 0ET, England</t>
  </si>
  <si>
    <t>Swansea University; UK Research &amp; Innovation (UKRI); Natural Environment Research Council (NERC); NERC British Antarctic Survey</t>
  </si>
  <si>
    <t>Jansen, D (corresponding author), Helmholtz Ctr Polar &amp; Marine Res, Alfred Wegener Inst, Handelshafen 12, DE-27570 Bremerhaven, Germany.</t>
  </si>
  <si>
    <t>daniela.jansen@awi.de</t>
  </si>
  <si>
    <t>Jansen, Daniela/AAG-2773-2019; Luckman, Adrian/GVS-1716-2022; Holland, Paul R/G-2796-2012; Facility, NERC Geophysical Equipment/G-5260-2010</t>
  </si>
  <si>
    <t>Luckman, Adrian/0000-0002-9618-5905; Jansen, Daniela/0000-0002-4412-5820; Kulessa, Bernd/0000-0002-4830-4949</t>
  </si>
  <si>
    <t>UK Natural Environment Research Council (NERC) [NE/E012914/1, NE/I016678/1]; Climate Consortium of Wales (C3W); NERC [NE/E013414/1, NE/I016678/1, bas0100028, NE/E012914/1, bas0100027] Funding Source: UKRI; Natural Environment Research Council [bas0100027, NE/E012914/1, bas0100028, NE/I016678/1, NE/E013414/1] Funding Source: researchfish</t>
  </si>
  <si>
    <t>UK Natural Environment Research Council (NERC)(UK Research &amp; Innovation (UKRI)Natural Environment Research Council (NERC)); Climate Consortium of Wales (C3W); NERC(UK Research &amp; Innovation (UKRI)Natural Environment Research Council (NERC)); Natural Environment Research Council(UK Research &amp; Innovation (UKRI)Natural Environment Research Council (NERC))</t>
  </si>
  <si>
    <t>This project was funded by the UK Natural Environment Research Council (NERC) (Projects NE/E012914/1 and NE/I016678/1) and the Climate Consortium of Wales (C3W). GPR and GPS equipment was kindly loaned by the NERC Geophysical Equipment Facility (GEF-905). The authors would like to thank Mike Craven and two anonymous reviewers for many helpful suggestions to improve the manuscript. We thank Matt King for helpful discussions and Catrin Thomas for assistance during the field campaign.</t>
  </si>
  <si>
    <t>10.1002/jgrf.20120</t>
  </si>
  <si>
    <t>WOS:000325978500030</t>
  </si>
  <si>
    <t>Morlighem, M; Seroussi, H; Larour, E; Rignot, E</t>
  </si>
  <si>
    <t>Morlighem, M.; Seroussi, H.; Larour, E.; Rignot, E.</t>
  </si>
  <si>
    <t>Inversion of basal friction in Antarctica using exact and incomplete adjoints of a higher-order model</t>
  </si>
  <si>
    <t>inverse method; exact adjoint; incomplete adjoint; basal friction; large-scale modeling</t>
  </si>
  <si>
    <t>ICE-SHEET; SATELLITE RADAR; PINE ISLAND; FLOW; GLACIERS; THICKNESS; SHELF</t>
  </si>
  <si>
    <t>Basal friction beneath ice sheets remains poorly characterized and yet is a fundamental control on ice mechanics. Here we use a complete map of surface velocity of the Antarctic Ice Sheet to infer the basal friction over the entire continent by combining these observations with a three-dimensional, thermomechanical, higher-order ice sheet numerical model from the Ice Sheet System Model open source software. We demonstrate that inverse methods can be readily applied at the continental scale with appropriate selections of cost function and of scheme of regularization, at a spatial resolution as high as 3 km along the coastline. We compare the convergence of two descent algorithms with the exact and incomplete adjoints to show that the incomplete adjoint is an excellent approximation. The results reveal that the driving stress is almost entirely balanced by the basal shear stress over 80% of the ice sheet. The basal friction coefficient, which relates basal friction to basal velocity, is, however, significantly heterogeneous: it is low on fast moving ice and high near topographic divides. Areas with low values extend far out into the interior, along glacier and ice stream tributaries, almost to the flanks of topographic divides, suggesting that basal sliding is widespread beneath the Antarctic Ice Sheet.</t>
  </si>
  <si>
    <t>[Morlighem, M.; Rignot, E.] Univ Calif Irvine, Dept Earth Syst Sci, Irvine, CA 92697 USA; [Seroussi, H.; Larour, E.; Rignot, E.] CALTECH, Jet Prop Lab, Pasadena, CA USA</t>
  </si>
  <si>
    <t>University of California System; University of California Irvine; National Aeronautics &amp; Space Administration (NASA); NASA Jet Propulsion Laboratory (JPL); California Institute of Technology</t>
  </si>
  <si>
    <t>Morlighem, M (corresponding author), Univ Calif Irvine, Dept Earth Syst Sci, Croul Hall, Irvine, CA 92697 USA.</t>
  </si>
  <si>
    <t>Mathieu.Morlighem@uci.edu</t>
  </si>
  <si>
    <t>Morlighem, Mathieu/O-9942-2014; Rignot, Eric/A-4560-2014; Seroussi, Helene/AAX-5342-2021</t>
  </si>
  <si>
    <t>Morlighem, Mathieu/0000-0001-5219-1310; Rignot, Eric/0000-0002-3366-0481; Seroussi, Helene/0000-0001-9201-1644</t>
  </si>
  <si>
    <t>National Aeronautics and Space Administration, Cryospheric Sciences Program [NNX12AB86G]; NASA; NASA [NNX12AB86G, 30960] Funding Source: Federal RePORTER</t>
  </si>
  <si>
    <t>National Aeronautics and Space Administration, Cryospheric Sciences Program; NASA(National Aeronautics &amp; Space Administration (NASA)); NASA(National Aeronautics &amp; Space Administration (NASA))</t>
  </si>
  <si>
    <t>This work was performed at the Department of Earth System Science, University of California, Irvine and at the Jet Propulsion Laboratory, California Institute of Technology, under a contract with the National Aeronautics and Space Administration, Cryospheric Sciences Program, grant NNX12AB86G. Helene Seroussi was supported by an appointment to the NASA Postdoctoral Program at the Jet Propulsion Laboratory, administered by Oak Ridge Associated Universities through a contract with NASA. We thank the two anonymous reviewers, the Associate Editor J. Bassis, and the Editor B. Hubbard for their helpful and insightful comments.</t>
  </si>
  <si>
    <t>10.1002/jgrf.20125</t>
  </si>
  <si>
    <t>WOS:000325978500038</t>
  </si>
  <si>
    <t>Jacobs, S; Giulivi, C; Dutrieux, P; Rignot, E; Nitsche, F; Mouginot, J</t>
  </si>
  <si>
    <t>Jacobs, S.; Giulivi, C.; Dutrieux, P.; Rignot, E.; Nitsche, F.; Mouginot, J.</t>
  </si>
  <si>
    <t>Getz Ice Shelf melting response to changes in ocean forcing</t>
  </si>
  <si>
    <t>Antarctic; Amundsen; meltwater; thermocline; ice; shelf</t>
  </si>
  <si>
    <t>CIRCUMPOLAR DEEP-WATER; PINE ISLAND GLACIER; CENTRAL AMUNDSEN SHELF; SEA-ICE; ANTARCTIC PENINSULA; WEST ANTARCTICA; SHEET; TRANSPORT; VARIABILITY; CIRCULATION</t>
  </si>
  <si>
    <t>The large and complex Getz Ice Shelf extends along nearly half of the West Antarctic coastline in the Amundsen Sea and is exposed to a more variable ocean environment than most other Pacific sector ice shelves. Ocean temperature, salinity, and dissolved oxygen profiles acquired near its sub-ice cavity openings are used here to estimate seawater transports and meltwater fractions. More complete coverage during 2000 and 2007 brackets most of the variability observed from 1994 to 2011, and yearlong records near one ice front support the use of summer profiles to determine annual basal melt rates. We find area average rates of 1.1 and 4.1 m/yr, higher in 2007 when a larger volume of warmer deep water occupied the adjacent continental shelf, and the ocean circulation was stronger. Results are consistent with changes in thermocline depths relative to ice shelf draft and mass transports onto the adjacent continental shelf. We also calculate steady state and actual melting of 2.5 and 4.6 m/yr in 2007-2008 from satellite measurements of ice flux, modeled accumulation, and thinning from 2003 to 2008. This implies a positive mass balance in 2000, but negative in 2007, when the Getz was producing more meltwater than any of the larger, slower melting or smaller, faster-melting ice shelves.</t>
  </si>
  <si>
    <t>[Jacobs, S.; Giulivi, C.; Nitsche, F.] Columbia Univ, Lamont Doherty Earth Observ, Palisades, NY USA; [Dutrieux, P.] British Antarctic Survey, NERC, Cambridge CB3 0ET, England; [Rignot, E.; Mouginot, J.] CALTECH, Jet Prop Lab, Pasadena, CA USA; [Rignot, E.; Mouginot, J.] Univ Calif Irvine, Dept Earth Syst Sci, Irvine, CA USA</t>
  </si>
  <si>
    <t>Columbia University; UK Research &amp; Innovation (UKRI); Natural Environment Research Council (NERC); NERC British Antarctic Survey; California Institute of Technology; National Aeronautics &amp; Space Administration (NASA); NASA Jet Propulsion Laboratory (JPL); University of California System; University of California Irvine</t>
  </si>
  <si>
    <t>Jacobs, S (corresponding author), Lamont Doherty Earth Observ, 205 Oceanog,Route 9W, Palisades, NY 10964 USA.</t>
  </si>
  <si>
    <t>sjacobs@ldeo.columbia.edu</t>
  </si>
  <si>
    <t>Nitsche, Frank O/A-9343-2009; Mouginot, Jeremie/G-7045-2015; Rignot, Eric/A-4560-2014; Dutrieux, Pierre/B-7568-2012</t>
  </si>
  <si>
    <t>Nitsche, Frank O/0000-0002-4137-547X; Mouginot, Jeremie/0000-0001-9155-5455; Rignot, Eric/0000-0002-3366-0481; Dutrieux, Pierre/0000-0002-8066-934X</t>
  </si>
  <si>
    <t>NSF [ANT-0632282, ANT-0440775, OPP-9725024]; NOAA [NA08OAR4320912]; NERC [NE/G001367/1]; NASA [NNX08AN28A, NNX10AV16G]; Lamont-Doherty Earth Observatory [7717]; Natural Environment Research Council [NE/G001367/1, bas0100028] Funding Source: researchfish; NASA [NNX10AV16G, 93972, NNX08AN28A, 121997] Funding Source: Federal RePORTER; NERC [bas0100028, NE/G001367/1] Funding Source: UKRI</t>
  </si>
  <si>
    <t>NSF(National Science Foundation (NSF)); NOAA(National Oceanic Atmospheric Admin (NOAA) - USA); NERC(UK Research &amp; Innovation (UKRI)Natural Environment Research Council (NERC)); NASA(National Aeronautics &amp; Space Administration (NASA)); Lamont-Doherty Earth Observatory; Natural Environment Research Council(UK Research &amp; Innovation (UKRI)Natural Environment Research Council (NERC)); NASA(National Aeronautics &amp; Space Administration (NASA)); NERC(UK Research &amp; Innovation (UKRI)Natural Environment Research Council (NERC))</t>
  </si>
  <si>
    <t>We thank the many individuals who have assisted with data acquisition and processing, R. Guerrero, D. Shoosmith, and S. Stammerjohn for CTD observations from other ships and NB Palmer cruises, and reviewers for constructive comments. This work was supported by NSF grants ANT-0632282, ANT-0440775, and OPP-9725024, and NOAA award NA08OAR4320912 to Columbia University, NERC grant NE/G001367/1 to the British Antarctic Survey, NASA grants NNX08AN28A and NNX10AV16G to the University of California, Irvine, and by the Lamont-Doherty Earth Observatory, contribution 7717.</t>
  </si>
  <si>
    <t>10.1002/jgrc.20298</t>
  </si>
  <si>
    <t>WOS:000326230200011</t>
  </si>
  <si>
    <t>Azaneu, M; Kerr, R; Mata, MM; Garcia, CAE</t>
  </si>
  <si>
    <t>Azaneu, Marina; Kerr, Rodrigo; Mata, Mauricio M.; Garcia, Carlos A. E.</t>
  </si>
  <si>
    <t>Trends in the deep Southern Ocean (1958-2010): Implications for Antarctic Bottom Water properties and volume export</t>
  </si>
  <si>
    <t>Southern Ocean; decadal variability; AABW warming; shelf water freshening</t>
  </si>
  <si>
    <t>WEDDELL SEA DEEP; TEMPERATURE TRENDS; BRANSFIELD STRAIT; ANNULAR MODE; DENSE WATER; ICE-SHEET; ABYSSAL; WEST; VARIABILITY; PENINSULA</t>
  </si>
  <si>
    <t>Regional formation of deep and bottom water masses around the Antarctic continental shelf is one of the most important processes contributing to variability of the global meridional overturning circulation deep cell. Southern Ocean hydrographic data collected during the years 1958-2010 indicate that dense shelf waters cooled and freshened during that period. In the surrounding open ocean, Antarctic Bottom Water (AABW) warmed, with no evidence of salinity change. As a result of source-water property changes, AABW exported from the Southern Ocean to the deep world ocean became lighter over the period analyzed. The average rate of density change within the areas that experienced statistically significant change was -0.0019 kg m(-3) yr(-1). For the last 20 years of the analysis, a negative AABW volume anomaly (relative to the half-century average, 1958-2010) was indicated, possibly due to production of a lighter AABW variety or to changes in formation rates. Over the entire five decades, the upper isopycnal of the AABW layer deepened at a rate of -8.1 m yr(-1). Changes in fundamental hydrographic properties such as these can have important implications for long-term global ocean circulation and climate.</t>
  </si>
  <si>
    <t>[Azaneu, Marina; Kerr, Rodrigo; Mata, Mauricio M.; Garcia, Carlos A. E.] Univ Fed Rio Grande, Inst Oceanog, Lab Estudos Oceanos &amp; Clima, BR-96203900 Rio Grande, RS, Brazil</t>
  </si>
  <si>
    <t>Garcia, Carlos A. E./K-7382-2012; Kerr, Rodrigo/I-2494-2012; Mata, Mauricio/H-4605-2011</t>
  </si>
  <si>
    <t>Kerr, Rodrigo/0000-0002-2632-3137; Mata, Mauricio/0000-0002-9028-8284; do Valle Chagas Azaneu, Marina/0000-0002-7538-3056</t>
  </si>
  <si>
    <t>Brazilian Ministry of the Environment (MMA); Brazilian Ministry of Science, Technology and Innovation (MCTI); Council for Research and Scientific Development of Brazil (CNPq) [550370/2002-1, 520189/2006-0]; POLARCANION project [CNPq 556848/2009-8]; CAPES Foundation; FAPERGS</t>
  </si>
  <si>
    <t>Brazilian Ministry of the Environment (MMA); Brazilian Ministry of Science, Technology and Innovation (MCTI); Council for Research and Scientific Development of Brazil (CNPq)(Conselho Nacional de Desenvolvimento Cientifico e Tecnologico (CNPQ)); POLARCANION project; CAPES Foundation(Coordenacao de Aperfeicoamento de Pessoal de Nivel Superior (CAPES)); FAPERGS(Fundacao de Amparo a Ciencia e Tecnologia do Estado do Rio Grande do Sul (FAPERGS))</t>
  </si>
  <si>
    <t>This study is a contribution to the International Polar Year SOS-CLIMATE project through the activities of the Brazilian High Latitudes Oceanography Group (GOAL) in the Brazilian Antarctic Program (PROANTAR). GOAL has been funded by the Brazilian Ministry of the Environment (MMA); the Brazilian Ministry of Science, Technology and Innovation (MCTI); and the Council for Research and Scientific Development of Brazil (CNPq; 550370/2002-1; 520189/2006-0). The authors thank the Brazilian National Institute of Science and Technology of Cryosphere (INCT-CRIOSFERA; 573720/2008-8) and the POLARCANION project (CNPq 556848/2009-8). M. A. and R. K. acknowledge financial support received from the CAPES Foundation and FAPERGS. We also thank the crew of the Brazilian Navy research ship Ary Rongel for their assistance during the field sampling of the GOAL cruises. We would like to acknowledge Hartmut H. Hellmer and the anonymous reviewers for their constructive comments, which greatly improved the manuscript.</t>
  </si>
  <si>
    <t>10.1002/jgrc.20303</t>
  </si>
  <si>
    <t>WOS:000326230200015</t>
  </si>
  <si>
    <t>Shore, RM; Whaler, KA; Macmillan, S; Beggan, C; Olsen, N; Spain, T; Aruliah, A</t>
  </si>
  <si>
    <t>Shore, R. M.; Whaler, K. A.; Macmillan, S.; Beggan, C.; Olsen, N.; Spain, T.; Aruliah, A.</t>
  </si>
  <si>
    <t>Ionospheric midlatitude electric current density inferred from multiple magnetic satellites</t>
  </si>
  <si>
    <t>satellite geomagnetism; ionosphere; electric current density; CTIP model; midlatitude; F region</t>
  </si>
  <si>
    <t>F-REGION CURRENTS; CHAMP SATELLITE; LOW LATITUDES; FIELD; MODEL; ELECTRODYNAMICS; TUTORIAL; PHYSICS; MIDDLE; SPACE</t>
  </si>
  <si>
    <t>A method for inferring zonal electric current density in the mid-to-low latitude F region ionosphere is presented. We describe a method of using near-simultaneous overflights of the Orsted and CHAMP satellites to define a closed circuit for an application of Ampere's integral law to magnetic data. Zonal current density from sources in only the region between the two satellites is estimated for the first time. Six years of mutually available vector magnetic data allows overlaps spanning the full 24h range of local time twice. Solutions are computed on an event-by-event basis after correcting for estimates of main and crustal magnetic fields. Current density in the range 0.1A/m(2) is resolved, with the distribution of electric current largely matching known features such as the Appleton anomaly. The currents appear unmodulated at times of either high-negative Dst or high F-10.7, which has implications for any future efforts to model their effects. We resolve persistent current intensifications between geomagnetic latitudes of 30 and 50 degrees in the postmidnight, predawn sector, a region typically thought to be relatively free of electric currents. The cause of these unexpected intensifications remains an open issue. We compare our results with current density predictions made by the Coupled Thermosphere-Ionosphere-Plasmasphere model, a self-consistent, first-principles, three-dimensional numerical dynamic model of ionospheric composition and temperatures. This independent validation of our current density estimates highlights good agreement in the broad spatiotemporal trends we identify, which increases confidence in our results.</t>
  </si>
  <si>
    <t>[Shore, R. M.; Whaler, K. A.] Univ Edinburgh, Grant Inst, Sch Geosci, Edinburgh, Midlothian, Scotland; [Macmillan, S.; Beggan, C.] British Geol Survey, Edinburgh, Midlothian, Scotland; [Olsen, N.] Tech Univ Denmark, Natl Space Inst, DTU Space, DK-2800 Lyngby, Denmark; [Spain, T.; Aruliah, A.] UCL, Dept Phys &amp; Astron, Atmospher Phys Lab, London, England</t>
  </si>
  <si>
    <t>University of Edinburgh; UK Research &amp; Innovation (UKRI); Natural Environment Research Council (NERC); NERC British Geological Survey; Technical University of Denmark; University of London; University College London</t>
  </si>
  <si>
    <t>Shore, RM (corresponding author), British Antarctic Survey, Madingley Rd, Cambridge CB3 OET, England.</t>
  </si>
  <si>
    <t>robore@bas.ac.uk</t>
  </si>
  <si>
    <t>Macmillan, Susan/M-6202-2019; Whaler, Kathy/AAG-1162-2020; Olsen, Nils/AAZ-1044-2021</t>
  </si>
  <si>
    <t>Whaler, Kathy/0000-0002-7386-223X; Olsen, Nils/0000-0003-1132-6113; Shore, Robert/0000-0002-8386-1425; Beggan, Ciaran/0000-0002-2298-0578</t>
  </si>
  <si>
    <t>NERC CASE studentship; BGS BUFI grant (BGS) [2K09E020/BUFI]; Natural Environment Research Council [bgs05003] Funding Source: researchfish; NERC [bgs05003] Funding Source: UKRI</t>
  </si>
  <si>
    <t>NERC CASE studentship(UK Research &amp; Innovation (UKRI)Natural Environment Research Council (NERC)); BGS BUFI grant (BGS); Natural Environment Research Council(UK Research &amp; Innovation (UKRI)Natural Environment Research Council (NERC)); NERC(UK Research &amp; Innovation (UKRI)Natural Environment Research Council (NERC))</t>
  </si>
  <si>
    <t>The authors would like to thank the CHAMP and Orsted data centers for providing the data and thank Hermann Luhr for insightful discussions on an early version of this study. Funding for this project was provided by a NERC CASE studentship with a BGS BUFI grant (BGS contract: 2K09E020/BUFI ref: S174). This paper is published with the permission of the Executive Director of the British Geological Survey (NERC).</t>
  </si>
  <si>
    <t>10.1002/jgra.50491</t>
  </si>
  <si>
    <t>Bronze, Green Submitted, Green Accepted</t>
  </si>
  <si>
    <t>WOS:000325483800039</t>
  </si>
  <si>
    <t>Grocott, A; Hosokawa, K; Ishida, T; Lester, M; Milan, SE; Freeman, MP; Sato, N; Yukimatu, AS</t>
  </si>
  <si>
    <t>Grocott, A.; Hosokawa, K.; Ishida, T.; Lester, M.; Milan, S. E.; Freeman, M. P.; Sato, N.; Yukimatu, A. S.</t>
  </si>
  <si>
    <t>Characteristics of medium-scale traveling ionospheric disturbances observed near the Antarctic Peninsula by HF radar</t>
  </si>
  <si>
    <t>atmosphere; ionosphere; MSTID; AGW</t>
  </si>
  <si>
    <t>ATMOSPHERIC GRAVITY-WAVES; ENTROPY SPECTRAL-ANALYSIS; HIGH-LATITUDE IONOSPHERE; MIDLATITUDE SPREAD F; MIDDLE ATMOSPHERE; ELECTRIC-FIELDS; SUPERDARN; ELECTRODYNAMICS; DYNAMICS; CURRENTS</t>
  </si>
  <si>
    <t>We present a survey of medium-scale traveling ionospheric disturbances (MSTIDs) observed by a Super Dual Auroral Radar Network HF radar located in the Falkland Islands between May 2010 and April 2011. The radar has a field of view that overlooks the Antarctic Peninsula, a known hot spot of gravity wave activity. We present observations of radar ground-backscatter data, in which the signatures of MSTIDs are manifested as structured enhancements in echo power. Observed periods were in the range 30-80min, corresponding to frequencies of 0.2-0.6mHz. Wavelengths were generally in the range 200-800km and phase speeds in the range 100-300ms(-1). These values are within the ranges typically associated with medium-scale gravity waves. We find a primary population of northward (equatorward) propagating MSTIDs, which demonstrate an association with enhanced solar wind-magnetosphere coupling and a smaller, westward propagating population, that could be associated with atmospheric gravity waves excited by winds over the Andean and Antarctic Peninsula mountains or by the high winds of the Antarctic Polar Vortex.</t>
  </si>
  <si>
    <t>[Grocott, A.; Lester, M.; Milan, S. E.] Univ Leicester, Dept Phys &amp; Astron, Leicester LE1 7RH, Leics, England; [Hosokawa, K.] Univ Electrocommun, Dept Commun Engn &amp; Informat, Chofu, Tokyo 182, Japan; [Ishida, T.; Sato, N.; Yukimatu, A. S.] Natl Inst Polar Res, Space &amp; Upper Atmospher Sci Grp, Tachikawa, Tokyo, Japan; [Freeman, M. P.] British Antarctic Survey, Nat Environm Res Council, Cambridge CB3 0ET, England</t>
  </si>
  <si>
    <t>University of Leicester; University of Electro-Communications - Japan; Research Organization of Information &amp; Systems (ROIS); National Institute of Polar Research (NIPR) - Japan; UK Research &amp; Innovation (UKRI); Natural Environment Research Council (NERC); NERC British Antarctic Survey</t>
  </si>
  <si>
    <t>Grocott, A (corresponding author), Univ Leicester, Dept Phys &amp; Astron, Univ Rd, Leicester LE1 7RH, Leics, England.</t>
  </si>
  <si>
    <t>a.grocott@ion.le.ac.uk</t>
  </si>
  <si>
    <t>Grocott, Adrian/A-9576-2011; Lester, Mark/C-9657-2016; Freeman, Mervyn/E-5687-2019</t>
  </si>
  <si>
    <t>Freeman, Mervyn/0000-0002-8653-8279; Grocott, Adrian/0000-0002-6489-095X; Milan, Steve/0000-0001-5050-9604</t>
  </si>
  <si>
    <t>NERC [NE/G018707/1, NE/G019665/1]; JSPS [L11521]; Grants-in-Aid for Scientific Research [21403007, 25287129] Funding Source: KAKEN; Natural Environment Research Council [NE/G018707/1, bas0100023, NE/G019665/1] Funding Source: researchfish; Science and Technology Facilities Council [ST/H002480/1] Funding Source: researchfish; NERC [NE/G018707/1, bas0100023, NE/G019665/1] Funding Source: UKRI; STFC [ST/H002480/1] Funding Source: UKRI</t>
  </si>
  <si>
    <t>NERC(UK Research &amp; Innovation (UKRI)Natural Environment Research Council (NERC)); JSPS(Ministry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 Natural Environment Research Council(UK Research &amp; Innovation (UKRI)Natural Environment Research Council (NERC)); Science and Technology Facilities Council(UK Research &amp; Innovation (UKRI)Science &amp; Technology Facilities Council (STFC)); NERC(UK Research &amp; Innovation (UKRI)Natural Environment Research Council (NERC)); STFC(UK Research &amp; Innovation (UKRI)Science &amp; Technology Facilities Council (STFC))</t>
  </si>
  <si>
    <t>Construction of the FIR, and support for MPF, was funded by NERC grant NE/G018707/1. A. G. and S. E. M. were supported by NERC grant NE/G019665/1. A. G. was also supported by a JSPS Invitation Fellowship (grant L11521) during part of this study. A. G. thanks Terry Robinson for helpful discussions on gravity wave theory.</t>
  </si>
  <si>
    <t>10.1002/jgra.50515</t>
  </si>
  <si>
    <t>WOS:000325483800040</t>
  </si>
  <si>
    <t>Förster, M; Cnossen, I</t>
  </si>
  <si>
    <t>Foerster, Matthias; Cnossen, Ingrid</t>
  </si>
  <si>
    <t>Upper atmosphere differences between northern and southern high latitudes: The role of magnetic field asymmetry</t>
  </si>
  <si>
    <t>magnetic field; neutral wind; plasma drift; high latitude; thermosphere; ionosphere</t>
  </si>
  <si>
    <t>IONOSPHERE-THERMOSPHERE MODEL; ELECTRON-DRIFT INSTRUMENT; CLUSTER EDI MEASUREMENTS; LATENT-HEAT RELEASE; PLASMA CONVECTION; DYNAMICS; TIDES</t>
  </si>
  <si>
    <t>The nondipolar portions of the Earth's main magnetic field constitute substantial differences between the two hemispheres. Beside the magnetic flux densities and patterns being different in the Northern Hemisphere (NH) and Southern Hemisphere (SH), also the offset between the invariant magnetic and the geographic poles is larger in the SH than in the NH. We investigated the effects of this magnetic field asymmetry on the high-latitude thermosphere and ionosphere using global numerical simulations and compared our results with recent observations. While the effects on the high-latitude plasma convection are small, the consequences for the neutral wind circulation are substantial. The cross-polar neutral wind and ion drift velocities are generally larger in the NH than the SH, and the hemispheric difference shows a semidiurnal variation. The neutral wind vorticity is likewise larger in the NH than in the SH, with the difference probably becoming larger for higher solar activity. In contrast, the spatial variance of the neutral wind is considerably larger in the SH polar region, with the hemispheric difference showing a strong semidiurnal variation. Its phase is similar to the phase of the semidiurnal variation of the hemispheric magnitude differences. Hemispheric differences in ion drift and neutral wind magnitude are most likely caused partly by the larger magnetic flux densities in the near-polar regions of the SH and partly by the larger offset between the invariant and geographic pole in the SH, while differences in spatial variance are probably just caused by the latter. We conclude that the asymmetry of the magnetic field, both in strength and in orientation, establishes substantial hemispheric differences in the neutral wind and plasma drift in the high-latitude upper atmosphere, which can help to explain observed hemispheric differences found with the Cluster/Electron Drift Instrument (EDI) and the Challenging Minisatellite Payload (CHAMP).</t>
  </si>
  <si>
    <t>[Foerster, Matthias] GFZ German Res Ctr Geosci, Potsdam, Germany; [Cnossen, Ingrid] British Antarctic Survey, Cambridge CB3 0ET, England; [Cnossen, Ingrid] Natl Ctr Atmospher Res, High Altitude Observ, Boulder, CO 80307 USA</t>
  </si>
  <si>
    <t>Helmholtz Association; Helmholtz-Center Potsdam GFZ German Research Center for Geosciences; UK Research &amp; Innovation (UKRI); Natural Environment Research Council (NERC); NERC British Antarctic Survey; National Center Atmospheric Research (NCAR) - USA</t>
  </si>
  <si>
    <t>Förster, M (corresponding author), Helmholtz Ctr Potsdam, GFZ German Res Ctr Geosci, D-14473 Potsdam, Germany.</t>
  </si>
  <si>
    <t>mfo@gfz-potsdam.de</t>
  </si>
  <si>
    <t>Cnossen, Ingrid/E-5809-2010</t>
  </si>
  <si>
    <t>Cnossen, Ingrid/0000-0001-6469-7861; Foerster, Matthias/0000-0002-1104-2471</t>
  </si>
  <si>
    <t>Deutsche Forschungsgemeinschaft (DFG); Natural Environment Research Council (NERC) fellowship [NE/J018058/1]; NERC [NE/J018058/1, bas0100023] Funding Source: UKRI; Natural Environment Research Council [bas0100023, NE/J018058/1] Funding Source: researchfish</t>
  </si>
  <si>
    <t>Deutsche Forschungsgemeinschaft (DFG)(German Research Foundation (DFG)); Natural Environment Research Council (NERC) fellowship(UK Research &amp; Innovation (UKRI)Natural Environment Research Council (NERC)); NERC(UK Research &amp; Innovation (UKRI)Natural Environment Research Council (NERC)); Natural Environment Research Council(UK Research &amp; Innovation (UKRI)Natural Environment Research Council (NERC))</t>
  </si>
  <si>
    <t>Work at GFZ German Research Centre for Geosciences Potsdam (M. F.) was supported by Deutsche Forschungsgemeinschaft (DFG). I. C. was sponsored by Natural Environment Research Council (NERC) fellowship NE/J018058/1. We thank the ACE SWEPAM and MAG instrument teams and the ACE Science Center for providing the data.</t>
  </si>
  <si>
    <t>10.1002/jgra.50554</t>
  </si>
  <si>
    <t>WOS:000325483800049</t>
  </si>
  <si>
    <t>Han, J; Jung, J; Park, M; Hyun, S; Park, W</t>
  </si>
  <si>
    <t>Han, Jiwon; Jung, Jaejoon; Park, Minsuk; Hyun, Seunghun; Park, Woojun</t>
  </si>
  <si>
    <t>Short-Term Effect of Elevated Temperature on the Abundance and Diversity of Bacterial and Archaeal amoA Genes in Antarctic Soils</t>
  </si>
  <si>
    <t>Soil; Antarctica; nitrification; denitrification; ammonia-oxidizing bacteria; ammonia-oxidizing archaea</t>
  </si>
  <si>
    <t>AMMONIA-OXIDIZING ARCHAEA; 16S RIBOSOMAL-RNA; MICROBIAL COMMUNITY; VICTORIA LAND; NITRIFICATION; PHYLOGENY; OXIDATION; PATTERNS; DATABASE; DESERT</t>
  </si>
  <si>
    <t>Global warming will have far-reaching effects on our ecosystem. However, its effects on Antarctic soils have been poorly explored. To assess the effects of warming on microbial abundance and community composition, we sampled Antarctic soils from the King George Island in the Antarctic Peninsula and incubated these soils at elevated temperatures of 5 degrees C and 8 degrees C for 14 days. The reduction in total organic carbon and increase in soil respiration were attributed to the increased proliferation of Bacteria, Fungi, and Archaea. Interestingly, bacterial ammonia monooxygenase (amoA) genes were predominant over archaeal amoA, unlike in many other environments reported previously. Phylogenetic analyses of bacterial and archaeal amoA communities via clone libraries revealed that the diversity of amoA genes in Antarctic ammonia-oxidizing prokaryotic communities were temperature-insensitive. Interestingly, our data also showed that the amoA of Antarctic ammonia-oxidizing bacteria (AOB) communities differed from previously described amoA sequences of cultured isolates and clone library sequences, suggesting the presence of novel Antarctic-specific AOB communities. Denitrification-related genes were significantly reduced under warming conditions, whereas the abundance of amoA and nifH increased. Barcoded pyrosequencing of the bacterial 16S rRNA gene revealed that Proteobacteria, Acidobacteria, and Actinobacteria were the major phyla in Antarctic soils and the effect of short-term warming on the bacterial community was not apparent.</t>
  </si>
  <si>
    <t>[Han, Jiwon; Jung, Jaejoon; Park, Minsuk; Hyun, Seunghun; Park, Woojun] Korea Univ, Dept Environm Sci &amp; Ecol Engn, Seoul 136713, South Korea; [Jung, Jaejoon; Hyun, Seunghun; Park, Woojun] Korea Univ, Inst Life Sci &amp; Nat Resources, Seoul 136713, South Korea</t>
  </si>
  <si>
    <t>Korea University; Korea University</t>
  </si>
  <si>
    <t>Park, W (corresponding author), Korea Univ, Dept Environm Sci &amp; Ecol Engn, Seoul 136713, South Korea.</t>
  </si>
  <si>
    <t>wpark@korea.ac.kr</t>
  </si>
  <si>
    <t>HYUN, SEUNGHUN/KAM-6088-2024</t>
  </si>
  <si>
    <t>Hyun, Seunghun/0000-0001-8806-5834</t>
  </si>
  <si>
    <t>Polar Academy Program (PAP), KOPRI</t>
  </si>
  <si>
    <t>Polar Academy Program (PAP), KOPRI(Korea Polar Research Institute of Marine Research Placement (KOPRI))</t>
  </si>
  <si>
    <t>This research was supported by a grant from the Polar Academy Program (PAP), KOPRI.</t>
  </si>
  <si>
    <t>10.4014/jmb.1305.05017</t>
  </si>
  <si>
    <t>WOS:000330098100001</t>
  </si>
  <si>
    <t>Budaeva, N; Paxton, H</t>
  </si>
  <si>
    <t>Budaeva, Nataliya; Paxton, Hannelore</t>
  </si>
  <si>
    <t>Nothria and Anchinothria (Annelida: Onuphidae) from eastern Australian waters, with a discussion of ontogenetic variation of diagnostic characters</t>
  </si>
  <si>
    <t>polychaetes; new species; slope; deep sea; distribution; parapodia; redescription; chaetal replacement</t>
  </si>
  <si>
    <t>POLYCHAETA ONUPHIDAE; LARVAL DEVELOPMENT; GENUS; COAST</t>
  </si>
  <si>
    <t>Nothria and Anchinothria, two sister genera of onuphid worms were studied from eastern Australian waters. Nothria abyssia, with a wide distribution in Pacific and Antarctic waters is reported from slope depths south-east of Australia, while N. otsuchiensis, described from Japanese waters, was found along the eastern coast of Australia from shallow subtidal to deep slope areas. Anchinothria parvula sp. nov. is described, based on the presence of uni- and bidentate pseudocompound falcigers in the first three pairs of parapodia, absence of branchiae and appearance of limbate chaetae from chaetiger 2, subacicular hooks from chaetigers 6-8 and pectinate chaetae from chaetiger 14. The new species represents the first record of the genus in Australian waters. Ontogenetic variation of chaetal composition and morphology of parapodia was estimated in two Nothria species examined. Three size-related morphotypes with different chaetal composition and morphology of anterior falcigers were revealed in N. abyssia and N. otsuchiensis. The number of chaetigers with pseudocompound falcigers is the only character independent of size of the specimens in both examined species. Distribution of subacicular hooks and postchaetal lobes is shown to be size-dependent. The following characters are considered of diagnostic value only when scored in adults: presence/absence of simple falcigers in anterior parapodia; chaetiger of origin of limbate chaetae, pectinate chaetae, and subacicular hooks; and number of chaetigers with auricular prechaetal lobes and digitiform postchaetal lobes. The use of adult specimens with the final set of definitive morphological structures for diagnoses of Nothria species is suggested.</t>
  </si>
  <si>
    <t>[Budaeva, Nataliya; Paxton, Hannelore] Australian Museum, Sydney, NSW 2010, Australia; [Budaeva, Nataliya] Russian Acad Sci, PP Shirshov Oceanol Inst, Moscow 117997, Russia; [Paxton, Hannelore] Macquarie Univ, Dept Biol Sci, Sydney, NSW 2109, Australia</t>
  </si>
  <si>
    <t>Australian Museum; Russian Academy of Sciences; Shirshov Institute of Oceanology; Macquarie University</t>
  </si>
  <si>
    <t>Budaeva, N (corresponding author), Russian Acad Sci, PP Shirsov Inst Oceanol, Nakhimovsky Pr 36, Moscow 11797, Russia.</t>
  </si>
  <si>
    <t>nataliya.budaeva@gmail.com</t>
  </si>
  <si>
    <t>Budaeva, Nataliya/E-5768-2012</t>
  </si>
  <si>
    <t>Budaeva, Nataliya/0000-0001-9748-2285</t>
  </si>
  <si>
    <t>Endeavour Research Fellowship; Russian Foundation for Basic Research [10-04-01687, 12-05-33049]; Ministry of Education and Science of the Russian Federation [8132]</t>
  </si>
  <si>
    <t>Endeavour Research Fellowship; Russian Foundation for Basic Research(Russian Foundation for Basic Research (RFBR)Spanish Government); Ministry of Education and Science of the Russian Federation(Ministry of Education and Science, Russian Federation)</t>
  </si>
  <si>
    <t>This work was supported by an Endeavour Research Fellowship (N.B.), the Russian Foundation for Basic Research (grants number 10-04-01687, 12-05-33049) and by the Ministry of Education and Science of the Russian Federation (contract number 8132).</t>
  </si>
  <si>
    <t>10.1017/S0025315412001956</t>
  </si>
  <si>
    <t>WOS:000322960700005</t>
  </si>
  <si>
    <t>Leat, PT; Day, SJ; Tate, AJ; Martin, TJ; Owen, MJ; Tappin, DR</t>
  </si>
  <si>
    <t>Leat, Philip T.; Day, Simon J.; Tate, Alex J.; Martin, Tara J.; Owen, Matthew J.; Tappin, David R.</t>
  </si>
  <si>
    <t>Volcanic evolution of the South Sandwich volcanic arc, South Atlantic, from multibeam bathymetry</t>
  </si>
  <si>
    <t>JOURNAL OF VOLCANOLOGY AND GEOTHERMAL RESEARCH</t>
  </si>
  <si>
    <t>Volcanic arc; Subduction zone; Caldera; Seamount; Submarine volcanism</t>
  </si>
  <si>
    <t>IZU-BONIN ARC; SUBDUCTION EROSION; SILICIC CALDERA; ISLAND; ERUPTION; ANTARCTICA; GENERATION; SUBSIDENCE; COLLAPSE; MARIANA</t>
  </si>
  <si>
    <t>New multibeam bathymetry data are presented for the South Sandwich intra-oceanic arc which occupies the small Sandwich plate in the South Atlantic, and is widely considered to be a simple end-member in the range of intra-oceanic arc types. The images show for the first time the distribution of submarine volcanic, tectonic and erosional-depositional features along the whole length of the 540 km long volcanic arc, allowing systematic investigation of along-arc variations. The data confirm that the volcanic arc has a simple structure composed of large volcanoes which form a well-defined volcanic front, but with three parallel cross-cutting seamount chains extending 38-60 km from near the volcanic front into the rear-arc. There is no evidence for intra-arc rifting or extinct volcanic lines. Topographic evidence for faulting is generally absent, except near the northern and southern plate boundaries. Most of the volcanic arc appears to be built on ocean crust formed at the associated back-arc spreading centre, as previously proposed from magnetic data, but the southern part of the arc appears to be underlain by older arc or continental crust whose west-facing rifted margin facing the back-arc basin is defined by the new bathymetry. The new survey shows nine main volcanic edifices along the volcanic front and ca. 20 main seamounts. The main volcanoes form largely glaciated islands with summits 3.0-35 km above base levels which are 2500-3000 m deep in the north and shallower at 2000-2500 m deep in the south. Some of the component seamounts are interpreted to have been active since the last glacial maximum, and so are approximately contemporaneous with the volcanic front volcanism. Seven calderas, all either submarine or ice-filled, have been identified: Adventure volcano, a newly discovered submarine volcanic front caldera volcano is described for the first time. All but one of the calderas are situated on summits of large volcanoes in the southern part of the arc, and most are associated with current or historic volcanic or hydrothermal activity. Shallow shelves around the islands are generally 1-10 km wide. Submerged banks up to 1100 m deep are interpreted as subsided erosional surfaces. Seamounts and emergent volcanoes experienced a range of mass wasting processes including by landsliding and smaller mass flows. (C) 2013 Elsevier B.V. All rights reserved.</t>
  </si>
  <si>
    <t>[Leat, Philip T.; Tate, Alex J.; Martin, Tara J.] British Antarctic Survey, Cambridge CB3 0ET, England; [Leat, Philip T.] Univ Leicester, Dept Geol, Leicester LE1 7RH, Leics, England; [Day, Simon J.] UCL, Aon Benfield UCL Hazard Res Ctr, Dept Earth Sci, London WC1E 6BT, England; [Martin, Tara J.] CSIRO Natl Marine Facil, Castray Esplanade, Hobart, Tas, Australia; [Owen, Matthew J.] UCL, Dept Geog, London WC1E 6BT, England; [Tappin, David R.] British Geol Survey, Keyworth NG12 5GG, Notts, England</t>
  </si>
  <si>
    <t>UK Research &amp; Innovation (UKRI); Natural Environment Research Council (NERC); NERC British Antarctic Survey; University of Leicester; University of London; University College London; Commonwealth Scientific &amp; Industrial Research Organisation (CSIRO); University of London; University College London; UK Research &amp; Innovation (UKRI); Natural Environment Research Council (NERC); NERC British Geological Survey</t>
  </si>
  <si>
    <t>Leat, PT (corresponding author), British Antarctic Survey, Madingley Rd, Cambridge CB3 0ET, England.</t>
  </si>
  <si>
    <t>ptle@bas.ac.uk; simonday_ucl@yahoo.co.uk; T.Martin@csiro.au; m.owen@ucl.ac.uk; drta@bgs.ac.uk</t>
  </si>
  <si>
    <t>Owen, Matthew/L-2970-2013; Tappin, David/H-7010-2013; Martin, Tara J/F-2570-2017; Martin, Tara/K-9174-2016</t>
  </si>
  <si>
    <t>Owen, Matthew/0000-0001-7119-4656; Tappin, David/0000-0003-3186-8403; Martin, Tara/0000-0002-3620-1141</t>
  </si>
  <si>
    <t>Natural Environment Research Council; NERC Antarctic Funding Initiative award [CGS-11/58]; Natural Environment Research Council [bgs05009, bas0100026] Funding Source: researchfish; NERC [bas0100026, bgs05009] Funding Source: UKRI</t>
  </si>
  <si>
    <t>Natural Environment Research Council(UK Research &amp; Innovation (UKRI)Natural Environment Research Council (NERC)); NERC Antarctic Funding Initiative award; Natural Environment Research Council(UK Research &amp; Innovation (UKRI)Natural Environment Research Council (NERC)); NERC(UK Research &amp; Innovation (UKRI)Natural Environment Research Council (NERC))</t>
  </si>
  <si>
    <t>This study is part of the British Antarctic Survey Polar Science for Planet Earth Programme and was funded by The Natural Environment Research Council. We are grateful to the officers and crews of the RRS James Clark Ross for their support of our science. Participation of S. Day and M. Owen on cruise JR206 was made possible by NERC Antarctic Funding Initiative award CGS-11/58 (2009). We are grateful to Claudia Romagnoli and an anonymous reviewer for detailed and helpful reviews of the paper.</t>
  </si>
  <si>
    <t>0377-0273</t>
  </si>
  <si>
    <t>1872-6097</t>
  </si>
  <si>
    <t>J VOLCANOL GEOTH RES</t>
  </si>
  <si>
    <t>J. Volcanol. Geotherm. Res.</t>
  </si>
  <si>
    <t>10.1016/j.jvolgeores.2013.08.013</t>
  </si>
  <si>
    <t>256EX</t>
  </si>
  <si>
    <t>WOS:000327293600006</t>
  </si>
  <si>
    <t>Heinonen, JS; Luttinen, AV; Riley, TR; Michallik, RM</t>
  </si>
  <si>
    <t>Heinonen, Jussi S.; Luttinen, Arto V.; Riley, Teal R.; Michallik, Radoslaw M.</t>
  </si>
  <si>
    <t>Mixed pyroxenite-peridotite sources for mafic and ultramafic dikes from the Antarctic segment of the Karoo continental flood basalt province</t>
  </si>
  <si>
    <t>LITHOS</t>
  </si>
  <si>
    <t>Large igneous province; Continental flood basalt; Karoo; Picrite; Pyroxenite; Mantle source</t>
  </si>
  <si>
    <t>DRONNING-MAUD-LAND; LARGE IGNEOUS PROVINCES; TRACE-ELEMENT COMPOSITION; MANTLE PLUME; EAST ANTARCTICA; MAJOR-ELEMENT; ANNANDAGSTOPPANE GRANITE; GEOCHEMICAL EVIDENCE; MAGNESIAN OLIVINES; PHASE-EQUILIBRIA</t>
  </si>
  <si>
    <t>Primitive rocks that are related to continental flood basalts are rare, but often reveal crucial information on the ultimate sources of these huge outpourings of mantle-derived magma. Here we present mineral chemical data for mafic and ultramafic dikes from the Antarctic extension of the Jurassic (similar to 180 Ma) Karoo continental flood basalt province that was emplaced during the initial stages of the breakup of the Gondwana supercontinent. We concentrate on two previously recognized high-Ti dike rock suites (Group 3 and Group 4) that exhibit high MgO contents (up to 22 wt.%). Both groups are characterized by Mg-rich olivine phenocrysts (up to Fo(90)) that are not mantle xenocrysts and indicate derivation from relatively Mg-rich parental magmas. Orthopyroxene is a common phenocryst and groundmass phase indicating emplacement at mid-crustal pressures (2-5 kbar; depth of similar to 10-20 km). The parental magmas of Group 3 and Group 4 dikes can be associated with pyroxenite sources on the basis of high olivine NiO, high whole-rock Zn/Fe, and low whole-rock CaO. In the case of Group 3 dikes, however, the samples that contain the most Mg-rich olivine also exhibit the mildest pyroxenite fingerprint and indications of an additional olivine-bearing (peridotitic) source component. We propose that the pyroxenite fingerprint of Group 3 and Group 4 dikes reflects relatively low-degree melting of fertile mantle at high pressures beneath the thick and cold Gondwanan lithosphere. Such conditions limited high-degree melting of peridotite sources which may have been more predominant in the generation of the Karoo low-Ti basalts within lithospheric thinning zones. (c) 2013 Elsevier B.V. All rights reserved.</t>
  </si>
  <si>
    <t>[Heinonen, Jussi S.; Luttinen, Arto V.] Univ Helsinki, Finnish Museum Nat Hist, FI-00014 Helsinki, Finland; [Riley, Teal R.] British Antarctic Survey, Cambridge CB3 0ET, England; [Michallik, Radoslaw M.] Univ Helsinki, Dept Geosci &amp; Geog, FI-00014 Helsinki, Finland</t>
  </si>
  <si>
    <t>University of Helsinki; UK Research &amp; Innovation (UKRI); Natural Environment Research Council (NERC); NERC British Antarctic Survey; University of Helsinki</t>
  </si>
  <si>
    <t>Heinonen, JS (corresponding author), Univ Helsinki, Finnish Museum Nat Hist, POB 17,Arkadiankatu 7, FI-00014 Helsinki, Finland.</t>
  </si>
  <si>
    <t>jussi.s.heinonen@helsinki.fi</t>
  </si>
  <si>
    <t>; Heinonen, Jussi/L-6152-2013</t>
  </si>
  <si>
    <t>Luttinen, Arto Vesa/0000-0002-3129-0392; Heinonen, Jussi/0000-0001-8998-4357; Riley, Teal/0000-0002-3333-5021</t>
  </si>
  <si>
    <t>Academy of Finland [252652]; NERC [bas0100026] Funding Source: UKRI; Academy of Finland (AKA) [252652] Funding Source: Academy of Finland (AKA); Natural Environment Research Council [bas0100026] Funding Source: researchfish</t>
  </si>
  <si>
    <t>Academy of Finland(Research Council of Finland); NERC(UK Research &amp; Innovation (UKRI)Natural Environment Research Council (NERC)); Academy of Finland (AKA)(Research Council of Finland); Natural Environment Research Council(UK Research &amp; Innovation (UKRI)Natural Environment Research Council (NERC))</t>
  </si>
  <si>
    <t>The comments of Sally Gibson and an anonymous reviewer, and the editorial remarks by Andrew Kerr helped to improve the content and readability of the manuscript and are highly appreciated. The field and air operations staff at Halley Base during 2000-2001 are thanked for their support. Lassi Pakkanen and Bo Johanson are thanked for their generous support in using the instruments at GTK. Matti Poutiainen is thanked for technical support in using the point counter. Some of the diagrams have been produced with the help of the GCDkit software (Janousek et al., 2006). Our research is funded by the Academy of Finland (Grant no. 252652).</t>
  </si>
  <si>
    <t>0024-4937</t>
  </si>
  <si>
    <t>1872-6143</t>
  </si>
  <si>
    <t>Lithos</t>
  </si>
  <si>
    <t>10.1016/j.lithos.2013.05.015</t>
  </si>
  <si>
    <t>222HE</t>
  </si>
  <si>
    <t>WOS:000324721000023</t>
  </si>
  <si>
    <t>Kaiser, S; Brandao, SN; Brix, S; Barnes, DKA; Bowden, DA; Ingels, J; Leese, F; Schiaparelli, S; Arango, CP; Badhe, R; Bax, N; Blazewicz-Paszkowycz, M; Brandt, A; Brenke, N; Catarino, AI; David, B; De Ridder, C; Dubois, P; Ellingsen, KE; Glover, AG; Griffiths, HJ; Gutt, J; Halanych, KM; Havermans, C; Held, C; Janussen, D; Lörz, AN; Pearce, DA; Pierrat, B; Riehl, T; Rose, A; Sands, CJ; Soler-Membrives, A; Schüller, M; Strugnell, JM; Vanreusel, A; Veit-Köhler, G; Wilson, NG; Yasuhara, M</t>
  </si>
  <si>
    <t>Kaiser, Stefanie; Brandao, Simone N.; Brix, Saskia; Barnes, David K. A.; Bowden, David A.; Ingels, Jeroen; Leese, Florian; Schiaparelli, Stefano; Arango, Claudia P.; Badhe, Renuka; Bax, Narissa; Blazewicz-Paszkowycz, Magdalena; Brandt, Angelika; Brenke, Nils; Catarino, Ana I.; David, Bruno; De Ridder, Chantal; Dubois, Philippe; Ellingsen, Kari E.; Glover, Adrian G.; Griffiths, Huw J.; Gutt, Julian; Halanych, Kenneth M.; Havermans, Charlotte; Held, Christoph; Janussen, Dorte; Loerz, Anne-Nina; Pearce, David A.; Pierrat, Benjamin; Riehl, Torben; Rose, Armin; Sands, Chester J.; Soler-Membrives, Anna; Schueller, Myriam; Strugnell, Jan M.; Vanreusel, Ann; Veit-Koehler, Gritta; Wilson, Nerida G.; Yasuhara, Moriaki</t>
  </si>
  <si>
    <t>Patterns, processes and vulnerability of Southern Ocean benthos: a decadal leap in knowledge and understanding</t>
  </si>
  <si>
    <t>SPECIES-DIVERSITY GRADIENT; SEROLID ISOPODS CRUSTACEA; ANTARCTIC ICE-SHEET; DEEP-SEA OSTRACODS; CLIMATE-CHANGE; MITOCHONDRIAL LINEAGES; SOFT-BOTTOM; PROMACHOCRINUS-KERGUELENSIS; ECOLOGICAL RELEVANCE; COMMUNITY STRUCTURE</t>
  </si>
  <si>
    <t>In the Southern Ocean, that is areas south of the Polar Front, long-term oceanographic cooling, geographic separation, development of isolating current and wind systems, tectonic drift and fluctuation of ice sheets amongst others have resulted in a highly endemic benthic fauna, which is generally adapted to the long-lasting, relatively stable environmental conditions. The Southern Ocean benthic ecosystem has been subject to minimal direct anthropogenic impact (compared to elsewhere) and thus presents unique opportunities to study biodiversity and its responses to environmental change. Since the beginning of the century, research under the Census of Marine Life and International Polar Year initiatives, as well as Scientific Committee of Antarctic Research biology programmes, have considerably advanced our understanding of the Southern Ocean benthos. In this paper, we evaluate recent progress in Southern Ocean benthic research and identify priorities for future research. Intense efforts to sample and describe the benthic fauna, coupled with coordination of information in global databases, have greatly enhanced understanding of the biodiversity and biogeography of the region. Some habitats, such as chemosynthetic systems, have been sampled for the first time, while application of new technologies and methods are yielding new insights into ecosystem structure and function. These advances have also highlighted important research gaps, notably the likely consequences of climate change. In a time of potentially pivotal environmental change, one of the greatest challenges is to balance conservation with increasing demands on the Southern Ocean's natural resources and services. In this context, the characterization of Southern Ocean biodiversity is an urgent priority requiring timely and accurate species identifications, application of standardized sampling and reporting procedures, as well as cooperation between disciplines and nations.</t>
  </si>
  <si>
    <t>[Kaiser, Stefanie; Brandao, Simone N.; Brandt, Angelika; Riehl, Torben] Univ Hamburg, Bioctr Grindel, D-20146 Hamburg, Germany; [Kaiser, Stefanie; Brandao, Simone N.; Brandt, Angelika; Riehl, Torben] Univ Hamburg, Zool Museum, D-20146 Hamburg, Germany; [Kaiser, Stefanie; Brandao, Simone N.; Brix, Saskia; Riehl, Torben] German Ctr Marine Biodivers Res, DZMB, D-20146 Hamburg, Germany; [Kaiser, Stefanie; Bowden, David A.; Loerz, Anne-Nina] Natl Inst Water &amp; Atmospher Res Ltd, Wellington, New Zealand; [Barnes, David K. A.; Griffiths, Huw J.; Pearce, David A.; Sands, Chester J.] British Antarctic Survey, Cambridge CB3 0ET, England; [Ingels, Jeroen; Vanreusel, Ann] Univ Ghent, Dept Marine Biol, B-9000 Ghent, Belgium; [Leese, Florian; Schueller, Myriam] Ruhr Univ Bochum, D-44780 Bochum, Germany; [Schiaparelli, Stefano] Dept Earth Environm &amp; Life Sci DISTAV, I-16132 Genoa, Italy; [Arango, Claudia P.] Queensland Museum, Nat Environments Program, South Brisbane, Qld 4101, Australia; [Badhe, Renuka] Univ Cambridge, Scott Polar Res Inst, Sci Comm Antarctic Res, Cambridge CB2 1ER, England; [Bax, Narissa] IMAS, Hobart, Tas 7001, Australia; [Blazewicz-Paszkowycz, Magdalena] Uniwersytet Lodzki, Zaklad Biol Polarnej &amp; Oceanobiol, PL-90237 Lodz, Poland; [Brenke, Nils; Rose, Armin; Veit-Koehler, Gritta] German Ctr Marine Biodivers Res, DZMB, D-26382 Wilhelmshaven, Germany; [Catarino, Ana I.; De Ridder, Chantal; Dubois, Philippe] Univ Libre Bruxelles, Lab Biol Marine CP160 15, B-1050 Brussels, Belgium; [David, Bruno; Pierrat, Benjamin] Univ Bourgogne, CNRS, UMR 6282, F-21000 Dijon, France; [Ellingsen, Kari E.] Norwegian Inst Nat Res NINA, N-9296 Tromso, Norway; [Glover, Adrian G.] Nat Hist Museum, Dept Zool, London SW7 5BD, England; [Gutt, Julian; Held, Christoph] Alfred Wegener Inst Polar &amp; Marine Res, D-27515 Bremerhaven, Germany; [Halanych, Kenneth M.] Auburn Univ, Dept Biol Sci, Auburn, AL 36849 USA; [Havermans, Charlotte] Royal Belgian Inst Nat Sci, B-1000 Brussels, Belgium; [Janussen, Dorte] Senckenberg Forschungsinst &amp; Nat Museum, Sekt Marine Evertebraten 1, D-60325 Frankfurt, Germany; [Soler-Membrives, Anna] Univ Autonoma Barcelona, Unitat Zool, E-08193 Barcelona, Spain; [Strugnell, Jan M.] La Trobe Univ, Dept Genet, La Trobe Inst Mol Sci, Bundoora, Vic 3086, Australia; [Wilson, Nerida G.] Univ Calif San Diego, Scripps Inst Oceanog, La Jolla, CA 92037 USA; [Yasuhara, Moriaki] Univ Hong Kong, Swire Inst Marine Sci, Sch Biol Sci, Hong Kong, Hong Kong, Peoples R China; [Yasuhara, Moriaki] Univ Hong Kong, Dept Earth Sci, Hong Kong, Hong Kong, Peoples R China</t>
  </si>
  <si>
    <t>University of Hamburg; University of Hamburg; National Institute of Water &amp; Atmospheric Research (NIWA) - New Zealand; UK Research &amp; Innovation (UKRI); Natural Environment Research Council (NERC); NERC British Antarctic Survey; Ghent University; Ruhr University Bochum; Queensland Museum; University of Cambridge; University of Tasmania; University of Lodz; Universite Libre de Bruxelles; Universite de Bourgogne; Centre National de la Recherche Scientifique (CNRS); Norwegian Institute Nature Research; Natural History Museum London; Helmholtz Association; Alfred Wegener Institute, Helmholtz Centre for Polar &amp; Marine Research; Auburn University System; Auburn University; Royal Belgian Institute of Natural Sciences; Senckenberg Gesellschaft fur Naturforschung (SGN); Autonomous University of Barcelona; La Trobe University; University of California System; University of California San Diego; Scripps Institution of Oceanography; University of Hong Kong; University of Hong Kong</t>
  </si>
  <si>
    <t>Kaiser, S (corresponding author), Univ Southampton, Natl Oceanog Ctr, Waterfront Campus European Way, Southampton SO14 3ZH, Hants, England.</t>
  </si>
  <si>
    <t>stefk@noc.ac.uk</t>
  </si>
  <si>
    <t>Bax, Narissa/L-5771-2019; Strugnell, Jan M/P-9921-2016; Wilson, Nerida/G-8433-2011; Schiaparelli, Stefano/AAI-4024-2020; Soler-Membrives, Anna/L-3169-2014; Błażewicz, Magdalena/J-5175-2017; Riehl, Torben/C-3711-2013; Brandao, Simone/C-9416-2013; Brandt, Angelika/C-1630-2018; C, A/J-9863-2014; Yasuhara, Moriaki/A-4986-2008; Leese, Florian/D-4277-2012; Griffiths, Huw J/D-4234-2009; Wilson, Nerida G./AAC-1456-2019; DAVID, Bruno/N-8798-2013; /A-5531-2008; Halanych, Kenneth/A-9480-2009; Ingels, Jeroen/A-1691-2008</t>
  </si>
  <si>
    <t>Bax, Narissa/0000-0002-4338-1080; Wilson, Nerida/0000-0002-0784-0200; Schiaparelli, Stefano/0000-0002-0137-3605; Soler-Membrives, Anna/0000-0002-6543-8367; Brandao, Simone/0000-0002-3487-6129; C, A/0000-0002-8796-0869; Yasuhara, Moriaki/0000-0003-0990-1764; Leese, Florian/0000-0002-5465-913X; Griffiths, Huw J/0000-0003-1764-223X; Riehl, Torben/0000-0002-7363-4421; Blazewicz, Magdalena/0000-0002-4753-3424; Gutt, Julian/0000-0003-3773-9370; Havermans, Charlotte/0000-0002-1126-4074; /0000-0003-1098-830X; Halanych, Kenneth/0000-0002-8658-9674; Sands, Chester/0000-0003-1028-0328; Ingels, Jeroen/0000-0001-8342-2222; Badhe, Renuka/0000-0001-5255-744X; Pearce, David/0000-0001-5292-4596; Strugnell, Jan/0000-0003-2994-637X; Ellingsen, Kari Elsa/0000-0002-2321-8278; Kaiser, Stefanie/0000-0003-2026-4663</t>
  </si>
  <si>
    <t>Census of Antarctic Marine Life; Census of the Diversity of Abyssal Marine Life; German Research Foundation (DFG) [KA 2857/1-1, Br 1121/22, 1-3, Br 1121/26, 1-4, Br 1121/27-1, Br 1121/28-1, Br 1121/33-1, Br 1121/34-1, Br 1121/37-1, Br 1121/38-1]; German Academic Exchange Service (DAAD); SYNTHESYS [GB-TAF 885, NL-TAF 11, ES-TAF 1705, AT-TAF 2600]; Encyclopedia of Life; Australian Antarctic Science Grants [AA3010]; CAML; Wilhelmshaven workshop; New Zealand Government under the New Zealand IPY-CAML Project [IPY2007-01]; Ministry of Science and Innovation [COBR1302]; Belgian Science Policy; DFG [MA 3684/2, LE 2323/2, 1158, JA 1063/14-1.2, JA-1063-17-1]; Belgian Science Policy [SD/BA/02A]; ANR Antflocks ANR ANTFLOCKS [07-BLAN-0213-01]; Action II'' grant [WI/36/H04]; German National Academic Foundation (Studienstiftung des Deutschen Volkes); NSF OPP grant [ANT-1043749]; German Research Foundation (DFG). [Br 1121/39-1, Br 1121/40-1, Br 1121/41, 1-, Br 1121/43-1, 436 RUS 17/20/02, 436 POL 17/6/03, 436 RUS 17/91/03, 436 RUS 17/103/05, 436 RUS 17/58/06]; Natural Environment Research Council [pml010004, noc010009, bas0100025, bas0100026] Funding Source: researchfish; Office of Polar Programs (OPP); Directorate For Geosciences [1043749] Funding Source: National Science Foundation; NERC [noc010009, pml010004, bas0100025, bas0100026] Funding Source: UKRI</t>
  </si>
  <si>
    <t>Census of Antarctic Marine Life; Census of the Diversity of Abyssal Marine Life; German Research Foundation (DFG)(German Research Foundation (DFG)); German Academic Exchange Service (DAAD)(Deutscher Akademischer Austausch Dienst (DAAD)); SYNTHESYS; Encyclopedia of Life; Australian Antarctic Science Grants; CAML; Wilhelmshaven workshop; New Zealand Government under the New Zealand IPY-CAML Project; Ministry of Science and Innovation(Spanish Government); Belgian Science Policy(Belgian Federal Science Policy Office); DFG(German Research Foundation (DFG)); Belgian Science Policy(Belgian Federal Science Policy Office); ANR Antflocks ANR ANTFLOCKS(Agence Nationale de la Recherche (ANR)); Action II'' grant; German National Academic Foundation (Studienstiftung des Deutschen Volkes); NSF OPP grant; German Research Foundation (DFG).(German Research Foundation (DFG)); Natural Environment Research Council(UK Research &amp; Innovation (UKRI)Natural Environment Research Council (NERC)); Office of Polar Programs (OPP); Directorate For Geosciences(National Science Foundation (NSF)NSF - Directorate for Geosciences (GEO)); NERC(UK Research &amp; Innovation (UKRI)Natural Environment Research Council (NERC))</t>
  </si>
  <si>
    <t>Ideas for this manuscript were initiated during a workshop on 'Southern Ocean benthic biodiversity and distribution patterns' held in Wilhelmshaven, Germany, in March 2010. We are grateful to Victoria Wadley (Census of Antarctic Marine Life) and Pedro Martinez Arbizu (Census of the Diversity of Abyssal Marine Life) for providing logistical and financial support for hosting this workshop. Katrin Linse (BAS) is thanked for valuable comments on an earlier draft of the manuscript. Additional funding was gratefully received from the German Research Foundation (DFG, code KA 2857/1-1) and the German Academic Exchange Service (DAAD) (S. Kaiser). S.N. Brandao was a Alexander von Humboldt fellow and also received support from SYNTHESYS and Encyclopedia of Life. C. Arango acknowledges support from the Australian Antarctic Science Grants (project AA3010) and CAML and the organizers of the Wilhelmshaven workshop for travel funding. NIWA staff was supported by the New Zealand Government under the New Zealand IPY-CAML Project (IPY2007-01); project governance provided by the Ministry of Fisheries Science Team and the Ocean Survey 20/20 CAML Advisory Group (Land Information New Zealand, Ministry of Fisheries, Antarctica New Zealand, Ministry of Foreign Affairs and Trade, and National Institute of Water and Atmosphere Ltd); part-funding was provided by the Ministry of Science and Innovation project COBR1302 (Biodiversity &amp; Biosecurity). BAS staff was supported by the British Antarctic Survey Polar Science for Planet Earth Programme. A. Brandt acknowledges the support of the German Research Foundation (DFG) for support of the ANDEEP and ANDEEP-SYSTCO expeditions and various Southern Ocean projects (Br 1121/22, 1-3; Br 1121/26, 1-4; Br 1121/27-1; Br 1121/28-1; Br 1121/33-1; Br 1121/34-1; Br 1121/37-1; Br 1121/38-1; Br 1121/39-1; Br 1121/40-1; Br 1121/41, 1-; Br 1121/43-1; 436 RUS 17/20/02; 436 POL 17/6/03; 436 RUS 17/91/03; 436 RUS 17/103/05; 436 RUS 17/58/06) as well as to the University of Hamburg. J. Ingels and A. Vanreusel acknowledge support from the Belgian Science Policy and the ESF IMCOAST project with contributions of Research Foundation Flanders. F. Leese and C. Held were supported by DFG grants MA 3684/2 and LE 2323/2 within the priority program 1158. B. David and C. De Ridder received support from the Belgian Science Policy (Research project SD/BA/02A; BIANZO II) and ANR Antflocks ANR ANTFLOCKS (No. 07-BLAN-0213-01). D. Janussen thanks the DFG (DFG-Projects JA 1063/14-1.2, JA-1063-17-1), and SYNTHESYS (GB-TAF 885, NL-TAF 11, ES-TAF 1705, AT-TAF 2600) for their support. C. Havermans was financially supported by the Belgian Science Policy with an Action II'' grant (contract number WI/36/H04). T. Riehl received funding from the German National Academic Foundation (Studienstiftung des Deutschen Volkes). N. Wilson's participation was facilitated by Scripps Institution of Oceanography and an NSF OPP grant ANT-1043749. Many thanks to Arne Pallentin (NIWA, Welington, NZ) for producing Fig. 1 and to Niki Davey (NIWA, Nelson, NZ), Marc Eleaume (Museum national d'Histoire naturelle, Paris, France), Jurgen Guerrero-Kommritz (Universidad Javeriana, Bogota, Colombia), Christopher Mah (Smithsonian Institution, Washington D. C., USA), Rafael Martin-Ledo (Universidad de Extremadura, Badajoz, Spain) and Kate Neill (NIWA, Wellington, NZ) for their help with species identifications (Fig. 2). The authors are grateful to the constructive comments of three anonymous referees, which helped to improve an earlier version of this manuscript.; This publication is a contribution to the work achieved in the course of the CAML (publication # 83), CeDAMar and ANDEEP (publication # 177) projects.</t>
  </si>
  <si>
    <t>10.1007/s00227-013-2232-6</t>
  </si>
  <si>
    <t>207RV</t>
  </si>
  <si>
    <t>WOS:000323622400003</t>
  </si>
  <si>
    <t>Abernethy, FAJ; Verchovsky, AB; Starkey, NA; Anand, M; Franchi, IA; Grady, MM</t>
  </si>
  <si>
    <t>Abernethy, F. A. J.; Verchovsky, A. B.; Starkey, N. A.; Anand, M.; Franchi, I. A.; Grady, Monica M.</t>
  </si>
  <si>
    <t>Stable isotope analysis of carbon and nitrogen in angrites</t>
  </si>
  <si>
    <t>ANGRA-DOS-REIS; DORBIGNY ANGRITE; NOBLE-GASES; PARENT BODY; MARTIAN METEORITE; MASS-SPECTROMETER; OXYGEN FUGACITIES; BASALTIC GLASSES; ORIGIN; CHONDRITES</t>
  </si>
  <si>
    <t>Angrites are a small group of ancient basaltic achondrites, notable for their unusual chemistry and extreme volatile depletion. No comprehensive study of indigenous light elements currently exists for the group. Measurement of the abundances and isotopic composition of carbon and nitrogen could provide information pertaining to the evolution of the angrite parent body. Bulk-sample stepped combustion analyses of five angrites and a glass separate from D'Orbigny were combined with earlier data and acid dissolution experiments of carbonates found in D'Orbigny to compile an inventory of indigenous carbon and nitrogen. Indigenous carbon combusted between 700 degrees C and 1200 degrees C, with abundances of 10-140ppm and a mass-weighted C-13 of -25 to -20 parts per thousand with the exception of D'Orbigny (C-13 approximately -5 parts per thousand). Nitrogen was released at 850-1200 oC, 1-20ppm with a N-15 -3 parts per thousand to +4 parts per thousand; again, D'Orbigny (N-15 approximately +20 to +25 parts per thousand) was an exception. We interpret these components as largely indigenous and decoupled; the carbon in graphitic or amorphous form, while the nitrogen is present as a dissolved component in the silicates. No relationship with the textural sub-classification of angrites is apparent. We suggest that the angrite parent body contains a reservoir of reduced carbon and thus may have undergone a change in redox conditions, although the timing and mechanism for this remain unclear.</t>
  </si>
  <si>
    <t>[Abernethy, F. A. J.; Verchovsky, A. B.; Starkey, N. A.; Anand, M.; Franchi, I. A.; Grady, Monica M.] Open Univ, Milton Keynes MK7 6AA, Bucks, England; [Anand, M.; Grady, Monica M.] Nat Hist Museum, Dept Earth Sci, London SW7 5BD, England</t>
  </si>
  <si>
    <t>Open University - UK; Natural History Museum London</t>
  </si>
  <si>
    <t>Abernethy, FAJ (corresponding author), Open Univ, Walton Hall, Milton Keynes MK7 6AA, Bucks, England.</t>
  </si>
  <si>
    <t>f.a.j.abernethy@open.ac.uk</t>
  </si>
  <si>
    <t>Anand, Mahesh/E-9259-2013</t>
  </si>
  <si>
    <t>Grady, Monica/0000-0002-4055-533X; Anand, Mahesh/0000-0003-4026-4476</t>
  </si>
  <si>
    <t>STFC; STFC [ST/I001298/1, ST/I001964/1] Funding Source: UKRI; Science and Technology Facilities Council [ST/I001298/1, ST/I001964/1] Funding Source: researchfish</t>
  </si>
  <si>
    <t>J. Zipfel, A. Treiman, and T. Burbine are thanked for their thoughtful reviews and improvements to this manuscript. C. Goodrich is thanked for additional improvements to the wording of the text. This work was supported by grants from STFC to FAJA and MMG. Thanks to Dr. Mabs Gilmour for assistance with the acid dissolution experiments. Gratitude is expressed to Dr. Caroline Smith at the Natural History Museum in London for powdered samples of AdoR (BM. 63233) and D'Orbigny (BM2001, M10), to Professor Addi Bischoff for Sahara 99555, and the Antarctic Meteorite Working Group for samples of LEW 86010,8 and LEW 87051,2. Finally, the authors acknowledge Dr. Colin MacPherson at the University of Durham for provision of the ALV 981-R23 standard.</t>
  </si>
  <si>
    <t>10.1111/maps.12184</t>
  </si>
  <si>
    <t>264NQ</t>
  </si>
  <si>
    <t>WOS:000327885300003</t>
  </si>
  <si>
    <t>Krosch, M; Cranston, PS</t>
  </si>
  <si>
    <t>Krosch, Matt; Cranston, Peter S.</t>
  </si>
  <si>
    <t>Not drowning, (hand)waving? Molecular phylogenetics, biogeography and evolutionary tempo of the 'Gondwanan' midge Stictocladius Edwards (Diptera: Chironomidae)</t>
  </si>
  <si>
    <t>New Zealand; Drowning; Gondwana; Vicariance; Dispersal; BEAST</t>
  </si>
  <si>
    <t>NEW-ZEALAND; DISPERSAL; ORIGIN; RECONSTRUCTIONS; VICARIANCE; INFERENCE; ANCIENT; SUPPORT; MRBAYES; FAUNA</t>
  </si>
  <si>
    <t>Many insect clades, especially within the Diptera (true flies), have been considered classically 'Gondwanan', with an inference that distributions derive from vicariance of the southern continents. Assessing the role that vicariance has played in the evolution of austral taxa requires testing the location and tempo of diversification and speciation against the well-established predictions of fragmentation of the ancient super-continent. Several early (anecdotal) hypotheses that current austral distributions originate from the breakup of Gondwana derive from studies of taxa within the family Chironomidae (non-biting midges). With the advent of molecular phylogenetics and biogeographic analytical software, these studies have been revisited and expanded to test such conclusions better. Here we studied the midge genus Stictocladius Edwards, from the subfamily Orthocladiinae, which contains austral-distributed clades that match vicariance-based expectations. We resolve several issues of systematic relationships among morphological species and reveal cryptic diversity within many taxa. Time-calibrated phylogenetic relationships among taxa accorded partially with the predicted tempo from geology. For these apparently vagile insects, vicariance-dated patterns persist for South America and Australia. However, as often found, divergence time estimates for New Zealand at c. 50 mya post-date separation of Zealandia from Antarctica and the remainder of Gondwana, but predate the proposed Oligocene 'drowning' of these islands. We detail other such 'anomalous' dates and suggest a single common explanation rather than stochastic processes. This could involve synchronous establishment following recovery from 'drowning' and/or deleteriously warming associated with the mid-Eocene climatic optimum (hence 'waving', which refers to cycles of drowning events) plus new availability of topography providing of cool running waters, or all these factors in combination. Alternatively a vicariance explanation remains available, given the uncertain duration of connectivity of Zealandia to Australia-Antarctic-South America via the Lord Howe and Norfolk ridges into the Eocene. (C) 2013 Elsevier Inc. All rights reserved.</t>
  </si>
  <si>
    <t>[Krosch, Matt] Univ Queensland, Sustainable Minerals Inst, Ctr Water Minerals Ind, St Lucia, Qld 4072, Australia; [Krosch, Matt] Queensland Univ Technol, Sch Earth Environm &amp; Biol Sci, Brisbane, Qld 4001, Australia; [Cranston, Peter S.] Univ Calif Davis, Dept Entomol, Davis, CA 95616 USA; [Cranston, Peter S.] Australian Natl Univ, Res Sch Biol, Canberra, ACT 0200, Australia</t>
  </si>
  <si>
    <t>University of Queensland; Queensland University of Technology (QUT); University of California System; University of California Davis; Australian National University</t>
  </si>
  <si>
    <t>Krosch, M (corresponding author), Univ Queensland, Sustainable Minerals Inst, Ctr Water Minerals Ind, St Lucia, Qld 4072, Australia.</t>
  </si>
  <si>
    <t>m.krosch@uq.edu.au</t>
  </si>
  <si>
    <t>Krosch, Matthew N/K-7512-2014</t>
  </si>
  <si>
    <t>Cranston, Peter/0000-0001-7535-9809; Krosch, Matt/0000-0003-0354-8189</t>
  </si>
  <si>
    <t>NSF [0933218]; Division Of Environmental Biology; Direct For Biological Sciences [0933218] Funding Source: National Science Foundation</t>
  </si>
  <si>
    <t>NSF(National Science Foundation (NSF)); Division Of Environmental Biology; Direct For Biological Sciences(National Science Foundation (NSF)NSF - Directorate for Biological Sciences (BIO))</t>
  </si>
  <si>
    <t>We acknowledge the generous support of Evert Schlinger given to the Entomology Department, University of California, Davis in the form of the endowed chair in Systematic Entomology held by the second author. An NSF Grant MIDGEPEET: A Collaborative Effort to Increase Taxonomic Expertise in Understudied Families of Nematocerous Diptera award 0933218 to PI John (Kevin) Moulton funded study of Stictocladius, including to test extraction from pupal exuviae. This award assisted Haley Bastien, Scott McCluen and Nicholas Herold (University of California, Davis) to extract and amplify chironomid DNA, and supported targeted field work for Stictocladius in South America, New Zealand and Australia. We thank all agencies for permits to collect Chironomidae, notable amongst which Beverley Freer, of the Department of Conservation, Nelson-Marlborough Region, New Zealand, speedily reissued permits in consecutive years. Andrew Baker and Litticia Bryant (both Queensland University of Technology) assisted in making collections and sorting immature midges in Queensland, New Zealand and Patagonia.</t>
  </si>
  <si>
    <t>10.1016/j.ympev.2013.04.006</t>
  </si>
  <si>
    <t>176PG</t>
  </si>
  <si>
    <t>WOS:000321316000018</t>
  </si>
  <si>
    <t>Kawaguchi, S; Ishida, A; King, R; Raymond, B; Waller, N; Constable, A; Nicol, S; Wakita, M; Ishimatsu, A</t>
  </si>
  <si>
    <t>Kawaguchi, S.; Ishida, A.; King, R.; Raymond, B.; Waller, N.; Constable, A.; Nicol, S.; Wakita, M.; Ishimatsu, A.</t>
  </si>
  <si>
    <t>Risk maps for Antarctic krill under projected Southern Ocean acidification</t>
  </si>
  <si>
    <t>EUPHAUSIA-SUPERBA; CLIMATE-CHANGE; TEMPERATURE; RESPONSES; SALINITY; CURRENTS; GROWTH</t>
  </si>
  <si>
    <t>Marine ecosystems of the Southern Ocean are particularly vulnerable to ocean acidification(1). Antarctic krill (Euphausia superba; hereafter krill) is the key pelagic species of the region and its largest fishery resource(2). There is therefore concern about the combined effects of climate change, ocean acidification and an expanding fishery on krill and ultimately, their dependent predators-whales, seals and penguins(3,4). However, little is known about the sensitivity of krill to ocean acidification. Juvenile and adult krill are already exposed to variable seawater carbonate chemistry because they occupy a range of habitats and migrate both vertically and horizontally on a daily and seasonal basis(5). Moreover, krill eggs sink from the surface to hatch at 700-1,000m (ref. 6), where the carbon dioxide partial pressure (p(CO2)) in sea water is already greater than it is in the atmosphere(7). Krill eggs sink passively and so cannot avoid these conditions. Here we describe the sensitivity of krill egg hatch rates to increased CO2, and present a circumpolar risk map of krill hatching success under projected p(CO2) levels. We find that important krill habitats of the Weddell Sea and the Haakon VII Sea to the east are likely to become high-risk areas for krill recruitment within a century. Furthermore, unless CO2 emissions are mitigated, the Southern Ocean krill population could collapse by 2300 with dire consequences for the entire ecosystem.</t>
  </si>
  <si>
    <t>[Kawaguchi, S.; King, R.; Raymond, B.; Waller, N.; Constable, A.] Australian Antarctic Div, Kingston, Tas 7050, Australia; [Kawaguchi, S.; Raymond, B.; Constable, A.] Antarctic Climate &amp; Ecosyst Cooperat Res Ctr, Hobart, Tas 7001, Australia; [Ishida, A.] Tokoha Univ, Dept Social Environm, Fuji, Shizuoka 4170801, Japan; [Ishida, A.; Wakita, M.] Japan Agcy Marine Earth Sci &amp; Technol, Res Inst Global Change, Yokohama, Kanagawa 2360001, Japan; [Nicol, S.] Univ Tasmania, Inst Antarctic &amp; Marine Studies, Sandy Bay, Tas 7005, Australia; [Wakita, M.] Japan Agcy Marine Earth Sci &amp; Technol, Mutsu Inst Oceanog, Mutsu, Aomori 0350022, Japan; [Ishimatsu, A.] Nagasaki Univ, Inst East China Sea Res, Nagasaki 8512213, Japan</t>
  </si>
  <si>
    <t>Australian Antarctic Division; Antarctic Climate &amp; Ecosystems Cooperative Research Centre (ACE CRC); Japan Agency for Marine-Earth Science &amp; Technology (JAMSTEC); University of Tasmania; Japan Agency for Marine-Earth Science &amp; Technology (JAMSTEC); Nagasaki University</t>
  </si>
  <si>
    <t>Kawaguchi, S (corresponding author), Australian Antarctic Div, Channel Highway, Kingston, Tas 7050, Australia.</t>
  </si>
  <si>
    <t>So.Kawaguchi@aad.gov.au</t>
  </si>
  <si>
    <t>Kawaguchi, So/0000-0002-2042-5095; King, Robert/0000-0002-4650-2335</t>
  </si>
  <si>
    <t>Australian Antarctic Science Program Project [4037]</t>
  </si>
  <si>
    <t>Australian Antarctic Science Program Project</t>
  </si>
  <si>
    <t>The authors thank S. Wotherspoon for advice on statistical analyses, B. Smith and Z. Jia for assisting with the experiments, J. Robinson for assistance in assembling the experimental system, and C. Wynn-Edwards for assisting with krill maintenance. The model projections were performed on the super computer at JAMSTEC. This study was supported by Australian Antarctic Science Program Project No. 4037.</t>
  </si>
  <si>
    <t>10.1038/NCLIMATE1937</t>
  </si>
  <si>
    <t>249YD</t>
  </si>
  <si>
    <t>WOS:000326816100025</t>
  </si>
  <si>
    <t>Wilkins, D; van Sebille, E; Rintoul, SR; Lauro, FM; Cavicchioli, R</t>
  </si>
  <si>
    <t>Wilkins, David; van Sebille, Erik; Rintoul, Stephen R.; Lauro, Federico M.; Cavicchioli, Ricardo</t>
  </si>
  <si>
    <t>Advection shapes Southern Ocean microbial assemblages independent of distance and environment effects</t>
  </si>
  <si>
    <t>BACTERIAL COMMUNITIES; BIOGEOGRAPHY; PATTERNS; SURFACE; BACTERIOPLANKTON; MICROORGANISMS; HETEROGENEITY; CONNECTIVITY; VARIABILITY; DIVERSITY</t>
  </si>
  <si>
    <t>Although environmental selection and spatial separation have been shown to shape the distribution and abundance of marine microorganisms, the effects of advection (physical transport) have not been directly tested. Here we examine 25 samples covering all major water masses of the Southern Ocean to determine the effects of advection on microbial biogeography. Even when environmental factors and spatial separation are controlled for, there is a positive correlation between advection distance and taxonomic dissimilarity, indicating that an 'advection effect' has a role in shaping marine microbial community composition. This effect is likely due to the advection of cells increasing the probability that upstream microorganisms will colonize downstream sites. Our study shows that in addition to distance and environmental selection, advection shapes the composition of marine microbial communities.</t>
  </si>
  <si>
    <t>[Wilkins, David; Lauro, Federico M.; Cavicchioli, Ricardo] Univ New S Wales, Sch Biotechnol &amp; Biomol Sci, Sydney, NSW 2052, Australia; [van Sebille, Erik] Univ New S Wales, Climate Change Res Ctr, Sydney, NSW 2052, Australia; [van Sebille, Erik] Univ New S Wales, ARC Ctr Excellence Climate Syst Sci, Sydney, NSW 2052, Australia; [Rintoul, Stephen R.] Univ Tasmania, CSIRO Marine &amp; Atmospher Res, Hobart, Tas 7001, Australia; [Rintoul, Stephen R.] Univ Tasmania, Ctr Australian Weather &amp; Climate Res Partnership, Hobart, Tas 7001, Australia; [Rintoul, Stephen R.] Univ Tasmania, CSIRO, Hobart, Tas 7001, Australia; [Rintoul, Stephen R.] Univ Tasmania, CSIRO Wealth Oceans Natl Res Flagship, Hobart, Tas 7001, Australia; [Rintoul, Stephen R.] Univ Tasmania, Antarctic Climate &amp; Ecosyst Cooperat Res Ctr, Hobart, Tas 7001, Australia</t>
  </si>
  <si>
    <t>University of New South Wales Sydney; University of New South Wales Sydney; ARC Centre of Excellence for Climate System Science; University of New South Wales Sydney; University of Tasmania; Commonwealth Scientific &amp; Industrial Research Organisation (CSIRO); University of Tasmania; Commonwealth Scientific &amp; Industrial Research Organisation (CSIRO); University of Tasmania; University of Tasmania; Commonwealth Scientific &amp; Industrial Research Organisation (CSIRO); Antarctic Climate &amp; Ecosystems Cooperative Research Centre (ACE CRC); University of Tasmania</t>
  </si>
  <si>
    <t>Lauro, Federico/X-2420-2019; van Sebille, Erik/F-6781-2010; Rintoul, Stephen R/A-1471-2012; Cavicchioli, Ricardo/D-4341-2013</t>
  </si>
  <si>
    <t>Lauro, Federico/0000-0002-8373-1014; Rintoul, Stephen R/0000-0002-7055-9876; Wilkins, David/0000-0002-3385-8981; van Sebille, Erik/0000-0003-2041-0704; Cavicchioli, Ricardo/0000-0001-8989-6402</t>
  </si>
  <si>
    <t>Australian Research Council; Australian Antarctic Science program; Australian Postgraduate Research Award; Australian Government's Cooperative Research Centres Program, through the Antarctic Climate and Ecosystems Cooperative Research Centre (ACE CRC); Department of Climate Change and Energy Efficiency through the Australian Climate Change Science Program</t>
  </si>
  <si>
    <t>Australian Research Council(Australian Research Council); Australian Antarctic Science program; Australian Postgraduate Research Award; Australian Government's Cooperative Research Centres Program, through the Antarctic Climate and Ecosystems Cooperative Research Centre (ACE CRC)(Australian GovernmentDepartment of Industry, Innovation and ScienceCooperative Research Centres (CRC) Programme); Department of Climate Change and Energy Efficiency through the Australian Climate Change Science Program</t>
  </si>
  <si>
    <t>We thank Timothy Williams, Sheree Yau, Mark Rosenberg and the crew of the RSV Aurora Australis for their assistance in collecting samples. This work was supported by the Australian Research Council and the Australian Antarctic Science program. D.W. was supported by an Australian Postgraduate Research Award. This work was supported in part by the Australian Government's Cooperative Research Centres Program, through the Antarctic Climate and Ecosystems Cooperative Research Centre (ACE CRC) and by the Department of Climate Change and Energy Efficiency through the Australian Climate Change Science Program.</t>
  </si>
  <si>
    <t>10.1038/ncomms3457</t>
  </si>
  <si>
    <t>232ZO</t>
  </si>
  <si>
    <t>WOS:000325533900004</t>
  </si>
  <si>
    <t>Hillenbrand, CD</t>
  </si>
  <si>
    <t>Hillenbrand, Claus-Dieter</t>
  </si>
  <si>
    <t>PALAEOCLIMATE East Antarctica's Achilles' heel</t>
  </si>
  <si>
    <t>GLOBAL SEA-LEVEL; ICE-SHEET</t>
  </si>
  <si>
    <t>Hillenbrand, CD (corresponding author), British Antarctic Survey, Madingley Rd, Cambridge CB3 0ET, England.</t>
  </si>
  <si>
    <t>hilc@bas.ac.uk</t>
  </si>
  <si>
    <t>Natural Environment Research Council [bas0100027] Funding Source: researchfish; NERC [bas0100027] Funding Source: UKRI</t>
  </si>
  <si>
    <t>10.1038/ngeo1897</t>
  </si>
  <si>
    <t>208YA</t>
  </si>
  <si>
    <t>WOS:000323717500005</t>
  </si>
  <si>
    <t>Petrunin, AG; Rogozhina, I; Vaughan, APM; Kukkonen, IT; Kaban, MK; Koulakov, I; Thomas, M</t>
  </si>
  <si>
    <t>Petrunin, A. G.; Rogozhina, I.; Vaughan, A. P. M.; Kukkonen, I. T.; Kaban, M. K.; Koulakov, I.; Thomas, M.</t>
  </si>
  <si>
    <t>Heat flux variations beneath central Greenland's ice due to anomalously thin lithosphere</t>
  </si>
  <si>
    <t>THICKNESS</t>
  </si>
  <si>
    <t>At the Earth's surface, heat fluxes from the interior(1) are generally insignificant compared with those from the Sun and atmosphere(2), except in areas permanently blanketed by ice. Modelling studies show that geothermal heat flux influences the internal thermal structure of ice sheets and the distribution of basal melt water(3), and it should be taken into account in planning deep ice drilling campaigns and climate reconstructions(4). Here we use a coupled ice-lithosphere model driven by climate and show that the oldest and thickest part of the Greenland Ice Sheet is strongly influenced by heat flow from the deep Earth. We find that the geothermal heat flux in central Greenland increases from west to east due to thinning of the lithosphere, which is only about 25-66% as thick as is typical for terrains of early Proterozoic age(5). Complex interactions between geothermal heat flow and glaciation-induced thermal perturbations in the upper crust over glacial cycles lead to strong regional variations in basal ice conditions, with areas of rapid basal melting adjoining areas of extremely cold basal ice. Our findings demonstrate the role that the structure of the solid Earth plays in the dynamics of surface processes.</t>
  </si>
  <si>
    <t>[Petrunin, A. G.; Rogozhina, I.; Kaban, M. K.; Thomas, M.] GFZ German Res Ctr Geosci, Helmholtz Ctr Potsdam, Sect Earth Syst Modelling 1 3, D-14473 Potsdam, Germany; [Petrunin, A. G.; Kaban, M. K.] Schmidt Inst Phys Earth, Moscow 123995, Russia; [Vaughan, A. P. M.] Trinity Coll Dublin, Coll Green, Dublin 2, Ireland; [Vaughan, A. P. M.] British Antarctic Survey, Cambridge CB3 0ET, England; [Kukkonen, I. T.] Geol Survey Finland GTK, Espoo 02150, Finland; [Koulakov, I.] SB RAS, Inst Petr Geol &amp; Geophys, Novosibirsk 630090, Russia; [Thomas, M.] Free Univ Berlin, Inst Meteorol, Fac Geosci, D-12165 Berlin, Germany</t>
  </si>
  <si>
    <t>Helmholtz Association; Helmholtz-Center Potsdam GFZ German Research Center for Geosciences; Russian Academy of Sciences; Schmidt Institute of Physics of the Earth of the Russian Academy of Sciences; Trinity College Dublin; UK Research &amp; Innovation (UKRI); Natural Environment Research Council (NERC); NERC British Antarctic Survey; Geological Survey of Finland (GTK); Russian Academy of Sciences; Trofimuk Institute of Petroleum Geology &amp; Geophysics; Free University of Berlin</t>
  </si>
  <si>
    <t>Rogozhina, I (corresponding author), GFZ German Res Ctr Geosci, Helmholtz Ctr Potsdam, Sect Earth Syst Modelling 1 3, Telegrafenberg A20, D-14473 Potsdam, Germany.</t>
  </si>
  <si>
    <t>valmont@gfz-potsdam.de</t>
  </si>
  <si>
    <t>Koulakov, Ivan/AAT-6109-2021; Vaughan, Alan PM/B-7829-2010; Rogozhina, Irina/L-4805-2017; Petrunin, Alexey/N-4247-2018; Koulakov, Ivan/JCD-8686-2023; Kaban, Mikhail/ABA-7286-2020; Rogozhina, Irina/JFK-1968-2023; Koulakov, Ivan/C-1942-2018; Petrunin, Alexey/AAD-6186-2020</t>
  </si>
  <si>
    <t>Petrunin, Alexey/0000-0002-5439-4178; Petrunin, Alexey/0000-0002-5439-4178; Kaban, Mikhail/0000-0002-1864-2234; Rogozhina, Irina/0009-0008-5067-080X</t>
  </si>
  <si>
    <t>DynaQlim; COSC; NERC [bas0100026] Funding Source: UKRI; Natural Environment Research Council [bas0100026] Funding Source: researchfish</t>
  </si>
  <si>
    <t>DynaQlim; COSC; NERC(UK Research &amp; Innovation (UKRI)Natural Environment Research Council (NERC)); Natural Environment Research Council(UK Research &amp; Innovation (UKRI)Natural Environment Research Council (NERC))</t>
  </si>
  <si>
    <t>This study is a part of the multinational research initiative IceGeoHeat (I. Rogozhina, A. Petrunin, B. Steinberger, M. K. Kaban, I. Artemieva, J. V. Johnson, L. Tarasov, A. P. M. Vaughan, I. Kukkonen, I. Koulakov, W. Stolk, Z. Martinec, A. Shulgin and A. Tassara). The IceGeoHeat members are grateful to DynaQlim and COSC for financial support. Special thanks to C. Fox Maule for sharing the map of Curie depths with us.</t>
  </si>
  <si>
    <t>10.1038/NGEO1898</t>
  </si>
  <si>
    <t>WOS:000323717500017</t>
  </si>
  <si>
    <t>Cook, CP; van de Flierdt, T; Williams, T; Hemming, SR; Iwai, M; Kobayashi, M; Jimenez-Espejo, FJ; Escutia, C; González, JJ; Khim, BK; McKay, RM; Passchier, S; Bohaty, SM; Riesselman, CR; Tauxe, L; Sugisaki, S; Galindo, AL; Patterson, MO; Sangiorgi, F; Pierce, EL; Brinkhuis, H</t>
  </si>
  <si>
    <t>Cook, Carys P.; van de Flierdt, Tina; Williams, Trevor; Hemming, Sidney R.; Iwai, Masao; Kobayashi, Munemasa; Jimenez-Espejo, Francisco J.; Escutia, Carlota; Jairo Gonzalez, Jhon; Khim, Boo-Keun; McKay, Robert M.; Passchier, Sandra; Bohaty, Steven M.; Riesselman, Christina R.; Tauxe, Lisa; Sugisaki, Saiko; Lopez Galindo, Alberto; Patterson, Molly O.; Sangiorgi, Francesca; Pierce, Elizabeth L.; Brinkhuis, Henk</t>
  </si>
  <si>
    <t>IODP Expedition 318 Scientists</t>
  </si>
  <si>
    <t>Dynamic behaviour of the East Antarctic ice sheet during Pliocene warmth</t>
  </si>
  <si>
    <t>SOUTHERN-OCEAN; SEA-LEVEL; THICKNESS; SEDIMENT; SURFACE</t>
  </si>
  <si>
    <t>Warm intervals within the Pliocene epoch (5.33-2.58 million years ago) were characterized by global temperatures comparable to those predicted for the end of this century(1) and atmospheric CO2 concentrations similar to today(2-4). Estimates for global sea level highstands during these times(5) imply possible retreat of the East Antarctic ice sheet, but ice-proximal evidence from the Antarctic margin is scarce. Here we present new data from Pliocene marine sediments recovered offshore of Adelie Land, East Antarctica, that reveal dynamic behaviour of the East Antarctic ice sheet in the vicinity of the low-lying Wilkes Subglacial Basin during times of past climatic warmth. Sedimentary sequences deposited between 5.3 and 3.3 million years ago indicate increases in Southern Ocean surface water productivity, associated with elevated circum-Antarctic temperatures. The geochemical provenance of detrital material deposited during these warm intervals suggests active erosion of continental bedrock from within the Wilkes Subglacial Basin, an area today buried beneath the East Antarctic ice sheet. We interpret this erosion to be associated with retreat of the ice sheet margin several hundreds of kilometres inland and conclude that the East Antarctic ice sheet was sensitive to climatic warmth during the Pliocene.</t>
  </si>
  <si>
    <t>[Cook, Carys P.] Univ London Imperial Coll Sci Technol &amp; Med, Grantham Inst Climate Change, London SW7 2AZ, England; [Cook, Carys P.; van de Flierdt, Tina] Univ London Imperial Coll Sci Technol &amp; Med, Dept Earth Sci &amp; Engn, London SW7 2AZ, England; [Williams, Trevor; Hemming, Sidney R.] Columbia Univ, Lamont Doherty Earth Observ, Palisades, NY 10964 USA; [Hemming, Sidney R.] Columbia Univ, Dept Earth &amp; Environm Sci, New York, NY 10027 USA; [Iwai, Masao; Kobayashi, Munemasa] Kochi Univ, Dept Nat Sci, Kochi 7808520, Japan; [Jimenez-Espejo, Francisco J.] Nagoya Univ, Dept Earth &amp; Planetary Sci, Grad Sch Environm Studies, Chikusa Ku, Nagoya, Aichi 4648601, Japan; [Jimenez-Espejo, Francisco J.; Escutia, Carlota; Jairo Gonzalez, Jhon; Lopez Galindo, Alberto] CSIC UGR, Inst Andaluz Ciencias Tierra, Armilla 18100, Spain; [Khim, Boo-Keun] Pusan Natl Univ, Dept Oceanog, Pusan 609735, South Korea; [McKay, Robert M.; Patterson, Molly O.] Victoria Univ Wellington, Antarctic Res Ctr, Wellington 6140, New Zealand; [Passchier, Sandra] Montclair State Univ, Montclair, NJ 07043 USA; [Bohaty, Steven M.] Univ Southampton, Natl Oceanog Ctr Southampton, Southampton SO14 3ZH, Hants, England; [Riesselman, Christina R.] Univ Otago, Dept Geol, Dunedin 9054, New Zealand; [Riesselman, Christina R.] Univ Otago, Dept Marine Sci, Dunedin 9054, New Zealand; [Tauxe, Lisa; Sugisaki, Saiko] Univ Calif San Diego, Scripps Inst Oceanog, La Jolla, CA 92093 USA; [Sugisaki, Saiko] Univ Tokyo, Dept Earth &amp; Planetary Sci, Bunkyo Ku, Tokyo 1130033, Japan; [Sangiorgi, Francesca; Brinkhuis, Henk] Univ Utrecht, Dept Earth Sci, Fac Geosci, Lab Palaeobot &amp; Palynol, NL-3584 CD Utrecht, Netherlands; [Pierce, Elizabeth L.] Wellesley Coll, Dept Geosci, Wellesley, MA 02481 USA</t>
  </si>
  <si>
    <t>Imperial College London; Imperial College London; Columbia University; Columbia University; Kochi University; Nagoya University; Consejo Superior de Investigaciones Cientificas (CSIC); CSIC - Instituto Andaluz de Ciencias de la Tierra (IACT); University of Granada; Pusan National University; Victoria University Wellington; Montclair State University; NERC National Oceanography Centre; University of Southampton; University of Otago; University of Otago; University of California System; University of California San Diego; Scripps Institution of Oceanography; University of Tokyo; Utrecht University; Wellesley College</t>
  </si>
  <si>
    <t>Cook, CP (corresponding author), Univ London Imperial Coll Sci Technol &amp; Med, Grantham Inst Climate Change, South Kensington Campus,Prince Consort Rd, London SW7 2AZ, England.</t>
  </si>
  <si>
    <t>c.cook09@imperial.ac.uk</t>
  </si>
  <si>
    <t>Williams, Trevor/L-7670-2014; Lopez Galindo, Alberto/E-2886-2013; Riesselman, Christina R/H-5037-2012; Passchier, Sandra/B-1993-2008; Jimenez-Espejo, Francisco J/F-4486-2016; Brinkhuis, Henk/IUO-8165-2023; Passchier, Sandra/AAQ-2243-2021; Jimenez-Espejo, Francisco J./AAR-2318-2020; Galindo, Alberto López/AAS-9173-2020; Röhl, Ursula/G-5986-2011; Passchier, Sandra/GYU-2381-2022; McKay, Robert/N-2449-2015; Flores, José-Abel/D-4218-2009; Escutia, Carlota/B-8614-2015; Welsh, Kevin/A-9808-2012</t>
  </si>
  <si>
    <t>Lopez Galindo, Alberto/0000-0002-5540-9212; Passchier, Sandra/0000-0001-7204-7025; Jimenez-Espejo, Francisco J/0000-0002-0335-8580; Brinkhuis, Henk/0000-0003-0253-6610; Passchier, Sandra/0000-0001-7204-7025; Röhl, Ursula/0000-0001-9469-7053; McKay, Robert/0000-0002-5602-6985; Flores, José-Abel/0000-0003-1909-293X; Riesselman, Christina/0000-0002-2436-4306; Iwai, Masao/0000-0001-7489-1262; Hemming, Sidney/0000-0001-8117-2303; Patterso, Molly/0000-0002-5058-9269; Escutia, Carlota/0000-0002-4932-8619; Yamane, Masako/0000-0002-5063-0719; Bendle, James/0000-0002-6826-8658; Bijl, Peter/0000-0002-1710-4012; Welsh, Kevin/0000-0002-4834-4190; Sangiorgi, Francesca/0000-0003-4233-6154; Dunbar, Robert/0000-0002-9728-5609</t>
  </si>
  <si>
    <t>US National Science Foundation (NSF); NERC UK IODP [NE/H014144/1, NE/H025162/1]; European Commission [IRG 230828]; National Science Foundation [ANT 09-44489]; NSF [OCE 1060080]; Spanish Ministry of Science and Innovation [CTM 2011-24079]; Netherlands Organisation for Scientific Research [86610110]; Japanese Society for the Promotion of Science KAKHENI [25550015, 23244102]; National Research Foundation of Korea [2011-0021632]; Division Of Ocean Sciences; Directorate For Geosciences [1060080] Funding Source: National Science Foundation; Division Of Ocean Sciences; Directorate For Geosciences [1058858] Funding Source: National Science Foundation; Office of Polar Programs (OPP); Directorate For Geosciences [0944489] Funding Source: National Science Foundation; Natural Environment Research Council [NE/I00646X/2, NE/H014616/1, NE/I006257/1, NE/H025162/1, NE/H014144/1, NE/I00646X/1] Funding Source: researchfish; NERC [NE/I006257/1, NE/H014144/1, NE/H014616/1, NE/H025162/1, NE/I00646X/1, NE/I00646X/2] Funding Source: UKRI; Grants-in-Aid for Scientific Research [25550015, 23244102] Funding Source: KAKEN</t>
  </si>
  <si>
    <t>US National Science Foundation (NSF)(National Science Foundation (NSF)); NERC UK IODP; European Commission(European Union (EU)European Commission Joint Research Centre); National Science Foundation(National Science Foundation (NSF)); NSF(National Science Foundation (NSF)); Spanish Ministry of Science and Innovation(Spanish Government); Netherlands Organisation for Scientific Research(Netherlands Organization for Scientific Research (NWO)); Japanese Society for the Promotion of Science KAKHENI; National Research Foundation of Korea(National Research Foundation of Korea); Division Of Ocean Sciences; Directorate For Geosciences(National Science Foundation (NSF)NSF - Directorate for Geosciences (GEO)); Division Of Ocean Sciences; Directorate For Geosciences(National Science Foundation (NSF)NSF - Directorate for Geosciences (GEO)); Office of Polar Programs (OPP); Directorate For Geosciences(National Science Foundation (NSF)NSF - Directorate for Geosciences (GEO)); Natural Environment Research Council(UK Research &amp; Innovation (UKRI)Natural Environment Research Council (NERC)); NERC(UK Research &amp; Innovation (UKRI)Natural Environment Research Council (NERC)); Grants-in-Aid for Scientific Research(Ministry of Education, Culture, Sports, Science and Technology, Japan (MEXT)Japan Society for the Promotion of ScienceGrants-in-Aid for Scientific Research (KAKENHI))</t>
  </si>
  <si>
    <t>This research used samples and data provided by the Integrated Ocean Drilling Program (IODP). The IODP is sponsored by the US National Science Foundation (NSF) and participating countries under the management of Joint Oceanographic Institutions. We thank B. Coles and K. Kreissig for technical laboratory support, and A. G. C. Graham for assistance with cartography. Financial support for this study was provided by NERC UK IODP to T.v.d.F. (grants NE/H014144/1 and NE/H025162/1), by the European Commission to T.v.d.F. (grant IRG 230828), by the National Science Foundation to T. W., T.v.d.F. and S. R. H. (grant ANT 09-44489), by the NSF to S. P. (grant OCE 1060080), by the Spanish Ministry of Science and Innovation to C. E. (grant CTM 2011-24079), by the National Science Foundation to L. T. (grant OCE 1058858), by the Netherlands Organisation for Scientific Research to F. S. and H. B. (grant 86610110), by the Japanese Society for the Promotion of Science KAKHENI to M. I. (grants 25550015 and 23244102) and by the National Research Foundation of Korea to B-K. K. (grant 2011-0021632).</t>
  </si>
  <si>
    <t>10.1038/NGEO1889</t>
  </si>
  <si>
    <t>WOS:000323717500021</t>
  </si>
  <si>
    <t>Buckeridge, JS; Kelly, M; Janussen, D; Reiswig, HM</t>
  </si>
  <si>
    <t>Buckeridge, J. S.; Kelly, M.; Janussen, D.; Reiswig, H. M.</t>
  </si>
  <si>
    <t>New Palaeogene sponges from the Red Bluff Tuff, Chatham Island, New Zealand</t>
  </si>
  <si>
    <t>NEW ZEALAND JOURNAL OF GEOLOGY AND GEOPHYSICS</t>
  </si>
  <si>
    <t>Anomochone; Chatham Island; Eocene; fossil Porifera; Hexactinellida; lithistid Demospongiae; New Zealand; Palaeocene; Red Bluff Tuff; Rossella</t>
  </si>
  <si>
    <t>LATE EOCENE; GENUS; HEXACTINELLIDA; LITHISTIDA; PLEROMIDAE; TAXONOMY; BORNHOLM</t>
  </si>
  <si>
    <t>A horizon with well-preserved sponge body fossils occurs in the late Palaeocene-early Eocene Red Bluff Tuff of Chatham Island, located some 850 km east of mainland New Zealand. The body fossils are glass' and lithistid' sponges in which most of the original silica has been replaced by calcite during diagenesis, strewn in approximate growth position around the same horizon. We describe two new species, a lyssacinosidan (non-rigid) glass sponge Rossella cylindrica sp. nov. (Class Hexactinellida, Order Lyssacinosida, Family Rossellidae), significant as it provides only the second species in the fossil record of the genus Rossella, and a very large, foliose, tretodictyid (rigid) glass sponge, Anomochone chathamensis sp. nov. (Class Hexactinellida, Order Hexactinosida, Family Tretodictyidae). A large, nodulose lithistid sponge attributed to the Family Corallistidae, but not identifiable to genus, is also described. This material provides a window into the early Tertiary palaeoenvironment of what is now the southern Pacific Ocean.</t>
  </si>
  <si>
    <t>[Buckeridge, J. S.] RMIT Univ, Melbourne, Vic, Australia; [Janussen, D.] Forschungsinst, Frankfurt, Germany; [Janussen, D.] Nat Museum Senckenberg, Frankfurt, Germany; [Reiswig, H. M.] Univ Victoria, Dept Biol, Victoria, BC V8W 2Y2, Canada; [Reiswig, H. M.] Royal British Columbia Museum, Nat Hist Sect, Victoria, BC, Canada</t>
  </si>
  <si>
    <t>Royal Melbourne Institute of Technology (RMIT); Senckenberg Gesellschaft fur Naturforschung (SGN); University of Victoria</t>
  </si>
  <si>
    <t>Buckeridge, JS (corresponding author), RMIT Univ, Melbourne, Vic, Australia.</t>
  </si>
  <si>
    <t>New Zealand Lotteries Grants Board Repatriation Fellowship; Royal Society of New Zealand Marsden Fund Grant; New Zealand Foundation for Research, Science and Technology [C01X0219]; CeDAMar; New Zealand, SYNTHESYS [NL-TAF 11]; German Research Foundation (DFG) [JA 1063/14-1, JA 1063/14-2, JA 1063/13-1-3]</t>
  </si>
  <si>
    <t>New Zealand Lotteries Grants Board Repatriation Fellowship; Royal Society of New Zealand Marsden Fund Grant(Royal Society of New ZealandMarsden Fund (NZ)); New Zealand Foundation for Research, Science and Technology(New Zealand Foundation for Research, Science and Technology); CeDAMar; New Zealand, SYNTHESYS; German Research Foundation (DFG)(German Research Foundation (DFG))</t>
  </si>
  <si>
    <t>Research and fieldwork were funded by a New Zealand Lotteries Grants Board Repatriation Fellowship (1997-1999) to MK, and a Royal Society of New Zealand Marsden Fund Grant to MK and JB (2000-2002). This research was also supported by the New Zealand Foundation for Research, Science and Technology Contracts C01X0219 (Biodiversity) to NIWA. We thank David Friedman for preparation of thin sections, and Carina Sim-Smith and Blayne Herr for photographic plate construction. DJ acknowledges CeDAMar for a grant to visit the NIWA institution and collections in Auckland and Wellington, New Zealand, SYNTHESYS (NL-TAF 11) for a grant to visit the Zoological Museum of Amsterdam sponge collection and study the sponges by Ijima (1927) a.o., and the German Research Foundation (DFG) for financial support to research a project on the phylogeny and evolution of Antarctic sponges and on the phylogeny of the Hexactinellida (JA 1063/14-1, 2, JA 1063/13-1-3).</t>
  </si>
  <si>
    <t>0028-8306</t>
  </si>
  <si>
    <t>1175-8791</t>
  </si>
  <si>
    <t>NEW ZEAL J GEOL GEOP</t>
  </si>
  <si>
    <t>N. Z. J. Geol. Geophys.</t>
  </si>
  <si>
    <t>10.1080/00288306.2013.808235</t>
  </si>
  <si>
    <t>Geology; Geosciences, Multidisciplinary</t>
  </si>
  <si>
    <t>196WZ</t>
  </si>
  <si>
    <t>WOS:000322809400005</t>
  </si>
  <si>
    <t>O'Kane, TJ; Matear, RJ; Chamberlain, MA; Risbey, JS; Sloyan, BM; Horenko, I</t>
  </si>
  <si>
    <t>O'Kane, Terence J.; Matear, Richard J.; Chamberlain, Matthew A.; Risbey, James S.; Sloyan, Bernadette M.; Horenko, Illia</t>
  </si>
  <si>
    <t>Decadal variability in an OGCM Southern Ocean: Intrinsic modes, forced modes and metastable states</t>
  </si>
  <si>
    <t>Southern Ocean; Decadal variability; Cluster analysis</t>
  </si>
  <si>
    <t>LOW-FREQUENCY VARIABILITY; ANNULAR MODE; CIRCULATION; IDENTIFICATION; DRIVEN; GENERATION; LIKELIHOOD; PROJECT; REGIMES; ENSO</t>
  </si>
  <si>
    <t>An ocean general circulation model (OGCM) is used to identify a Southern Ocean southeast Pacific intrinsic mode of low frequency variability. Using CORE data a comprehensive suite of experiments were carried out to elucidate excitation and amplification responses of this intrinsic mode to low frequency forcing (ENSO, SAM) and stochastic forcing due to high frequency winds. Subsurface anomalies were found to teleconnect the Pacific and Atlantic regions of the Antarctic Circumpolar Current (ACC) thermocline. The Pacific region of the ACC is characterised by intrinsic baroclinic disturbances that respond to both SAM and ENSO, while the Atlantic sector of the ACC is sensitive to higher frequency winds that act to amplify thermocline anomalies propagating downstream from the Pacific. Non-stationary cluster analysis was used to identify the system's dynamical regimes and characterise meta-stability, persistence and transitions between the respective states. This analysis reveals significant trends, indicating fundamental changes to the meta-stability of the ocean dynamics in response to changes in atmospheric forcing. Intrinsic variability in sea-ice concentration was found to be coupled to thermocline processes. Sea-ice variability localised in the Atlantic was most closely associated with high frequency weather forcing. The SAM was associated with a circumpolar sea-ice response whereas ENSO was found to be a major driver of sea-ice variability only in the Pacific. This simulation study identifies plausible mechanisms that determine the predictability of the Southern Ocean climate on multi-decadal timescales. Crown Copyright (C) 2013 Published by Elsevier Ltd. All rights reserved.</t>
  </si>
  <si>
    <t>[O'Kane, Terence J.; Matear, Richard J.; Chamberlain, Matthew A.; Risbey, James S.; Sloyan, Bernadette M.] CSIRO Marine &amp; Atmospher Res, Ctr Australian Climate &amp; Weather Res, Hobart, Tas, Australia; [Horenko, Illia] Univ Svizzera Italiana, Lugano, Switzerland</t>
  </si>
  <si>
    <t>Commonwealth Scientific &amp; Industrial Research Organisation (CSIRO); Universita della Svizzera Italiana</t>
  </si>
  <si>
    <t>O'Kane, TJ (corresponding author), CSIRO Marine &amp; Atmospher Res, Ctr Australian Climate &amp; Weather Res, Hobart, Tas, Australia.</t>
  </si>
  <si>
    <t>terence.okane@csiro.au</t>
  </si>
  <si>
    <t>Risbey, James/M-8419-2013; O'Kane, Terence J/B-1655-2009; Chamberlain, Matthew/D-4805-2012; Sloyan, Bernadette/N-8989-2014; O'Kane, Terence/AAV-1123-2021; matear, richard/C-5133-2011</t>
  </si>
  <si>
    <t>Risbey, James/0000-0003-3202-9142; O'Kane, Terence J/0000-0002-2137-5915; Sloyan, Bernadette/0000-0003-0250-0167; O'Kane, Terence/0000-0002-2137-5915; Chamberlain, Matthew/0000-0002-3287-3282; matear, richard/0000-0002-3225-0800</t>
  </si>
  <si>
    <t>CSIRO Wealth from Oceans and Climate Adaptation Flagship; Grains Research and Development Corporation; Australian Climate Change Science Program; Swiss National Research Foundation [200021_131845]; Australian Research Council; Swiss National Science Foundation (SNF) [200021_131845] Funding Source: Swiss National Science Foundation (SNF)</t>
  </si>
  <si>
    <t>CSIRO Wealth from Oceans and Climate Adaptation Flagship; Grains Research and Development Corporation(Grains R&amp;D Corp); Australian Climate Change Science Program; Swiss National Research Foundation(Swiss National Science Foundation (SNSF)); Australian Research Council(Australian Research Council); Swiss National Science Foundation (SNF)(Swiss National Science Foundation (SNSF))</t>
  </si>
  <si>
    <t>The authors are very grateful for assistance in preparing the graphics from Ms. Louise Bell. This work has been funded by the CSIRO Wealth from Oceans and Climate Adaptation Flagship, the Grains Research and Development Corporation and the Australian Climate Change Science Program. The development of the Adaptive FEM-BV-VARX used in this paper was funded by Swiss National Research Foundation Grant 200021_131845 AnaGraph. TJO is supported by an Australian Research Council Future Fellowship. The authors appreciate the contributions of two anonymous reviewers which led to significant improvements to this manuscript.</t>
  </si>
  <si>
    <t>10.1016/j.ocemod.2013.04.009</t>
  </si>
  <si>
    <t>206XF</t>
  </si>
  <si>
    <t>WOS:000323558600001</t>
  </si>
  <si>
    <t>Ducklow, HW; Fraser, WR; Meredith, MP; Stammerjohn, SE; Doney, SC; Martinson, DG; Sailley, SF; Schofield, OM; Steinberg, DK; Venables, HJ; Amsler, CD</t>
  </si>
  <si>
    <t>Ducklow, Hugh W.; Fraser, William R.; Meredith, Michael P.; Stammerjohn, Sharon E.; Doney, Scott C.; Martinson, Douglas G.; Sailley, Sevrine F.; Schofield, Oscar M.; Steinberg, Deborah K.; Venables, Hugh J.; Amsler, Charles D.</t>
  </si>
  <si>
    <t>West Antarctic Peninsula: An Ice-Dependent Coastal Marine Ecosystem in Transition</t>
  </si>
  <si>
    <t>SEA-ICE; CLIMATE-CHANGE; SOUTHERN-OCEAN; MARGUERITE BAY; ZONE WEST; VARIABILITY; BIOMASS; REGION; WATER; PRODUCTIVITY</t>
  </si>
  <si>
    <t>The extent, duration, and seasonality of sea ice and glacial discharge strongly influence Antarctic marine ecosystems. Most organisms' life cycles in this region are attuned to ice seasonality The annual retreat and melting of sea ice in the austral spring stratifies the upper ocean, triggering large phytoplankton blooms. The magnitude of the blooms is proportional to the winter extent of ice cover, which can act as a barrier to wind mixing. Antarctic krill, one of the most abundant metazoan populations on Earth, consume phytoplankton blooms dominated by large diatoms. Krill, in turn, support a large biomass of predators, including penguins, seals, and whales. Human activity has altered even these remote ecosystems. The western Antarctic Peninsula region has warmed by 7 degrees C over the past 50 years, and sea ice duration has declined by almost 100 days since 1978, causing a decrease in phytoplankton productivity in the northern peninsula region. Besides climate change, Antarctic marine systems have been greatly altered by harvesting of the great whales and now krill. It is unclear to what extent the ecosystems we observe today differ from the pristine state.</t>
  </si>
  <si>
    <t>[Ducklow, Hugh W.; Martinson, Douglas G.] Columbia Univ, Lamont Doherty Earth Observ, Palisades, NY USA; [Fraser, William R.] Polar Oceans Res Grp, Sheridan, MT USA; [Meredith, Michael P.; Venables, Hugh J.] British Antarctic Survey, Cambridge CB3 0ET, England; [Meredith, Michael P.] Scottish Assoc Marine Sci, Oban, Argyll, Scotland; [Stammerjohn, Sharon E.] Univ Calif Santa Cruz, Santa Cruz, CA 95064 USA; [Stammerjohn, Sharon E.] Univ Colorado, Inst Arctic &amp; Alpine Res, Boulder, CO 80309 USA; [Doney, Scott C.; Sailley, Sevrine F.] Woods Hole Oceanog Inst, Dept Marine Chem &amp; Geochem, Woods Hole, MA 02543 USA; [Schofield, Oscar M.] Rutgers State Univ, Sch Biol &amp; Environm Sci, Inst Marine &amp; Coastal Sci, Coastal Ocean Observat Lab, New Brunswick, NJ 08903 USA; [Steinberg, Deborah K.] Virginia Inst Marine Sci, Coll William &amp; Mary, Gloucester Point, VA 23062 USA; [Amsler, Charles D.] Univ Alabama Birmingham, Birmingham, AL USA</t>
  </si>
  <si>
    <t>Columbia University; UK Research &amp; Innovation (UKRI); Natural Environment Research Council (NERC); NERC British Antarctic Survey; UHI Millennium Institute; University of California System; University of California Santa Cruz; University of Colorado System; University of Colorado Boulder; Woods Hole Oceanographic Institution; Rutgers University System; Rutgers University New Brunswick; William &amp; Mary; Virginia Institute of Marine Science; University of Alabama System; University of Alabama Birmingham</t>
  </si>
  <si>
    <t>Ducklow, HW (corresponding author), Columbia Univ, Lamont Doherty Earth Observ, Palisades, NY USA.</t>
  </si>
  <si>
    <t>hducklow@ldeo.columbia.edu</t>
  </si>
  <si>
    <t>Doney, Scott/F-9247-2010; Schofield, Oscar/H-4169-2018</t>
  </si>
  <si>
    <t>Doney, Scott/0000-0002-3683-2437; Amsler, Charles/0000-0002-4843-3759; Steinberg, Deborah K./0000-0001-9884-4655; STAMMERJOHN, SHARON/0000-0002-1697-8244; Meredith, Michael/0000-0002-7342-7756; Schofield, Oscar/0000-0003-2359-4131</t>
  </si>
  <si>
    <t>National Science Foundation [ANT-0823101]; NSF [ANT-0838773, ANT-1041022]; British Antarctic Survey; NERC [bas0100028] Funding Source: UKRI; Natural Environment Research Council [bas0100028] Funding Source: researchfish; Directorate For Geosciences; Division Of Polar Programs [1344502] Funding Source: National Science Foundation; Directorate For Geosciences; Office of Polar Programs (OPP) [1440435] Funding Source: National Science Foundation; Office of Polar Programs (OPP); Directorate For Geosciences [1326167] Funding Source: National Science Foundation</t>
  </si>
  <si>
    <t>National Science Foundation(National Science Foundation (NSF)); NSF(National Science Foundation (NSF)); British Antarctic Survey; NERC(UK Research &amp; Innovation (UKRI)Natural Environment Research Council (NERC)); Natural Environment Research Council(UK Research &amp; Innovation (UKRI)Natural Environment Research Council (NERC)); Directorate For Geosciences; Division Of Polar Programs(National Science Foundation (NSF)NSF - Directorate for Geosciences (GEO)); Directorate For Geosciences; Office of Polar Programs (OPP)(National Science Foundation (NSF)NSF - Directorate for Geosciences (GEO)); Office of Polar Programs (OPP); Directorate For Geosciences(National Science Foundation (NSF)NSF - Directorate for Geosciences (GEO))</t>
  </si>
  <si>
    <t>Palmer LTER is supported by National Science Foundation grant ANT-0823101. Amsler was supported by NSF ANT-0838773 and ANT-1041022. RaTS is a component of the Polar Oceans research program, funded by the British Antarctic Survey. We thank Philippe Tortell (University British Columbia) for discussion and comments on the manuscript.</t>
  </si>
  <si>
    <t>10.5670/oceanog.2013.62</t>
  </si>
  <si>
    <t>WOS:000323808600026</t>
  </si>
  <si>
    <t>Schofield, O; Ducklow, H; Bernard, K; Doney, S; Patterson-Fraser, D; Gorman, K; Martinson, D; Meredith, M; Saba, G; Stammerjohn, S; Steinberg, D; Fraser, W</t>
  </si>
  <si>
    <t>Schofield, Oscar; Ducklow, Hugh; Bernard, Kim; Doney, Scott; Patterson-Fraser, Donna; Gorman, Kristen; Martinson, Doug; Meredith, Michael; Saba, Grace; Stammerjohn, Sharon; Steinberg, Deborah; Fraser, William</t>
  </si>
  <si>
    <t>Penguin Biogeography Along the West Antarctic Peninsula Testing the Canyon Hypothesis with Palmer LTER Observations</t>
  </si>
  <si>
    <t>ICE</t>
  </si>
  <si>
    <t>[Schofield, Oscar; Saba, Grace] Rutgers State Univ, Sch Environm &amp; Biol Sci, Inst Marine &amp; Coastal Sci, Coastal Ocean Observat Lab, New Brunswick, NJ 08903 USA; [Ducklow, Hugh; Martinson, Doug] Columbia Univ, Lamont Doherty Earth Observ, Palisades, NY USA; [Bernard, Kim] Oregon State Univ, Coll Earth Ocean &amp; Atmospher Sci, Corvallis, OR 97331 USA; [Doney, Scott] Woods Hole Oceanog Inst, Dept Marine Chem &amp; Geochem, Woods Hole, MA 02543 USA; [Patterson-Fraser, Donna; Gorman, Kristen; Fraser, William] Polar Oceans Res Grp, Sheridan, MT USA; [Gorman, Kristen] Simon Fraser Univ, Dept Biol Sci, Burnaby, BC V5A 1S6, Canada; [Meredith, Michael] British Antarctic Survey, Cambridge CB3 0ET, England; [Meredith, Michael] Scottish Assoc Marine Sci, Oban, Argyll, Scotland; [Stammerjohn, Sharon] Univ Colorado, Inst Arctic &amp; Alpine Res, Boulder, CO 80309 USA; [Steinberg, Deborah] Virginia Inst Marine Sci, Coll William &amp; Mary, Gloucester Point, VA 23062 USA</t>
  </si>
  <si>
    <t>Rutgers University System; Rutgers University New Brunswick; Columbia University; Oregon State University; Woods Hole Oceanographic Institution; Simon Fraser University; UK Research &amp; Innovation (UKRI); Natural Environment Research Council (NERC); NERC British Antarctic Survey; UHI Millennium Institute; University of Colorado System; University of Colorado Boulder; William &amp; Mary; Virginia Institute of Marine Science</t>
  </si>
  <si>
    <t>Schofield, O (corresponding author), Rutgers State Univ, Sch Environm &amp; Biol Sci, Inst Marine &amp; Coastal Sci, Coastal Ocean Observat Lab, New Brunswick, NJ 08903 USA.</t>
  </si>
  <si>
    <t>oscar@marine.rutgers.edu</t>
  </si>
  <si>
    <t>Doney, Scott/0000-0002-3683-2437; Meredith, Michael/0000-0002-7342-7756; Schofield, Oscar/0000-0003-2359-4131; Gorman, Kristen B./0000-0002-0258-9264; STAMMERJOHN, SHARON/0000-0002-1697-8244; Steinberg, Deborah K./0000-0001-9884-4655</t>
  </si>
  <si>
    <t>NSF [OPP-0823101]; Gordon and Betty Moore Foundation [1859]; British Antarctic Survey; Directorate For Geosciences; Division Of Polar Programs [1344502] Funding Source: National Science Foundation; Directorate For Geosciences; Office of Polar Programs (OPP) [1440435] Funding Source: National Science Foundation; Directorate For Geosciences; Office of Polar Programs (OPP) [1326167] Funding Source: National Science Foundation; NERC [bas0100028] Funding Source: UKRI; Natural Environment Research Council [bas0100028] Funding Source: researchfish</t>
  </si>
  <si>
    <t>NSF(National Science Foundation (NSF)); Gordon and Betty Moore Foundation(Gordon and Betty Moore Foundation); British Antarctic Survey; Directorate For Geosciences; Division Of Polar Programs(National Science Foundation (NSF)NSF - Directorate for Geosciences (GEO)); Directorate For Geosciences; Office of Polar Programs (OPP)(National Science Foundation (NSF)NSF - Directorate for Geosciences (GEO)); Directorate For Geosciences; Office of Polar Programs (OPP)(National Science Foundation (NSF)NSF - Directorate for Geosciences (GEO)); NERC(UK Research &amp; Innovation (UKRI)Natural Environment Research Council (NERC)); Natural Environment Research Council(UK Research &amp; Innovation (UKRI)Natural Environment Research Council (NERC))</t>
  </si>
  <si>
    <t>Palmer LTER is supported by NSF grant OPP-0823101 and the Gordon and Betty Moore Foundation (1859). Some of the data for this paper was drawn from the Rothera Time-Series (RaTS), a component of the Polar Oceans research program, funded by the British Antarctic Survey.</t>
  </si>
  <si>
    <t>10.5670/oceanog.2013.63</t>
  </si>
  <si>
    <t>Green Published, Green Accepted, gold</t>
  </si>
  <si>
    <t>WOS:000323808600027</t>
  </si>
  <si>
    <t>Fraser, WR; Patterson-Fraser, DL; Ribic, CA; Schofield, O; Ducklow, H</t>
  </si>
  <si>
    <t>Fraser, William R.; Patterson-Fraser, Donna L.; Ribic, Christine A.; Schofield, Oscar; Ducklow, Hugh</t>
  </si>
  <si>
    <t>A Nonmarine Source of Variability in Adelie Penguin Demography</t>
  </si>
  <si>
    <t>WEST ANTARCTIC PENINSULA; ECOSYSTEM; LINKS</t>
  </si>
  <si>
    <t>[Fraser, William R.; Patterson-Fraser, Donna L.] Polar Oceans Res Grp, Sheridan, MT USA; [Ribic, Christine A.] Univ Wisconsin, Wisconsin Cooperat Wildlife Res Unit, US Geol Survey, Madison, WI USA; [Schofield, Oscar] Rutgers State Univ, Sch Environm &amp; Biol Sci, Inst Marine &amp; Coastal Sci, Coastal Ocean Observat Lab, New Brunswick, NJ 08903 USA; [Ducklow, Hugh] Columbia Univ, Lamont Doherty Earth Observ, Palisades, NY USA</t>
  </si>
  <si>
    <t>University of Wisconsin System; University of Wisconsin Madison; United States Department of the Interior; United States Geological Survey; Rutgers University System; Rutgers University New Brunswick; Columbia University</t>
  </si>
  <si>
    <t>Fraser, WR (corresponding author), Polar Oceans Res Grp, Sheridan, MT USA.</t>
  </si>
  <si>
    <t>bfraser@3rivers.net</t>
  </si>
  <si>
    <t>Schofield, Oscar/H-4169-2018</t>
  </si>
  <si>
    <t>Schofield, Oscar/0000-0003-2359-4131</t>
  </si>
  <si>
    <t>Division Of Polar Programs; Directorate For Geosciences [1344502] Funding Source: National Science Foundation; Office of Polar Programs (OPP); Directorate For Geosciences [1326167] Funding Source: National Science Foundation</t>
  </si>
  <si>
    <t>Division Of Polar Programs; Directorate For Geosciences(National Science Foundation (NSF)NSF - Directorate for Geosciences (GEO)); Office of Polar Programs (OPP); Directorate For Geosciences(National Science Foundation (NSF)NSF - Directorate for Geosciences (GEO))</t>
  </si>
  <si>
    <t>10.5670/oceanog.2013.64</t>
  </si>
  <si>
    <t>WOS:000323808600028</t>
  </si>
  <si>
    <t>Everatt, MJ; Worland, MR; Convey, P; Bale, JS; Hayward, SAL</t>
  </si>
  <si>
    <t>Everatt, Matthew J.; Worland, Michael R.; Convey, Peter; Bale, Jeff S.; Hayward, Scott A. L.</t>
  </si>
  <si>
    <t>The impact of salinity exposure on survival and temperature tolerance of the Antarctic collembolan Cryptopygus antarcticus</t>
  </si>
  <si>
    <t>PHYSIOLOGICAL ENTOMOLOGY</t>
  </si>
  <si>
    <t>Acclimation; cross-tolerance; recovery; supercooling point; thermal activity thresholds</t>
  </si>
  <si>
    <t>HEAT-SHOCK; DROUGHT ACCLIMATION; COLD TOLERANCE; TERRESTRIAL ARTHROPOD; BELGICA-ANTARCTICA; THERMAL TOLERANCE; DESICCATION; MIDGE; STRESS; LIFE</t>
  </si>
  <si>
    <t>The collembolan Cryptopygus antarcticus Willem is potentially exposed to habitat salinities equal to (or greater than) sea water, as a result of sea spray, drying of littoral habitats, dispersal or temporary entrapment on the surface of sea water, or exposure to localized salt deposits from dense vertebrate populations on terrestrial habitats. To test the impact of this exposure on C. antarcticus, the tolerance of the collembolan to being placed on the surface of sea water and solutions of higher salt concentrations is investigated. The effects of acclimation to exposure to liquids of different salinities [44, 100 and 200 parts per thousand (ppt) sea salt] on cold and heat tolerance, as well as thermal activity thresholds, are also explored. Cryptopygus antarcticus shows &gt; 75% survival after 10 days of exposure to both sea water and 100-ppt salt, whereas it exhibits significantly lower survival after 5 days (60% survival) and 10 days (40%) of exposure to a 200-ppt solution. Body water content also decreases after exposure to all salinities, and particularly to the 200-ppt solution, in which&gt; 50% of body water is lost after 10 days. Acclimation results in greater cold tolerance, although heat tolerance at 33, 35 and 37 degrees C is either unaltered or reduced. The thermal activity thresholds of C. antarcticus at both high and low temperatures are also negatively affected by saline exposure. The data demonstrate the capacity of C. antarcticus to tolerate periods of exposure to saline conditions, and also show that this exposure can enhance cross-tolerance to low temperatures. The present study also demonstrates that salinity-associated stress at moderately low and high temperatures narrows the thermal range of activity, thus reducing the ability of collembolans to forage, develop and reproduce.</t>
  </si>
  <si>
    <t>[Everatt, Matthew J.; Bale, Jeff S.; Hayward, Scott A. L.] Univ Birmingham, Sch Biosci, Birmingham B15 2TT, W Midlands, England; [Worland, Michael R.; Convey, Peter] British Antarctic Survey, Nat Environm Res Council, Cambridge CB3 0ET, England; [Worland, Michael R.; Convey, Peter] Univ Malaya, Natl Antarctic Res Ctr, Kuala Lumpur, Malaysia</t>
  </si>
  <si>
    <t>MJE was funded by the Natural Environment Research Council (RRBN15266) and was supported by the British Antarctic Survey and the University of Birmingham. The NERC Antarctic Funding Initiative Collaborative Gearing Scheme supported the fieldwork at Rothera Research Station. We thank Sharon Duggan (BAS) for help in the location of sample sites. This paper contributes to the BAS 'Polar Science for Planet Earth' and SCAR 'Evolution and Biodiversity in Antarctica' research programmes.</t>
  </si>
  <si>
    <t>0307-6962</t>
  </si>
  <si>
    <t>1365-3032</t>
  </si>
  <si>
    <t>PHYSIOL ENTOMOL</t>
  </si>
  <si>
    <t>Physiol. Entomol.</t>
  </si>
  <si>
    <t>10.1111/phen.12011</t>
  </si>
  <si>
    <t>195ZW</t>
  </si>
  <si>
    <t>WOS:000322743600003</t>
  </si>
  <si>
    <t>Zamora, P; Pardo, A; Fierro, A; Prieto, H; Zúñiga, GE</t>
  </si>
  <si>
    <t>Zamora, Pablo; Pardo, Ariel; Fierro, Angelica; Prieto, Humberto; Zuniga, Gustavo E.</t>
  </si>
  <si>
    <t>Molecular characterization of the chalcone isomerase gene family in Deschampsia antarctica</t>
  </si>
  <si>
    <t>Chalcone isomerase; Phenylpropanoids; Deschampsia antarctica; Gene family; Pseudogene</t>
  </si>
  <si>
    <t>STRUCTURE PREDICTION; REACTION-MECHANISM; DUPLICATED GENES; STRUCTURAL GENES; B RADIATION; FLAVONOIDS; BIOSYNTHESIS; ALIGNMENT; CLONING; ECOSYSTEMS</t>
  </si>
  <si>
    <t>Deschampsia antarctica (Poaceae) is one of the two vascular plants known to have colonized the Antarctic region. Studies examining the biosynthesis of flavonoids, compounds which plants use, for example, for protection against overexposure to UV light or as antioxidants that scavenge free radicals and other oxidative species, in D. antarctica may provide clues to its success in that extreme environment. We characterized the family of genes encoding chalcone isomerase (CHI EC 5.5.1.6), an important enzyme involved in flavonoid biosynthesis, in D. antarctica. Sequence analysis of the three family members revealed differences in numbers of introns and lengths of coding regions among the three and suggest that DaCHI3 is likely a pseudogene (psi DaChi2). Salinity stress resulted in differential mRNA expression of the DaCHI genes with psi DaCHI2 exhibiting the earliest response (3-h post-treatment), induced by as much as sevenfold, while DaCHI1 and DaCHI2 mRNAs accumulated later (3d and 5d post-treatment, respectively) and, in the case of DaCHI2, with a response of nearly sixfold. We discuss how differences in the proposed gene structures, deduced protein characteristics, and mRNA expression patterns suggest that the members of this gene family may have unique functions in the phenylpropanoid pathway in D. antarctica.</t>
  </si>
  <si>
    <t>[Zamora, Pablo] Univ Calif Davis, Dept Plant Sci, Davis, CA 95616 USA; [Zamora, Pablo] Univ Tarapaca, Arica, Chile; [Pardo, Ariel; Zuniga, Gustavo E.] Univ Santiago Chile, Dept Biol, Santiago, Chile; [Fierro, Angelica] Pontificia Univ Catolica Chile, Fac Quim, Dept Quim Organ, Santiago, Chile; [Prieto, Humberto] La Platina Res Ctr, Inst Invest Agr, Santiago, Chile</t>
  </si>
  <si>
    <t>University of California System; University of California Davis; Universidad de Tarapaca; Universidad de Santiago de Chile; Pontificia Universidad Catolica de Chile</t>
  </si>
  <si>
    <t>Zamora, P (corresponding author), Univ Calif Davis, Dept Plant Sci, Davis, CA 95616 USA.</t>
  </si>
  <si>
    <t>pazamora@ucdavis.edu; gustavo.zuniga@usach.cl</t>
  </si>
  <si>
    <t>Prieto, H./B-4400-2008; Fierro, Angelica/AAJ-2533-2020; Zuñiga, Gustavo E/P-8306-2015; Zamora, Pablo A/D-1612-2012</t>
  </si>
  <si>
    <t>Prieto, H./0000-0002-9013-1906; Fierro, Angelica/0000-0002-6507-4188; Zuniga, Gustavo/0000-0002-8286-9468</t>
  </si>
  <si>
    <t>Chilean Antarctic Institute Fellowship [11085002]; Programa Bicentenario de Ciencia y Tecnologia [PDA-23]; ICM</t>
  </si>
  <si>
    <t>Chilean Antarctic Institute Fellowship; Programa Bicentenario de Ciencia y Tecnologia; ICM</t>
  </si>
  <si>
    <t>This research was funded through a Chilean Antarctic Institute Fellowship in support of doctoral theses focused on Antarctic studies to PZ, Fondecyt Grant 11085002, Programa Bicentenario de Ciencia y Tecnologia grant PDA-23, the ICM program overseen by Dr. G. Zapata-Torres and DICYT (Universidad de Santiago de Chile).</t>
  </si>
  <si>
    <t>10.1007/s00300-013-1346-0</t>
  </si>
  <si>
    <t>WOS:000322879600004</t>
  </si>
  <si>
    <t>Satish-Kumar, M; Hokada, T; Owada, M; Osanai, Y; Shiraishi, K</t>
  </si>
  <si>
    <t>Satish-Kumar, M.; Hokada, Tomokazu; Owada, Masaaki; Osanai, Yasuhito; Shiraishi, Kazuyuki</t>
  </si>
  <si>
    <t>Neoproterozoic orogens amalgamating East Gondwana: Did they cross each other?</t>
  </si>
  <si>
    <t>East Gondwana; Neoproterozoic orogens; Sor Rondane Mountains</t>
  </si>
  <si>
    <t>SOR-RONDANE MOUNTAINS; DRONNING MAUD LAND; CONTINENTAL COLLISION; AFRICAN OROGEN; SRI-LANKA; ANTARCTICA; METAMORPHISM; EVOLUTION; EVENTS; AGE</t>
  </si>
  <si>
    <t>Several schools of thoughts exist on how and when exactly did the final assembly of East Gondwana occurred and this topic has been discussed over and again in the past few decades. Here we review the present status of our understanding of Neoproterozoic to Cambrian tectonic evolution of the southern sector of East Gondwana and by assembling this special issue we present some of the key elements of new structural, geological and geochronological information obtained from the inland Sol. Rondane Mountains in the Dronning Maud Land and surrounding regions. Altogether fifteen contributions are included in this special issue, most off which are exploring whether the Neoproterozoic orogens of East African Antarctic orogen and the late Kuunga orogens have affected the same geological entity. The results presented suggest the importance of Sor Rondane Mountains in understanding the tectonics of the final amalgamation of East Gondwana. (C) 2013 Elsevier B.V. All rights reserved.</t>
  </si>
  <si>
    <t>[Satish-Kumar, M.] Niigata Univ, Dept Geol, Niigata 9502181, Japan; [Hokada, Tomokazu; Shiraishi, Kazuyuki] Natl Inst Polar Res, Tachikawa, Tokyo 1908518, Japan; [Owada, Masaaki] Yamaguchi Univ, Dept Earth Sci, Yamaguchi 7538512, Japan; [Osanai, Yasuhito] Kyushu Univ, Fac Social &amp; Cultural Studies, Div Earth Sci, Fukuoka 8190395, Japan</t>
  </si>
  <si>
    <t>Niigata University; Research Organization of Information &amp; Systems (ROIS); National Institute of Polar Research (NIPR) - Japan; Yamaguchi University; Kyushu University</t>
  </si>
  <si>
    <t>Satish-Kumar, M (corresponding author), Niigata Univ, Dept Geol, 8050 Ikarashi 2 No Cho, Niigata 9502181, Japan.</t>
  </si>
  <si>
    <t>satish@geo.sc.niigata-u.ac.jp</t>
  </si>
  <si>
    <t>Satish-Kumar, M./AAN-4420-2021; Hokada, Tomokazu/AAC-7847-2019</t>
  </si>
  <si>
    <t>Satish-Kumar, Madhusoodhan/0000-0003-3604-7399</t>
  </si>
  <si>
    <t>Grants-in-Aid for Scientific Research [22244063, 25400518, 23340155, 21253008, 25302008, 25287132, 23540534, 25400521, 23540559] Funding Source: KAKEN</t>
  </si>
  <si>
    <t>10.1016/j.precamres.2013.06.010</t>
  </si>
  <si>
    <t>WOS:000324665500001</t>
  </si>
  <si>
    <t>Osanai, Y; Nogi, Y; Baba, S; Nakano, N; Adachi, T; Hokada, T; Toyoshima, T; Owada, M; Satish-Kumar, M; Kamei, A; Kitano, I</t>
  </si>
  <si>
    <t>Osanai, Yasuhito; Nogi, Yoshifumi; Baba, Sotaro; Nakano, Nobuhiko; Adachi, Tatsuro; Hokada, Tomokazu; Toyoshima, Tsuyoshi; Owada, Masaaki; Satish-Kumar, Madhusoodhan; Kamei, Atsushi; Kitano, Ippei</t>
  </si>
  <si>
    <t>Geologic evolution of the Sor Rondane Mountains, East Antarctica: Collision tectonics proposed based on metamorphic processes and magnetic anomalies</t>
  </si>
  <si>
    <t>Neoproterozoic; Collision metamorphism; Sor Rondane Mountains; East Antarctica</t>
  </si>
  <si>
    <t>DRONNING MAUD LAND; U-PB ZIRCON; CONSTRAINTS; TEMPERATURE; MOZAMBIQUE; FIELDWORK; GARNET; AGE; GRANULITES; MONAZITE</t>
  </si>
  <si>
    <t>The Sor Rondane Mountains of eastern Dronning Maud Land, East Antarctica can be subdivided into two different crustal terranes: the NE-terrane and the SW-terrane. The former is underlain by basement rocks of amphibolite-facies (unit A) and granulite-facies (unit B), and the latter by granulite-facies (unit C) to greenschist-facies (units D and D') rocks. The metamorphic evolution of the NE-terrane exhibits a clockwise pressure-temperature-time (P-T-t) path and the SW-terrane exhibits a counter-clockwise P-T-t path, and detrital zircon U-Pb ages are also different between the two terranes. The differences in the metamorphic evolution processes and detrital zircon provenance in these two regions can be explained by the collision of the NE-terrane and the SW-terrane which is constrained to have occurred at 600-650 Ma. The collision is interpreted to reflect convergence between the East Maud-East African orogen terrane and the Maud-Nampula terrane of the Kalahari Craton, which are bounded by the Main Tectonic Boundary and passes through the Sor Rondane Mountains. The RTP magnetic anomalies suggest this suture is cut by the subsequent collision boundary between the Kalahari Craton and the Rayner Belt, which is exposed in the Lutzow-Holm region. This collisional belt is considered to have formed at approximately 520-580 Ma. (C) 2013 Elsevier B.V. All rights reserved.</t>
  </si>
  <si>
    <t>[Osanai, Yasuhito; Nakano, Nobuhiko; Adachi, Tatsuro; Kitano, Ippei] Kyushu Univ, Fac Social &amp; Cultural Studies, Div Earth Sci, Fukuoka 8190395, Japan; [Nogi, Yoshifumi; Hokada, Tomokazu] Natl Inst Polar Res, Tokyo 1908518, Japan; [Baba, Sotaro] Univ Ryukyus, Dept Nat Environm, Nishihara, Okinawa 9030213, Japan; [Toyoshima, Tsuyoshi; Satish-Kumar, Madhusoodhan] Niigata Univ, Dept Geol, Niigata 9502181, Japan; [Owada, Masaaki] Yamaguchi Univ, Dept Earth Sci, Yamaguchi 7538512, Japan; [Kamei, Atsushi] Shimane Univ, Dept Geosci, Matsue, Shimane 6908504, Japan</t>
  </si>
  <si>
    <t>Kyushu University; Research Organization of Information &amp; Systems (ROIS); National Institute of Polar Research (NIPR) - Japan; University of the Ryukyus; Niigata University; Yamaguchi University; Shimane University</t>
  </si>
  <si>
    <t>Osanai, Y (corresponding author), Kyushu Univ, Fac Social &amp; Cultural Studies, Div Earth Sci, Fukuoka 8190395, Japan.</t>
  </si>
  <si>
    <t>osanai@scs.kyushu-u.ac.jp</t>
  </si>
  <si>
    <t>Baba, Sotaro/HGU-7234-2022; Baba, Sotaro/AGX-7968-2022; Baba, Sotaro/H-3107-2013; Satish-Kumar, M./AAN-4420-2021; Hokada, Tomokazu/AAC-7847-2019</t>
  </si>
  <si>
    <t>Baba, Sotaro/0000-0003-2969-9575; Baba, Sotaro/0000-0003-2969-9575; Baba, Sotaro/0000-0003-2969-9575; Nogi, Yoshifumi/0000-0001-8457-4244; Satish-Kumar, Madhusoodhan/0000-0003-3604-7399; Kitano, Ippei/0000-0001-8959-608X</t>
  </si>
  <si>
    <t>Ministry of Education, Culture, Sports, Science and Technology, Japan [21253008, 22244063]; Grants-in-Aid for Scientific Research [23540534, 25400521, 21253008, 23340155, 25302008, 25400483, 25400518, 22244063, 23540559, 25287132] Funding Source: KAKEN</t>
  </si>
  <si>
    <t>We are grateful to the members of the 48th and 49th Japanese Antarctic Research Expeditions and the crews of the icebreaker Shirase and the DROMLAN flight network. We also thank A. Hubert, G. Johnson-Amin, and all members of the Belgian station of Princess Elisabeth Antarctica (2007-2008) for supporting our fieldwork. We acknowledge K. Shiraishi, Y. Motoyoshi, Y. Hiroi, H. Ishizuka, T. Kawasaki, N. Tsuchiya, T. Tsunogae and T. Miyamoto for valuable discussions. We appreciate constructive reviews and editorial comments by G. Zhao, S. Boger and anonymous reviewers. This work was partly supported by Grants-in-Aid for Scientific Research (Nos. 21253008 and 22244063 to Y. Osanai) from the Ministry of Education, Culture, Sports, Science and Technology, Japan.</t>
  </si>
  <si>
    <t>10.1016/j.precamres.2013.05.017</t>
  </si>
  <si>
    <t>WOS:000324665500002</t>
  </si>
  <si>
    <t>Otsuji, N; Satish-Kumar, M; Kamei, A; Tsuchiya, N; Kawakami, T; Ishikawa, M; Grantham, GH</t>
  </si>
  <si>
    <t>Otsuji, Naho; Satish-Kumar, M.; Kamei, Atsushi; Tsuchiya, Noriyoshi; Kawakami, Tetsuo; Ishikawa, Masahiro; Grantham, Geoffrey H.</t>
  </si>
  <si>
    <t>Late-Tonian to early-Cryogenian apparent depositional ages for metacarbonate rocks from the Sor Rondane Mountains, East Antarctica</t>
  </si>
  <si>
    <t>Chemostratigraphy; Metacarbonate; Strontium isotopes; Carbon and oxygen isotopes; Sor Rondane Mountains</t>
  </si>
  <si>
    <t>RARE-EARTH-ELEMENTS; DRONNING MAUD LAND; ISOTOPE THERMOMETRY; CRUSTAL EVOLUTION; EVENTS; SR-87/SR-86; YTTRIUM; GEOCHEMISTRY; CONSTRAINTS; PROVENANCE</t>
  </si>
  <si>
    <t>The Sor Rondane Mountains (SRM), located in the Neoproterozoic to Early Cambrian East African-Antarctic collisional orogen is composed of medium- to high-grade metasedimentary, metaigneous and intrusive rocks of diverse composition. Within the metasedimentary rocks, the metacarbonate rocks are considered to have deposited chemically in the so-called the Mozambique Ocean that separated the continental blocks that amalgamated to form Gondwana and possibly record geochemical signatures of contemporaneous seawater. Here we attempt to constrain the apparent age of sedimentation of metasedimentary sequences using strontium isotope chemostratigraphy of the least altered metacarbonate rocks. Pure metacarbonate samples, collected during the 51st Japanese Antarctic Research Expedition from different regions throughout the SRM, were selected based on careful screening using multiple geochemical parameters, such as carbon and oxygen isotopic composition and trace and rare earth element contents. We could successfully test the extent of alteration for the Sor Rondane metacarbonate samples, using Mn/Sr ratios, which show a positive correlation with Sr-87/Sr-86 ratios. After a rigorous geochemical screening in terms of post-depositional alterations, 18 samples were identified as least altered. These samples collectively gave regional initial Sr-87/Sr-86 ratios between 0.70566 and 0.70630, from Balchen, Brattnipene, Menipa and Tanngarden regions of the SRM, with the exception of Perlebandet region. These Sr isotopic ratios reflect seawater compositions of late-Tonian and early-Cryogenian age (880-850 Ma and 820-790 Ma), when compared with the evolution of Sr isotopes in the Neoproterozoic Oceans. Furthermore, these estimates are consistent with the carbon isotope chemostratigraphic curves of Neoproterozoic. The estimated apparent depositional ages of carbonate rocks in the SRM are also conformable with the reported detrital and metamorphic ages for this region. Carbonate rocks in the Perlebandet region shows low initial Sr isotope ratio (0.70482), suggesting that these rocks may have deposited earlier than other carbonate rocks in the SRM. Our results can be correlated with the chemostratigraphic depositional ages reported for carbonates from the Montepuetz Complex, Mozambique, suggesting the presence of contemporaneous platform environment on both sides of the possible suture. The finding of late-Tonian and early-Cryogenian carbonate deposition, potentially points toward a platform environment surrounding the tonalitic continental arc in the SW region of the SRM, prior to the amalgamation of Gondwana. The results obtained need to be tested with similar studies on metacarbonate sequences from the surrounding regions, which would help to resolve the processes and sequence of collision events that finally amalgamated Gondwana. (C) 2012 Elsevier B.V. All rights reserved.</t>
  </si>
  <si>
    <t>[Otsuji, Naho; Satish-Kumar, M.] Niigata Univ, Grad Sch Sci &amp; Technol, Nishi Ku, Niigata 9502181, Japan; [Satish-Kumar, M.] Niigata Univ, Dept Geol, Nishi Ku, Niigata 9502181, Japan; [Kamei, Atsushi] Shimane Univ, Dept Geosci, Matsue, Shimane 6908504, Japan; [Tsuchiya, Noriyoshi] Tohoku Univ, Grad Sch Environm Studies, Aoba Ku, Sendai, Miyagi 9809579, Japan; [Kawakami, Tetsuo] Kyoto Univ, Dept Geol &amp; Mineral, Sakyo Ku, Kyoto 6068502, Japan; [Ishikawa, Masahiro] Yokohama Natl Univ, Grad Sch Environm &amp; Informat Sci, Hodogaya Ku, Yokohama, Kanagawa 248501, Japan; [Grantham, Geoffrey H.] Council Geosci, Pretoria, South Africa</t>
  </si>
  <si>
    <t>Niigata University; Niigata University; Shimane University; Tohoku University; Kyoto University; Yokohama National University</t>
  </si>
  <si>
    <t>Satish-Kumar, M (corresponding author), Niigata Univ, Fac Sci, Dept Geol, Nishi Ku, 2-8050 Ikarashi, Niigata 9502181, Japan.</t>
  </si>
  <si>
    <t>Kawakami, Tetsuo/0000-0002-5921-5562; ISHIKAWA, MASAHIRO/0000-0003-1628-3116; Grantham, Geoffrey/0000-0001-9862-0547; Satish-Kumar, Madhusoodhan/0000-0003-3604-7399</t>
  </si>
  <si>
    <t>Ministry of Education, Culture, Sports, Science and Technology, Japan [23340155]; Grants-in-Aid for Scientific Research [23540559, 23740391, 23540534, 22403014, 25302008, 21109002, 23340155] Funding Source: KAKEN</t>
  </si>
  <si>
    <t>The fieldwork was supported by the 51st Japanese Antarctica Research Expedition (JARE) organized by the National Institute of Polar Research (NIPR), Tokyo, Japan. The members of the expedition, the field assistants in particular, are thanked for the logistics and helps during the field work in the SRM. The laboratory work of carbon and oxygen isotope measurements was supported by Hideki Wada, Shizuoka University, Japan. We thank the help of Y. Ogawa, Tohoku University, Japan, for analyzing the trace and rare earth elements. We thank Victor Melezhik and Da Li for their valuable comments, which were useful in drastically improving the contents of our manuscript. M.S.-K. acknowledges the Grant-in-aid financial support from the Ministry of Education, Culture, Sports, Science and Technology, Japan (No. 23340155).</t>
  </si>
  <si>
    <t>10.1016/j.precamres.2012.10.016</t>
  </si>
  <si>
    <t>WOS:000324665500013</t>
  </si>
  <si>
    <t>Loeb, VJ; Santora, JA</t>
  </si>
  <si>
    <t>Loeb, Valerie J.; Santora, Jarrod A.</t>
  </si>
  <si>
    <t>Pteropods and climate off the Antarctic Peninsula</t>
  </si>
  <si>
    <t>ANOMALOUS ATMOSPHERIC CIRCULATION; MIDWATER FOOD-WEB; SOUTHERN-OCEAN; SEA-ICE; AUSTRAL SUMMER; SCOTIA SEA; PHYSICAL OCEANOGRAPHY; BRANSFIELD STRAIT; CLIONE-LIMACINA; ATLANTIC SECTOR</t>
  </si>
  <si>
    <t>Shelled (thecosome) and naked (gymnosome) pteropods are regular, at times abundant, members of Southern Ocean zooplankton assemblages. Regionally, shelled species can play a major role in food webs and carbon cycling. Because of their aragonite shells thecosome pteropods may be vulnerable to the impacts of ocean acidification; without shells they cannot survive and their demise would have major implications for food webs and carbon cycling in the Southern Ocean. Additionally, pteropod species in the southwest Atlantic sector of the Southern Ocean inhabit a region of rapid warming and climate change, the impacts of which are predicted to be observed as poleward distribution shifts. Here we provide baseline information on intraseasonal, interannual and longer scale variability of pteropod populations off the Antarctic Peninsula between 1994 and 2009. Concentrations of the 4 dominant taxa, Limacina helicina antarctica f. antarctica, Clio pyramidata f. sulcata, Spongiobranchaea australis and Clione limacina antarctica, are similar to those monitored during the 1928-1935 Discovery Investigations and reflect generally low values but with episodic interannual abundance peaks that, except for C. pyr. sulcata, are related to basin-scale climate forcing associated with the El Nino-Southern Oscillation (ENSO) climate mode. Significant abundance increases of L. helicina and S. australis after 1998 were associated with a climate regime shift that initiated a period dominated by cool La Nina conditions and increased nearshore influence of the Antarctic Circumpolar Current (ACC). This background information is essential to assess potential future changes in pteropod species distribution and abundance associated with ocean warming and acidification. (C) 2013 Elsevier Ltd. All rights reserved.</t>
  </si>
  <si>
    <t>[Loeb, Valerie J.] Moss Landing Marine Labs, Moss Landing, CA 95039 USA; [Santora, Jarrod A.] Farallon Inst Adv Ecosyst Res, Petaluma, CA 94952 USA; [Santora, Jarrod A.] Univ Calif Santa Cruz, Ctr Stock Assessment Res, Santa Cruz, CA 95060 USA</t>
  </si>
  <si>
    <t>Moss Landing Marine Laboratories; University of California System; University of California Santa Cruz</t>
  </si>
  <si>
    <t>Loeb, VJ (corresponding author), Moss Landing Marine Labs, 8272 Moss Landing Rd, Moss Landing, CA 95039 USA.</t>
  </si>
  <si>
    <t>loeb@mlml.calstate.edu; jasantora@gmail.com</t>
  </si>
  <si>
    <t>U.S. AMLR Program (NOAA-NMFS), Southwest Fisheries Science Center, La Jolla, CA</t>
  </si>
  <si>
    <t>Shiptime for this work and long-term support of the authors was provided by the U.S. AMLR Program (NOAA-NMFS), Southwest Fisheries Science Center, La Jolla, CA. We gratefully acknowledge the assistance provided by the officers and crew of the NOAA R/V Surveyor (1993-1995) and the R/V Yuzhmorgeologiya (1996-2009). Our sincere appreciation goes to Rennie Holt and Roger Hewitt for facilitating development of the long-term AMLR data base used in this study. We also gratefully acknowledge the shipboard data collection and sample processing by a number of wonderful colleagues, research assistants and technicians including Wes Armstrong, Rick Phleger, Mike Force, Adam Jenkins, Dawn Outram, Kim Dietrich and Darci Lombard. Thanks go to two anonymous reviewers whose comments and suggestions helped make this a clearer and more readable paper.</t>
  </si>
  <si>
    <t>10.1016/j.pocean.2013.05.030</t>
  </si>
  <si>
    <t>218TO</t>
  </si>
  <si>
    <t>WOS:000324455600003</t>
  </si>
  <si>
    <t>Ruzicka, JJ; Steele, JH; Ballerini, T; Gaichas, SK; Ainley, DG</t>
  </si>
  <si>
    <t>Ruzicka, James J.; Steele, John H.; Ballerini, Tosca; Gaichas, Sarah K.; Ainley, David G.</t>
  </si>
  <si>
    <t>Dividing up the pie: Whales, fish, and humans as competitors</t>
  </si>
  <si>
    <t>BALEEN WHALES; VARIABILITY; ABUNDANCE; ECOPATH</t>
  </si>
  <si>
    <t>Similarly structured food web models of four coastal ecosystems (Northern California Current, Central Gulf of Alaska, Georges Bank, southwestern Antarctic Peninsula) were used to investigate competition among whales, fishes, pinnipeds, and humans. Two analysis strategies simulated the effects of historic baleen and odontocete whale abundances across all trophic levels: food web structure scenarios and time-dynamic scenarios. Direct competition between whales and commercial fisheries is small at current whale abundances; whales and fisheries each take similar proportions of annual pelagic fish production (4-7%). Scenarios show that as whale populations grow, indirect competition between whales and fish for zooplankton would more likely impact fishery production than would direct competition for fish between whales and commercial fisheries. Increased baleen whale abundance would have greater and broader indirect effects on upper trophic levels and fisheries than a similar increase in odontocete abundance. Time-dynamic scenarios, which allow for the evolution of compensatory mechanisms, showed more modest impacts than structural scenarios, which show the immediate impacts of altered energy pathways. Structural scenarios show that in terms of energy availability, there is potential for large increases in whale abundance without major changes to existing food web structures and without substantial reduction of fishery production. For each ecosystem, a five-fold increase in baleen whale abundance could be supported with minor disruptions to existing energy flow pathways. However, such an increase would remain below historical population levels for many cetaceans. A larger expansion (20X) could be accommodated only with large reductions in energy flow to competitor groups. The scope for odontocete expansion varies between ecosystems but may be more restricted than the scope for baleen expansion because they feed at higher, less productive trophic levels. (C) 2013 Elsevier Ltd. All rights reserved.</t>
  </si>
  <si>
    <t>[Ruzicka, James J.] Oregon State Univ, Cooperat Inst Marine Resources Studies, Hatfield Marine Sci Ctr, Newport, OR 97365 USA; [Steele, John H.] Woods Hole Oceanog Inst, Marine Policy Ctr, Woods Hole, MA 02543 USA; [Ballerini, Tosca] Aix Marseille Univ, Mediterranean Inst Oceanog, Inst Pytheas, CNRS,IRD, Marseille, France; [Gaichas, Sarah K.] NOAA, Northeast Fisheries Sci Ctr, Woods Hole, MA 02543 USA; [Ainley, David G.] HT Harvey &amp; Associates, Los Gatos, CA 95032 USA</t>
  </si>
  <si>
    <t>Oregon State University; Woods Hole Oceanographic Institution; Aix-Marseille Universite; Centre National de la Recherche Scientifique (CNRS); Institut de Recherche pour le Developpement (IRD); National Oceanic Atmospheric Admin (NOAA) - USA</t>
  </si>
  <si>
    <t>Ruzicka, JJ (corresponding author), Oregon State Univ, Cooperat Inst Marine Resources Studies, Hatfield Marine Sci Ctr, 2030 Marine Sci Dr, Newport, OR 97365 USA.</t>
  </si>
  <si>
    <t>Jim.Ruzicka@oregonstate.edu</t>
  </si>
  <si>
    <t>Ballerini, Tosca/0000-0003-4007-4605; Gaichas, Sarah/0000-0002-5788-3073</t>
  </si>
  <si>
    <t>NSF GLOBEC Pan-regional Synthesis Program [NSF 0814494]; NSF [ANT 0944411]</t>
  </si>
  <si>
    <t>NSF GLOBEC Pan-regional Synthesis Program; NSF(National Science Foundation (NSF))</t>
  </si>
  <si>
    <t>We would like to thank the pelagic survey data collectors for the Northern California Current model: C. Morgan, J. Lamb, J. Keister, M. Litz, R. Emmett, E. Daly, J. Zamon, C. Sells, and the Bonneville Power Administration. K. Aydin developed the model code for the dynamic scenario analyses used in this project, and contributed to CGoA model construction. T. Conlin developed the coding for Monte Carlo analyses on the University of Oregon ACISS computing cluster. S. Strom contributed data and expertise to re-parameterizing lower trophic level interactions in the CGoA and other models. This study was supported by a grant from the NSF GLOBEC Pan-regional Synthesis Program (NSF 0814494), and NSF ANT 0944411 to DGA. This is US GLOBEC contribution 731.</t>
  </si>
  <si>
    <t>10.1016/j.pocean.2013.07.009</t>
  </si>
  <si>
    <t>WOS:000324455600014</t>
  </si>
  <si>
    <t>Abraham, JP; Baringer, M; Bindoff, NL; Boyer, T; Cheng, LJ; Church, JA; Conroy, JL; Domingues, CM; Fasullo, JT; Gilson, J; Goni, G; Good, SA; Gorman, JM; Gouretski, V; Ishii, M; Johnson, GC; Kizu, S; Lyman, JM; Macdonald, AM; Minkowycz, WJ; Moffitt, SE; Palmer, MD; Piola, AR; Reseghetti, F; Schuckmann, K; Trenberth, KE; Velicogna, I; Willis, JK</t>
  </si>
  <si>
    <t>Abraham, J. P.; Baringer, M.; Bindoff, N. L.; Boyer, T.; Cheng, L. J.; Church, J. A.; Conroy, J. L.; Domingues, C. M.; Fasullo, J. T.; Gilson, J.; Goni, G.; Good, S. A.; Gorman, J. M.; Gouretski, V.; Ishii, M.; Johnson, G. C.; Kizu, S.; Lyman, J. M.; Macdonald, A. M.; Minkowycz, W. J.; Moffitt, S. E.; Palmer, M. D.; Piola, A. R.; Reseghetti, F.; Schuckmann, K.; Trenberth, K. E.; Velicogna, I.; Willis, J. K.</t>
  </si>
  <si>
    <t>A REVIEW OF GLOBAL OCEAN TEMPERATURE OBSERVATIONS: IMPLICATIONS FOR OCEAN HEAT CONTENT ESTIMATES AND CLIMATE CHANGE</t>
  </si>
  <si>
    <t>REVIEWS OF GEOPHYSICS</t>
  </si>
  <si>
    <t>global warming; ocean heat content; Argo float; thermosteric sea level rise; expendable bathythermograph; Earth energy balance</t>
  </si>
  <si>
    <t>EARTHS ENERGY IMBALANCE; SEA-SURFACE TEMPERATURE; WESTERN SOUTH ATLANTIC; FALL-RATE; EXPENDABLE BATHYTHERMOGRAPHS; SUBSURFACE TEMPERATURE; OBJECTIVE ANALYSES; PROFILING FLOATS; LEVEL RISE; XBT</t>
  </si>
  <si>
    <t>The evolution of ocean temperature measurement systems is presented with a focus on the development and accuracy of two critical devices in use today (expendable bathythermographs and conductivity-temperature-depth instruments used on Argo floats). A detailed discussion of the accuracy of these devices and a projection of the future of ocean temperature measurements are provided. The accuracy of ocean temperature measurements is discussed in detail in the context of ocean heat content, Earth's energy imbalance, and thermosteric sea level rise. Up-to-date estimates are provided for these three important quantities. The total energy imbalance at the top of atmosphere is best assessed by taking an inventory of changes in energy storage. The main storage is in the ocean, the latest values of which are presented. Furthermore, despite differences in measurement methods and analysis techniques, multiple studies show that there has been a multidecadal increase in the heat content of both the upper and deep ocean regions, which reflects the impact of anthropogenic warming. With respect to sea level rise, mutually reinforcing information from tide gauges and radar altimetry shows that presently, sea level is rising at approximately 3mmyr(-1) with contributions from both thermal expansion and mass accumulation from ice melt. The latest data for thermal expansion sea level rise are included here and analyzed.</t>
  </si>
  <si>
    <t>[Abraham, J. P.; Gorman, J. M.] Univ St Thomas, Sch Engn, St Paul, MN 55105 USA; [Baringer, M.; Goni, G.] NOAA, Atlantic Oceanog &amp; Meteorol Lab, Miami, FL 33149 USA; [Bindoff, N. L.] Univ Tasmania, IMAS, Hobart, Tas, Australia; [Bindoff, N. L.; Church, J. A.] CSIRO Marine &amp; Atmospher Res, Ctr Australian Weather &amp; Climate Res, Hobart, Tas, Australia; [Bindoff, N. L.; Domingues, C. M.] Univ Tasmania, Antarctic Climate &amp; Ecosyst Cooperat Res Ctr, Hobart, Tas, Australia; [Boyer, T.] NOAA, Natl Oceanog Data Ctr, Silver Spring, MD USA; [Cheng, L. J.] Chinese Acad Sci, Inst Atmospher Phys, Beijing, Peoples R China; [Conroy, J. L.] Georgia Inst Technol, Sch Earth &amp; Atmospher Sci, Atlanta, GA 30332 USA; [Fasullo, J. T.; Trenberth, K. E.] Natl Ctr Atmospher Res, Boulder, CO 80307 USA; [Gilson, J.] Univ Calif San Diego, Scripps Inst Oceanog, La Jolla, CA 92093 USA; [Good, S. A.; Palmer, M. D.] Met Off Hadley Ctr, Exeter, Devon, England; [Gouretski, V.] Univ Hamburg, Hamburg, Germany; [Ishii, M.] Meteorol Res Inst, Climate Res Dept, Tsukuba, Ibaraki 305, Japan; [Johnson, G. C.; Lyman, J. M.] NOAA, Pacific Marine Environm Lab, Seattle, WA 98115 USA; [Kizu, S.] Tohoku Univ, Dept Geophys, Sendai, Miyagi 980, Japan; [Lyman, J. M.] Univ Hawaii Manoa, Joint Inst Marine &amp; Atmospher Res, Honolulu, HI 96822 USA; [Macdonald, A. M.] Woods Hole Oceanog Inst, Woods Hole, MA 02543 USA; [Minkowycz, W. J.] Univ Illinois, Dept Mech &amp; Ind Engn, Chicago, IL USA; [Moffitt, S. E.] Bodega Bay Marine Lab, Bodega Bay, CA USA; [Moffitt, S. E.] Univ Calif Davis, Grad Grp Ecol, Davis, CA 95616 USA; [Piola, A. R.] Univ Buenos Aires, Dept Oceanog, Serv Hidrografia Naval, Buenos Aires, DF, Argentina; [Piola, A. R.] Univ Buenos Aires, UMI IFAECI, Dept Ciencias Atmosfera &amp; Oceanos, Buenos Aires, DF, Argentina; [Reseghetti, F.] ENEA Italian Natl Agcy New Technol, Energy Sustainable Econ Dev UTMAR OSS, La Spezia, Italy; [Schuckmann, K.] IFREMER, Toulon, France; [Velicogna, I.] Univ Calif Irvine, Dept Earth Syst Sci, Irvine, CA USA; [Velicogna, I.; Willis, J. K.] CALTECH, Jet Prop Lab, Pasadena, CA USA</t>
  </si>
  <si>
    <t>University of St Thomas Minnesota; National Oceanic Atmospheric Admin (NOAA) - USA; Atlantic Oceanographic &amp; Meteorological Laboratory (AOML); University of Tasmania; Commonwealth Scientific &amp; Industrial Research Organisation (CSIRO); University of Tasmania; Antarctic Climate &amp; Ecosystems Cooperative Research Centre (ACE CRC); National Oceanic Atmospheric Admin (NOAA) - USA; Chinese Academy of Sciences; Institute of Atmospheric Physics, CAS; University System of Georgia; Georgia Institute of Technology; National Center Atmospheric Research (NCAR) - USA; University of California System; University of California San Diego; Scripps Institution of Oceanography; Met Office - UK; Hadley Centre; University of Hamburg; Meteorological Research Institute - Japan; National Oceanic Atmospheric Admin (NOAA) - USA; Tohoku University; University of Hawaii System; University of Hawaii Manoa; Woods Hole Oceanographic Institution; University of Illinois System; University of Illinois Chicago; University of Illinois Chicago Hospital; University of California System; University of California Davis; University of Buenos Aires; University of Buenos Aires; Italian National Agency New Technical Energy &amp; Sustainable Economics Development; Ifremer; University of California System; University of California Irvine; National Aeronautics &amp; Space Administration (NASA); NASA Jet Propulsion Laboratory (JPL); California Institute of Technology</t>
  </si>
  <si>
    <t>Abraham, JP (corresponding author), Univ St Thomas, Sch Engn, 2115 Summit Ave, St Paul, MN 55105 USA.</t>
  </si>
  <si>
    <t>jpabraham@stthomas.edu</t>
  </si>
  <si>
    <t>Gilson, John/I-3651-2017; Bindoff, Nathaniel Lee/IVV-0333-2023; Johnson, Gregory C/I-6559-2012; Bindoff, Nathaniel Lee/C-8050-2011; Velicogna, Isabella/R-5561-2018; Fasullo, John/H-4552-2019; Church, John A/A-1541-2012; cheng, lijing/W-2261-2017; Piola, Alberto/HZI-5475-2023; Domingues, Catia M./A-2901-2015; von Schuckmann, Karina/AAZ-8897-2021; Willis, Josh/AGY-7817-2022; Trenberth, Kevin/A-5683-2012; Piola, Alberto/O-2280-2013; Baringer, Molly/D-2277-2012; Goni, Gustavo/D-2017-2012</t>
  </si>
  <si>
    <t>Bindoff, Nathaniel Lee/0000-0001-5662-9519; Johnson, Gregory C/0000-0002-8023-4020; Bindoff, Nathaniel Lee/0000-0001-5662-9519; Fasullo, John/0000-0003-1216-892X; Church, John A/0000-0002-7037-8194; cheng, lijing/0000-0002-9854-0392; Domingues, Catia M./0000-0001-5100-4595; von Schuckmann, Karina/0000-0002-9922-8528; Trenberth, Kevin/0000-0002-1445-1000; Palmer, Matthew/0000-0001-7422-198X; Lyman, John/0000-0002-7200-4663; Gorman, John/0000-0003-4046-7847; Piola, Alberto/0000-0002-5003-8926; Baringer, Molly/0000-0002-8503-5194; Goni, Gustavo/0000-0001-7093-3170; reseghetti, franco/0000-0002-7569-8541</t>
  </si>
  <si>
    <t>ARC Centre of Excellence for Climate Systems Science; MOST project [2012CB417404]; Australian Climate Change Science Program; Australian Antarctic and Ecosystems Research Cooperative Centre; NOAA [NA17RJ1231]; DECC/Defra Met Office Hadley Centre Climate Programme [GA01101]; Cluster of Excellence CLISAP, University of Hamburg [EXC177]; German Science Foundation; NOAA Climate Program Office; NOAA Research; Inter-American Institute for Global Change Research through the US National Science Foundation [GEO-0452325]; NASA [NNX09AH89G]; EC FP7 project MyOcean2; Natural Environment Research Council [NE/K005480/1] Funding Source: researchfish; NERC [NE/K005480/1] Funding Source: UKRI; Directorate For Geosciences [1138881] Funding Source: National Science Foundation; Grants-in-Aid for Scientific Research [23540506] Funding Source: KAKEN</t>
  </si>
  <si>
    <t>ARC Centre of Excellence for Climate Systems Science(Australian Research Council); MOST project; Australian Climate Change Science Program; Australian Antarctic and Ecosystems Research Cooperative Centre; NOAA(National Oceanic Atmospheric Admin (NOAA) - USA); DECC/Defra Met Office Hadley Centre Climate Programme; Cluster of Excellence CLISAP, University of Hamburg; German Science Foundation(German Research Foundation (DFG)); NOAA Climate Program Office(National Oceanic Atmospheric Admin (NOAA) - USA); NOAA Research(National Oceanic Atmospheric Admin (NOAA) - USA); Inter-American Institute for Global Change Research through the US National Science Foundation; NASA(National Aeronautics &amp; Space Administration (NASA)); EC FP7 project MyOcean2; Natural Environment Research Council(UK Research &amp; Innovation (UKRI)Natural Environment Research Council (NERC)); NERC(UK Research &amp; Innovation (UKRI)Natural Environment Research Council (NERC)); Directorate For Geosciences(National Science Foundation (NSF)NSF - Directorate for Geosciences (GEO)); Grants-in-Aid for Scientific Research(Ministry of Education, Culture, Sports, Science and Technology, Japan (MEXT)Japan Society for the Promotion of ScienceGrants-in-Aid for Scientific Research (KAKENHI))</t>
  </si>
  <si>
    <t>N.L.B. acknowledges support from the ARC Centre of Excellence for Climate Systems Science. L.J.C. was supported by the MOST project (grant 2012CB417404). J.A.C. and S. W. were funded by the Australian Climate Change Science Program. C. M. D. was funded by the Australian Antarctic and Ecosystems Research Cooperative Centre. J.G. was supported through NOAA grant NA17RJ1231 (Scripps Institute of Oceanography). S. A. G. was supported by the Joint DECC/Defra Met Office Hadley Centre Climate Programme (GA01101). V. G. was supported through the Cluster of Excellence CLISAP (EXC177), University of Hamburg, funded through the German Science Foundation. T. B., J.M.L., and G.C.J. were supported by the NOAA Climate Program Office and NOAA Research. A. P. was supported by the Inter-American Institute for Global Change Research through the US National Science Foundation grant GEO-0452325. K. E. T. and J.T.F. were sponsored by NASA under grant NNX09AH89G. F. R. was supported by EC FP7 project MyOcean2 and operationally supported in part by NOAA/AOML.</t>
  </si>
  <si>
    <t>8755-1209</t>
  </si>
  <si>
    <t>1944-9208</t>
  </si>
  <si>
    <t>REV GEOPHYS</t>
  </si>
  <si>
    <t>Rev. Geophys.</t>
  </si>
  <si>
    <t>10.1002/rog.20022</t>
  </si>
  <si>
    <t>232LV</t>
  </si>
  <si>
    <t>WOS:000325496200003</t>
  </si>
  <si>
    <t>Bastos, BL; Dutra, TL; Wilberger, TP; Trevisan, C</t>
  </si>
  <si>
    <t>Bastos, Bibiana Liguori; Dutra, Tania Lindner; Wilberger, Thiers Porfirio; Trevisan, Cristine</t>
  </si>
  <si>
    <t>A LATE CRETACEOUS FLORA FROM NELSON ISLAND, SOUTH SHETLAND ISLANDS, ANTARCTIC PENINSULA.</t>
  </si>
  <si>
    <t>REVISTA BRASILEIRA DE PALEONTOLOGIA</t>
  </si>
  <si>
    <t>Nothofagus; Classopollis; Upper Cretaceous; Nelson Island; Antarctic Peninsula</t>
  </si>
  <si>
    <t>EARLY MIOCENE FLORA; NEW-ZEALAND; MANUHERIKIA GROUP; ALEXANDER-ISLAND; LEAF FLORAS; NOTHOFAGUS; CLASSIFICATION; PHYLOGENY; MELASTOMATACEAE; GEOCHRONOLOGY</t>
  </si>
  <si>
    <t>A plant fossil assemblage (micro-and macroflora) from the northern sector of Nelson Island (Rip Point) is abborded on its composition and age. The macroflora shows few ferns and a conifer remain (cf. Papuacedrus) and dominant angiosperm fossil leaves represented by laurophyll (probable Elaeocarpaceae/Anacardiaceae affinity), acrodromophyll (Melastomaceae?) and protophyll (Nothofagaceae) morphotypes. The absence of marginal characters in great part of the leaf remains incentivate their treatment by morphological groups, trying to guarantees at least the stablishment of its relation with other extant and fossil assemblages and the reconstructions of the geological process implied in its preservation. The microflora shows a distinct composition, with many fern and fungal spores and pollen grains of gymnosperms, with a minor component in angiosperms (Proteacea, Aquifoliacea and primitive Nothofagus). The presence of Classopollis and ancestral forms of Nothofagidites pollen grains indicate a CampanianLower Maastrichtian age to the Rip Point succession, where the occurrence of a probable Papuacedrus and Melastomataceae related forms have a strong evolutive value and phyllogenetic implications, could being its anciest know record. Leaves of deciduous Nothofagus dominate the macroflora and probably include juvenile forms. Fungi spores and foraminifera indicate a near-coast lake environment to the deposit, and the floristic composition, the remobilization of the leaf remains from a vegetation growing on the slopes of the proximal volcanoes. Comparable extant analogues grows today in rain forests of southern South America and New Zealand, and allows to infer a wet temperate to subtropical climate to the north of Antarctic Peninsula in the end of Cretaceous.</t>
  </si>
  <si>
    <t>[Bastos, Bibiana Liguori; Dutra, Tania Lindner; Wilberger, Thiers Porfirio; Trevisan, Cristine] Univ Vale Rio dos Sinos, Programa Posgrad Geol, BR-93022000 Sao Leopoldo, RS, Brazil</t>
  </si>
  <si>
    <t>Universidade do Vale do Rio dos Sinos (Unisinos)</t>
  </si>
  <si>
    <t>Bastos, BL (corresponding author), Univ Vale Rio dos Sinos, Programa Posgrad Geol, Av Unisinos 950, BR-93022000 Sao Leopoldo, RS, Brazil.</t>
  </si>
  <si>
    <t>bibiana.biologia@gmail.com; tdutra@unisinos.br; thiersw@gmail.com; cristrevisan@hotmail.com</t>
  </si>
  <si>
    <t>Dutra, Tania L./A-2875-2010</t>
  </si>
  <si>
    <t>SOC BRASILEIRA PALEONTOLOGIA</t>
  </si>
  <si>
    <t>SAO LEOPOLDO</t>
  </si>
  <si>
    <t>PPGEO UNISINOS, AV UNISINOS 950, SAO LEOPOLDO, RS 93022-000, BRAZIL</t>
  </si>
  <si>
    <t>1519-7530</t>
  </si>
  <si>
    <t>2236-1715</t>
  </si>
  <si>
    <t>REV BRAS PALEONTOLOG</t>
  </si>
  <si>
    <t>Rev. Bras. Paleontol.</t>
  </si>
  <si>
    <t>10.4072/rbp.2013.3.06</t>
  </si>
  <si>
    <t>AC1OQ</t>
  </si>
  <si>
    <t>WOS:000332266300006</t>
  </si>
  <si>
    <t>Rossi, S; Isla, E; Martínez-García, A; Moraleda, N; Gili, JM; Rosell-Melé, A; Arntz, WE; Gerdes, D</t>
  </si>
  <si>
    <t>Rossi, Sergio; Isla, Enrique; Martinez-Garcia, Alfredo; Moraleda, Nuria; Gili, Josep-Maria; Rosell-Mele, Antoni; Arntz, Wolf E.; Gerdes, Dieter</t>
  </si>
  <si>
    <t>Transfer of seston lipids during a flagellate bloom from the surface to the benthic community in the Weddell Sea</t>
  </si>
  <si>
    <t>SCIENTIA MARINA</t>
  </si>
  <si>
    <t>Antarctica; seston; lipids; fatty acids; benthic-pelagic coupling; available food</t>
  </si>
  <si>
    <t>FATTY-ACID-COMPOSITION; ANTARCTIC PENINSULA SHELF; BIOCHEMICAL-COMPOSITION; CONTINENTAL-SHELF; PARTICLE FLUXES; TROPHIC MARKERS; ORGANIC-MATTER; CHLOROPHYLL-A; SPRING BLOOM; PLATELET ICE</t>
  </si>
  <si>
    <t>Total lipid and fatty acid concentrations were studied in a late spring-early summer flagellate-dominated bloom in the Weddell Sea. These indicators were considered a good tool for assessing the quality of organic matter settling from surface to deep-water layers (epibenthic water layers). The results showed different patterns between the early (11-15 December 2003) and the late sampling period (18-27 December 2003) at all studied depths (5 m, 50 m and near-bottom water layers). Low phytoplankton biomass (mainly flagellates) in the first half of the study corresponded to low total lipid and fatty acid concentrations. In the second sampling period a spring bloom (mainly flagellates and diatoms) was detected, increasing the total lipid and fatty acid concentrations in the water column. The amount of settling organic matter from surface waters to the near-bottom water layers was high, especially in the late sampling period. Trophic markers showed evidence of a sink of available organic matter rich in quality and quantity, especially in terms of polyunsaturated fatty acids, for benthic organisms from surface layers to bottom layers in only a few days. The importance of studying short-time cycles in order to detect organic matter availability for benthic biota in view of the pulse-like dynamics of primary production in Antarctic waters is discussed.</t>
  </si>
  <si>
    <t>[Rossi, Sergio; Moraleda, Nuria; Rosell-Mele, Antoni] Autonomous Univ Barcelona, Inst Environm Sci &amp; Technol, E-08193 Barcelona, Spain; [Isla, Enrique; Gili, Josep-Maria] CSIC, Inst Ciencias Mar, E-08003 Barcelona, Spain; [Martinez-Garcia, Alfredo] Geol Inst NO G 55, CH-8092 Zurich, Switzerland; [Rosell-Mele, Antoni] Inst Catalana Recerca &amp; Estudis Avancats, Barcelona, Catalonia, Spain; [Arntz, Wolf E.; Gerdes, Dieter] Alfred Wegener Inst Polar &amp; Marine Res, D-27568 Bremerhaven, Germany</t>
  </si>
  <si>
    <t>Autonomous University of Barcelona; Consejo Superior de Investigaciones Cientificas (CSIC); CSIC - Centro Mediterraneo de Investigaciones Marinas y Ambientales (CMIMA); CSIC - Instituto de Ciencias del Mar (ICM); ICREA; Helmholtz Association; Alfred Wegener Institute, Helmholtz Centre for Polar &amp; Marine Research</t>
  </si>
  <si>
    <t>Rossi, S (corresponding author), Autonomous Univ Barcelona, Inst Environm Sci &amp; Technol, Campus UAB S-N, E-08193 Barcelona, Spain.</t>
  </si>
  <si>
    <t>sergio.rossi@uab.cat</t>
  </si>
  <si>
    <t>Rosell-Melé, Antoni/B-3433-2013; Rossi, Sergio/AAF-8359-2020; Martinez-Garcia, Alfredo/A-6244-2010</t>
  </si>
  <si>
    <t>Rosell-Melé, Antoni/0000-0002-5513-2647; Rossi, Sergio/0000-0002-2694-9535; Martinez-Garcia, Alfredo/0000-0002-7206-5079</t>
  </si>
  <si>
    <t>FILANT national project [REN2003-04236]; Ramon y Cajal Contract [RyC-2007-01327]; Beatriu de Pinos Contract [2006 BP-B1 00069]; ICREA Funding Source: Custom</t>
  </si>
  <si>
    <t>FILANT national project; Ramon y Cajal Contract(Spanish Government); Beatriu de Pinos Contract; ICREA(ICREA)</t>
  </si>
  <si>
    <t>We are grateful to Carme Huguet and Susanne Fietz, who greatly improved the current version of the manuscript. We are also grateful to Jan Michels, Covadonga Orejas, Francesc Pages, Estefania Rodriguez, Nuria Teixido and Begona Vendrell-Simo for their support in the filtration lab of R/V Polarstern. We also thank the staff of R/V Polarstern for their efficient help. This study was funded by a FILANT national project (REN2003-04236, an EASIZ project). SR was financed with a Ramon y Cajal Contract (RyC-2007-01327) and a Beatriu de Pinos Contract (2006 BP-B1 00069).</t>
  </si>
  <si>
    <t>CONSEJO SUPERIOR INVESTIGACIONES CIENTIFICAS-CSIC</t>
  </si>
  <si>
    <t>MADRID</t>
  </si>
  <si>
    <t>VITRUVIO 8, 28006 MADRID, SPAIN</t>
  </si>
  <si>
    <t>0214-8358</t>
  </si>
  <si>
    <t>1886-8134</t>
  </si>
  <si>
    <t>SCI MAR</t>
  </si>
  <si>
    <t>Sci. Mar.</t>
  </si>
  <si>
    <t>10.3989/scimar.03835.30A</t>
  </si>
  <si>
    <t>223LQ</t>
  </si>
  <si>
    <t>WOS:000324806900002</t>
  </si>
  <si>
    <t>Mendonça, T; Melo, VF; Schaefer, CEGR; Simas, FNB; Michel, RFM</t>
  </si>
  <si>
    <t>Mendonca, Thiago; Melo, Vander Freitas; Schaefer, Carlos Ernesto G. R.; Simas, Felipe N. B.; Michel, Roberto F. M.</t>
  </si>
  <si>
    <t>Clay Mineralogy of Gelic Soils from the Fildes Peninsula, Maritime Antarctica</t>
  </si>
  <si>
    <t>SOIL SCIENCE SOCIETY OF AMERICA JOURNAL</t>
  </si>
  <si>
    <t>KING GEORGE ISLAND; PERMAFROST-AFFECTED SOILS; SOUTH-SHETLAND ISLANDS; ORNITHOGENIC CRYOSOLS; VOLCANIC-ROCKS; PEDOGENESIS; EXTRACTION; GELISOLS; ALUMINUM; CARBON</t>
  </si>
  <si>
    <t>The general physical and chemical properties of Antarctic soils have been long studied, although detailed soil mineralogy remains comparatively little explored. The aim of this study was to characterize the clay mineralogy of soils from Fildes Peninsula, King George Island, Maritime Antarctica. The clay fraction of four soil profiles was studied by x-ray diffraction (XRD). Poorly crystalline mineral phases were sequentially treated with 0.1 mol L-1 sodium pyrophosphate, 0.2 mol L-1 ammonium oxalate, and 0.5 mol L-1 NaOH. After each extraction, differential XRD patterns were obtained. The presence of primary minerals in the clay fraction, such as K-feldspar, plagioclase, pyroxene, and mica, indicates the low degree of chemical weathering. However, ornithogenic influence leads to the phosphatization of the mineral substrate and neoformation of secondary phosphates containing Fe and Al, such as leucophosphite, metavariscite, and minyulite. Overall, what makes these Antarctic soils unique is (i) the widespread occurrence of poorly crystalline minerals in the clay fraction with concentrations ranging from 20.9 to 65.6%, (ii) their association with organic matter forming organo-metallic complexes, and (iii) Al- and Si-rich oxides (allophane and imogolite) and poorly crystalline Fe oxides. Such high amounts of poorly crystalline mineral phases can compensate for the generally low clay content, favoring the retention of ionic and polar chemical compounds, including pollutants.</t>
  </si>
  <si>
    <t>[Mendonca, Thiago; Melo, Vander Freitas] Univ Fed Parana, Dep Solos, BR-80035070 Curitiba, Parana, Brazil; [Schaefer, Carlos Ernesto G. R.; Simas, Felipe N. B.] Univ Fed Vicosa, Dep Solos, BR-36570000 Vicosa, MG, Brazil; [Michel, Roberto F. M.] Airborne Technol, A-2700 Wiener Neustadt, Austria</t>
  </si>
  <si>
    <t>Universidade Federal do Parana; Universidade Federal de Vicosa</t>
  </si>
  <si>
    <t>Melo, VF (corresponding author), Univ Fed Parana, Dep Solos, Rua Funcionarios 1540, BR-80035070 Curitiba, Parana, Brazil.</t>
  </si>
  <si>
    <t>vanderfm@ufpr.br</t>
  </si>
  <si>
    <t>Schaefer, Carlos Ernesto/AAY-4977-2020; Michel, Roberto Ferreira Machado/H-4578-2016; Melo, Vander/I-4135-2014</t>
  </si>
  <si>
    <t>Michel, Roberto Ferreira Machado/0000-0001-5951-4610; Melo, Vander/0000-0003-0761-1536; Ernesto Goncalves Reynaud Schaefer, Carlos/0000-0001-5735-3227; Ernesto Goncalves Reynaud Schaefer, Carlos/0000-0001-7060-1598</t>
  </si>
  <si>
    <t>Brazilian National Research and Technology Council (CNPq); Coordination of Formation of People at Superior Level (CAPES)</t>
  </si>
  <si>
    <t>We thank the Brazilian National Research and Technology Council (CNPq) and Coordination of Formation of People at Superior Level (CAPES) for financing this research, and the Brazilian Navy and the Brazilian Antarctic Program for logistics during the Antarctic expedition. This is a contribution of National Institute of Science and Technology (INCT) of Cryosphere-Terrantar Project (CNPq-Brazil).</t>
  </si>
  <si>
    <t>SOIL SCI SOC AMER</t>
  </si>
  <si>
    <t>MADISON</t>
  </si>
  <si>
    <t>677 SOUTH SEGOE ROAD, MADISON, WI 53711 USA</t>
  </si>
  <si>
    <t>0361-5995</t>
  </si>
  <si>
    <t>SOIL SCI SOC AM J</t>
  </si>
  <si>
    <t>Soil Sci. Soc. Am. J.</t>
  </si>
  <si>
    <t>10.2136/sssaj2012.0135</t>
  </si>
  <si>
    <t>220ZO</t>
  </si>
  <si>
    <t>WOS:000324626600037</t>
  </si>
  <si>
    <t>Jensen, MA; Fitzgibbon, QP; Carter, CG; Adams, LR</t>
  </si>
  <si>
    <t>Jensen, Mark A.; Fitzgibbon, Quinn P.; Carter, Chris G.; Adams, Louise R.</t>
  </si>
  <si>
    <t>Effect of body mass and activity on the metabolic rate and ammonia-N excretion of the spiny lobster Sagmariasus verreauxi during ontogeny</t>
  </si>
  <si>
    <t>COMPARATIVE BIOCHEMISTRY AND PHYSIOLOGY A-MOLECULAR &amp; INTEGRATIVE PHYSIOLOGY</t>
  </si>
  <si>
    <t>Aerobic scope; Energy utilization; Mass scaling; Oxygen consumption rate; Spiny lobster</t>
  </si>
  <si>
    <t>SOUTHERN ROCK LOBSTER; EARLY-LIFE STAGES; JASUS-EDWARDSII; OXYGEN-CONSUMPTION; PHYLLOSOMA LARVAE; PANULIRUS-CYGNUS; BIOCHEMICAL-COMPOSITION; PHYSIOLOGICAL-RESPONSE; CONTINENTAL-SHELF; STAGE PHYLLOSOMA</t>
  </si>
  <si>
    <t>Intraspecific analyses of the relationship between metabolic rate and mass have rarely been considered during complete ontogeny. Spiny lobsters are fascinating candidates to examine metabolic changes during ontogeny because their life cycle includes an extended planktonic, nektonic, and benthic life stages. The effect of body mass on metabolic rates, aerobic scope, and ammonia-N excretion of Sagmariasus verreauxi juveniles were examined to determine energetic demands through juvenile development. Mass-independent routine oxygen consumption increased allometrically during juvenile development with a mass scaling exponent of 0.83. The mass scaling exponent of active metabolism (0.81) was reduced compared to standard metabolism (0.91) of juvenile lobsters. The aerobic scope of juvenile lobsters decreased with larger body mass. To examine if the mass scaling exponent varies with ontogeny, we compared our data with previous measurements made with larvae of the same species. Comparison between mass scaling exponents showed they were higher for phyllosoma (0.97) compared to juvenile (0.83) development. Higher scaling exponents for phyllosoma may be attributed to increased growth rates of phyllosoma compared to juveniles, which increase oxygen consumption due to the higher energy cost of growth. The mass scaling exponent for complete ontogeny (0.91) of S. verreauxi was larger than the commonly cited 0.67 (1/3) and 0.75 (3/4) mass scaling exponents, indicating that species-specific differences can be a large factor affecting allometric relationships of animals. Crown Copyright (C) 2013 Published by Elsevier Inc. All rights reserved.</t>
  </si>
  <si>
    <t>[Jensen, Mark A.; Fitzgibbon, Quinn P.; Carter, Chris G.] Inst Marine &amp; Antarctic Studies, Hobart, Tas 7001, Australia; [Adams, Louise R.] Univ Tasmania, Australian Maritime Coll, Natl Ctr Marine Conservat &amp; Resource Sustainabil, Launceston, Tas 7250, Australia</t>
  </si>
  <si>
    <t>University of Tasmania; University of Tasmania; Australian Maritime College</t>
  </si>
  <si>
    <t>Jensen, MA (corresponding author), Inst Marine &amp; Antarctic Studies, Private Bag 49, Hobart, Tas 7001, Australia.</t>
  </si>
  <si>
    <t>majensen27@gmail.com</t>
  </si>
  <si>
    <t>Carter, Chris Guy/A-3438-2008; Adams, Louise/AAH-4511-2020</t>
  </si>
  <si>
    <t>Carter, Chris Guy/0000-0001-5210-1282; Adams, Louise/0000-0001-5535-5253; Fitzgibbon, Quinn/0000-0002-1104-3052</t>
  </si>
  <si>
    <t>Fisheries Research and Development Corporation [2006/235]; Australian Research Council [LP0775480]; IMAS; UTAS School of Aquaculture TPRS; Australian Research Council [LP0775480] Funding Source: Australian Research Council</t>
  </si>
  <si>
    <t>Fisheries Research and Development Corporation; Australian Research Council(Australian Research Council); IMAS; UTAS School of Aquaculture TPRS; Australian Research Council(Australian Research Council)</t>
  </si>
  <si>
    <t>The authors thank Associate Professor Stephen Battaglene for his institutional support and the rock lobster propagation technical staff at IMAS for their technical assistance and the supply of experimental animals. They also thank the anonymous reviewers for their input in improving the manuscript Rock lobster propagation research at IMAS was supported by the Fisheries Research and Development Corporation (project no. 2006/235) and the Australian Research Council Linkage Project funding scheme (project no. LP0775480). This research was also funded by an IMAS and UTAS School of Aquaculture TPRS co-funded scholarship.</t>
  </si>
  <si>
    <t>1095-6433</t>
  </si>
  <si>
    <t>1531-4332</t>
  </si>
  <si>
    <t>COMP BIOCHEM PHYS A</t>
  </si>
  <si>
    <t>Comp. Biochem. Physiol. A-Mol. Integr. Physiol.</t>
  </si>
  <si>
    <t>10.1016/j.cbpa.2013.06.003</t>
  </si>
  <si>
    <t>Biochemistry &amp; Molecular Biology; Physiology; Zoology</t>
  </si>
  <si>
    <t>195HP</t>
  </si>
  <si>
    <t>WOS:000322693200023</t>
  </si>
  <si>
    <t>Scott, JM; Turnbull, IM; Auer, A; Palin, JM</t>
  </si>
  <si>
    <t>Scott, J. M.; Turnbull, I. M.; Auer, A.; Palin, J. M.</t>
  </si>
  <si>
    <t>The sub-Antarctic Antipodes Volcano: a &lt;0.5 Ma HIMU-like Surtseyan volcanic outpost on the edge of the Campbell Plateau, New Zealand</t>
  </si>
  <si>
    <t>alkaline volcanism; Antipodes Islands; geochemistry; geological map; HIMU</t>
  </si>
  <si>
    <t>INTRAPLATE VOLCANISM; CHATHAM ISLANDS; SW PACIFIC; TASMAN SEA; BASALTS; GEOCHEMISTRY; PLUME; CONSTRAINTS; PETROLOGY; ORIGIN</t>
  </si>
  <si>
    <t>The sub-Antarctic Antipodes Islands group, located on the edge of the Campbell Plateau, is composed of Surtseyan-like tuff cones, porphyritic lavas and dykes, overlain by scoriaceous cinder cones. The youthful nature is indicated by well-preserved cones and craters, raised boulder beaches, pollen and spores comparable to the present-day vegetation in peat underlying one lava flow, and published Ar/Ar ages of 0.5 Ma. The alkaline crystalline rocks record a fractionation lineage that was controlled by progressive removal of clinopyroxene and olivine at shallow depths with minimal interaction with continental crust. A compilation of isotopic data confirms that the magmas were derived from a mantle source containing a high-time integrated U/Pb (HIMU)-like component. Although this source component has been recognised in many Zealandia intraplate volcanoes, the Antipodes Volcano lavas contain consistently high Pb-206/Pb-204 and low Sr-87/Sr-86 ratios, making the geochemical suite an excellent baseline for HIMU studies. The distinctive isotope ratios and chemistries are comparable with those of some anhydrous Pb- and K-depleted peridotitic mantle xenoliths from intraplate volcanoes in Zealandia. If the lithospheric mantle contributed to the source of Antipodes Volcano, the Pb and K anomalies in the lavas may not require residual amphibole/phlogopite and/or sulphide in their source region. Furthermore, comparison with the peridotite suite indicates that the Zealandia lithospheric mantle is isotopically heterogeneous and thus not all the Zealandia Cretaceous-Cenozoic intraplate volcanoes need have tapped a HIMU-like reservoir.</t>
  </si>
  <si>
    <t>[Scott, J. M.; Turnbull, I. M.; Auer, A.; Palin, J. M.] Univ Otago, Dept Geol, Dunedin, New Zealand</t>
  </si>
  <si>
    <t>Scott, JM (corresponding author), Univ Otago, Dept Geol, Dunedin, New Zealand.</t>
  </si>
  <si>
    <t>james.scott@otago.ac.nz</t>
  </si>
  <si>
    <t>; Scott, James/E-1908-2017</t>
  </si>
  <si>
    <t>Auer, Andreas/0000-0002-4387-8353; Scott, James/0000-0001-5185-6261</t>
  </si>
  <si>
    <t>Foundation for Research Science and Technology [UOOX1004]; New Zealand Ministry of Business, Innovation &amp; Employment (MBIE) [UOOX1004] Funding Source: New Zealand Ministry of Business, Innovation &amp; Employment (MBIE)</t>
  </si>
  <si>
    <t>Foundation for Research Science and Technology(New Zealand Foundation for Research, Science and Technology); New Zealand Ministry of Business, Innovation &amp; Employment (MBIE)(New Zealand Ministry of Business, Innovation and Employment (MBIE))</t>
  </si>
  <si>
    <t>We thank Pete McCelland for permission to land and collect rocks; Paul Sagar for the opportunity to go to the Antipodes Islands; Henk Haazen and the RV Tiama for transport to and from the islands; James White, Quinten van der Meer and Tod Waight for comments on the manuscript; Christian Timm and Karsten Haase for journal reviews; and Matthew Leybourne for editorial handling. Funding was provided by a Foundation for Research Science and Technology contract UOOX1004 to JMS.</t>
  </si>
  <si>
    <t>10.1080/00288306.2013.802246</t>
  </si>
  <si>
    <t>WOS:000322809400003</t>
  </si>
  <si>
    <t>Barkaszi, I; Takács, E; Czigler, I; Balázs, L</t>
  </si>
  <si>
    <t>Barkaszi, Iren; Takacs, Endre; Czigler, Istvan; Balazs, Laszlo</t>
  </si>
  <si>
    <t>THE IMPACT OF ANTARCTIC OVERWINTERING ON COGNITIVE PROCESSES</t>
  </si>
  <si>
    <t>PSYCHOPHYSIOLOGY</t>
  </si>
  <si>
    <t>53rd Annual Meeting of the Society-for-Psychophysiological-Research</t>
  </si>
  <si>
    <t>OCT 02-06, 2013</t>
  </si>
  <si>
    <t>Florence, ITALY</t>
  </si>
  <si>
    <t>Antarctic overwintering; ERP; cognitive processes</t>
  </si>
  <si>
    <t>[Barkaszi, Iren; Takacs, Endre; Czigler, Istvan; Balazs, Laszlo] Hungarian Acad Sci, H-1051 Budapest, Hungary; [Barkaszi, Iren] Debrecen Univ, Debrecen, Hungary; [Takacs, Endre; Czigler, Istvan] Eotvos Lorand Univ, H-1364 Budapest, Hungary</t>
  </si>
  <si>
    <t>Hungarian Academy of Sciences; University of Debrecen; Eotvos Lorand University</t>
  </si>
  <si>
    <t>Balázs, László/A-2688-2010; Barkaszi, Irén/IWM-6093-2023; Czigler, Istvan/IUO-4630-2023</t>
  </si>
  <si>
    <t>Balázs, László/0000-0002-6701-973X;</t>
  </si>
  <si>
    <t>0048-5772</t>
  </si>
  <si>
    <t>Psychophysiology</t>
  </si>
  <si>
    <t>S134</t>
  </si>
  <si>
    <t>Psychology, Biological; Neurosciences; Physiology; Psychology; Psychology, Experimental</t>
  </si>
  <si>
    <t>Science Citation Index Expanded (SCI-EXPANDED); Social Science Citation Index (SSCI); Conference Proceedings Citation Index - Science (CPCI-S)</t>
  </si>
  <si>
    <t>Psychology; Neurosciences &amp; Neurology; Physiology</t>
  </si>
  <si>
    <t>199LH</t>
  </si>
  <si>
    <t>WOS:000322995500744</t>
  </si>
  <si>
    <t>Ainley, DG; Nur, N; Eastman, JT; Ballard, G; Parkinson, CL; Evans, CW; DeVries, AL</t>
  </si>
  <si>
    <t>Ainley, David G.; Nur, Nadav; Eastman, Joseph T.; Ballard, Grant; Parkinson, Claire L.; Evans, Clive W.; DeVries, Arthur L.</t>
  </si>
  <si>
    <t>Decadal trends in abundance, size and condition of Antarctic toothfish in McMurdo Sound, Antarctica, 1972-2011</t>
  </si>
  <si>
    <t>FISH AND FISHERIES</t>
  </si>
  <si>
    <t>Antarctic toothfish; Antarctic silverfish; climate change; change in fish condition; change in fish abundance; sea-ice; Ross Sea; Southern Ocean</t>
  </si>
  <si>
    <t>DISSOSTICHUS-MAWSONI PERCIFORMES; EARLY-LIFE STAGES; ROSS SEA; PLEURAGRAMMA-ANTARCTICUM; SOUTHERN-OCEAN; PACIFIC SECTOR; FOOD-WEB; ICE; NOTOTHENIIDAE; BUOYANCY</t>
  </si>
  <si>
    <t>We report the analyses of a dataset spanning 39years of near-annual fishing for Dissostichus mawsoni in McMurdo Sound, Antarctica, 1972-2011. Data on total length, condition and catch per unit effort (CPUE) were derived from the&gt;5500 fish caught, the large majority of which were measured, tagged and released. Contrary to expectation, the length frequency of the McMurdo Sound catch was dominated by fish in the upper two-thirds of the overall distribution exhibited in the industrial catch for the Ross Sea shelf. Fish length and condition increased from the early 1970s to the early 1990s and then decreased. Fish length positively correlated with Ross Sea ice extent in early spring, a relationship possibly caused by more ice encouraging larger fish to move farther south over the shelf and into the study area. Fish condition positively correlated with the amount of open water in the Ross Sea during the previous summer (Feb), perhaps reflecting greater availability of prey with the higher productivity that more open water brings. Decreasing fish size corresponds to the onset of the fishery, which targets the large individuals. CPUE was constant through 2001 and then decreased dramatically. We hypothesize that this decrease is related to the industrial fishery, which began in the 1996-97 austral summer, and concentrates effort over the ice-free Ross Sea continental slope. As a result of limited prey choices and close coupling among mesopredators of the region, Antarctic toothfish included, the fishery appears to be dramatically altering the trophic structure of the Ross Sea.</t>
  </si>
  <si>
    <t>[Ainley, David G.] HT Harvey &amp; Associates, Los Gatos, CA 95032 USA; [Nur, Nadav; Ballard, Grant] PRBO Conservat Sci, Petaluma, CA 94954 USA; [Eastman, Joseph T.] Ohio Univ, Coll Osteopath Med, Dept Biomed Sci, Athens, OH 45701 USA; [Parkinson, Claire L.] NASA, Cryospher Sci Lab, Code 615, Goddard Space Flight Ctr, Greenbelt, MD 20771 USA; [Evans, Clive W.] Univ Auckland, Sch Biol Sci, Auckland 1, New Zealand; [DeVries, Arthur L.] Univ Illinois, Dept Anim Biol, Urbana, IL 61801 USA</t>
  </si>
  <si>
    <t>University System of Ohio; Ohio University; National Aeronautics &amp; Space Administration (NASA); NASA Goddard Space Flight Center; University of Auckland; University of Illinois System; University of Illinois Urbana-Champaign</t>
  </si>
  <si>
    <t>Ainley, DG (corresponding author), HT Harvey &amp; Associates, Los Gatos, CA 95032 USA.</t>
  </si>
  <si>
    <t>dainley@penguinscience.com</t>
  </si>
  <si>
    <t>Eastman, Joseph T/A-9786-2008; Parkinson, Claire/JAC-7676-2023; Eastman, Joseph T./O-6150-2019; Parkinson, Claire L/E-1747-2012; Evans, Clive/AAZ-4699-2021</t>
  </si>
  <si>
    <t>Parkinson, Claire/0000-0001-6730-4197; Eastman, Joseph T./0000-0003-3868-261X; Parkinson, Claire L/0000-0001-6730-4197; Evans, Clive/0000-0003-2888-842X</t>
  </si>
  <si>
    <t>US National Science Foundation; Lenfest Ocean Program; NSF Office of Polar Programs [ANT-0440643]; Directorate For Geosciences; Office of Polar Programs (OPP) [0944411, 0944141] Funding Source: National Science Foundation</t>
  </si>
  <si>
    <t>US National Science Foundation(National Science Foundation (NSF)); Lenfest Ocean Program; NSF Office of Polar Programs(National Science Foundation (NSF)); Directorate For Geosciences; Office of Polar Programs (OPP)(National Science Foundation (NSF)NSF - Directorate for Geosciences (GEO))</t>
  </si>
  <si>
    <t>The fishing effort described was funded for most of its tenure by the US National Science Foundation; logistics support was provided by the US Antarctic Program and Antarctica NZ. Data analysis and writing were funded by the Lenfest Ocean Program, and by the NSF Office of Polar Programs, Grant ANT-0440643. The data set is now archived by CCAMLR. The views expressed herein do not necessarily reflect those of the National Science Foundation, and we have no conflicts of interest. We appreciate comments on the manuscript by C. Brooks, S. Hanchet, M. Pinkerton, J. Rotella, D. Siniff and D. Zajanc; all improved it significantly. PRBO contribution # 1866.</t>
  </si>
  <si>
    <t>1467-2960</t>
  </si>
  <si>
    <t>1467-2979</t>
  </si>
  <si>
    <t>FISH FISH</t>
  </si>
  <si>
    <t>Fish. Fish.</t>
  </si>
  <si>
    <t>10.1111/j.1467-2979.2012.00474.x</t>
  </si>
  <si>
    <t>185ZW</t>
  </si>
  <si>
    <t>WOS:000322011800007</t>
  </si>
  <si>
    <t>Zhao, L; Yin, BZ; Liu, Q; Cao, R</t>
  </si>
  <si>
    <t>Zhao Ling; Yin Bangzhong; Liu Qi; Cao Rong</t>
  </si>
  <si>
    <t>Purification of antimicrobial peptide from Antarctic Krill (Euphausia superba) and its function mechanism</t>
  </si>
  <si>
    <t>JOURNAL OF OCEAN UNIVERSITY OF CHINA</t>
  </si>
  <si>
    <t>Antarctic Krill; antimicrobial peptide; purification; antimicrobial mechanism</t>
  </si>
  <si>
    <t>ANTIBACTERIAL PEPTIDE</t>
  </si>
  <si>
    <t>The preliminary purification and antimicrobial mechanism of antimicrobial peptide from Antarctic Krill were studied in this paper. The results showed that the molecular weight range of antimicrobial polypeptide (CMCC-1) obtained by cation exchange chromatography was between 245-709D as detected by molecular sieve chromatography, and the minimum inhibition concentration (MIC) of CMCC-1 against Staphylococcus aureus was 5.0 mg mL(-1). The antimicrobial mechanism of CMCC-1 was studied with S. aureus as indicator bacterium. Compared with control group, the results of the experimental group in which S. aureus was treated with CMCC-1 were as follows: 1) CMCC-1 could inhibit cell division at logarithmic phase. 2) The protein and reducing sugar content, and the conductivity of culture medium increased, and the activity of alkaline phosphatase and beta-galactosidase could be detected in the culture medium. 3) Observation under scanning electron microscope revealed that somatic morphology became irregular, and then somatic surface became coarse. The cell became much smaller, and most somatic cells gathered. The boundary between cells became dim and finally fused as a whole. 4) Observation under transmission electron microscope showed that the surface of S. aureus became rough and the reproducing ability was restrained. The cell wall became thin and the cytoplasm shrunk. Substances inside cell leaked out, which caused cells death. 5) SDS-PAGE analysis showed that some bands disappeared, and the residual bands became vague. 6) The genomic DNA electrophoresis results showed that the genomic DNA bands of S. aureus were not degraded but the brightness significantly reduced. Thus, it is supposed that CMCC-1 could destroy the cell wall and membrane of S. aureu, increase the cell membrane permeability and the leaking-out of intracellular substances, and thus cause the death of S. aureu.</t>
  </si>
  <si>
    <t>[Zhao Ling; Yin Bangzhong; Liu Qi; Cao Rong] Chinese Acad Fishery Sci, Yellow Sea Fisheries Res Inst, Dept Food Engn &amp; Nutr, Qingdao 266071, Peoples R China</t>
  </si>
  <si>
    <t>Chinese Academy of Fishery Sciences; Yellow Sea Fisheries Research Institute, CAFS</t>
  </si>
  <si>
    <t>Liu, Q (corresponding author), Chinese Acad Fishery Sci, Yellow Sea Fisheries Res Inst, Dept Food Engn &amp; Nutr, Qingdao 266071, Peoples R China.</t>
  </si>
  <si>
    <t>liuqi@ysfri.ac.cn</t>
  </si>
  <si>
    <t>National Science and Technology Pillar Program [2013BAD13B03]; National Natural Science Foundation of China [31201311]; Special Scientific Research Funds for Central Non-profit Institutes, Yellow Sea Fisheries Research Institute [2060 3022012001]</t>
  </si>
  <si>
    <t>National Science and Technology Pillar Program; National Natural Science Foundation of China(National Natural Science Foundation of China (NSFC)); Special Scientific Research Funds for Central Non-profit Institutes, Yellow Sea Fisheries Research Institute</t>
  </si>
  <si>
    <t>Financial support by the National Science and Technology Pillar Program (2013BAD13B03), National Natural Science Foundation of China (Grant 31201311) and Special Scientific Research Funds for Central Non-profit Institutes, Yellow Sea Fisheries Research Institute (2060 3022012001) are greatly acknowledged.</t>
  </si>
  <si>
    <t>OCEAN UNIV CHINA</t>
  </si>
  <si>
    <t>QINGDAO</t>
  </si>
  <si>
    <t>5 YUSHAN RD, QINGDAO, 266003, PEOPLES R CHINA</t>
  </si>
  <si>
    <t>1672-5182</t>
  </si>
  <si>
    <t>1993-5021</t>
  </si>
  <si>
    <t>J OCEAN U CHINA</t>
  </si>
  <si>
    <t>J. OCEAN UNIV.</t>
  </si>
  <si>
    <t>10.1007/s11802-013-2180-2</t>
  </si>
  <si>
    <t>189HO</t>
  </si>
  <si>
    <t>WOS:000322258300021</t>
  </si>
  <si>
    <t>Ferreira, A; Garcia, CAE; Dogliotti, AI; Garcia, VMT</t>
  </si>
  <si>
    <t>Ferreira, Amabile; Garcia, Carlos A. E.; Dogliotti, Ana I.; Garcia, Virginia M. T.</t>
  </si>
  <si>
    <t>Bio-optical characteristics of the Patagonia Shelf break waters: Implications for ocean color algorithms</t>
  </si>
  <si>
    <t>Phytoplankton; Absorption; Scattering; Remote sensing reflectance; Patagonia</t>
  </si>
  <si>
    <t>INHERENT OPTICAL-PROPERTIES; LIGHT-ABSORPTION; CASE-1 WATERS; BEAM ATTENUATION; CHLOROPHYLL-A; NATURAL PHYTOPLANKTON; ENGLISH-CHANNEL; SOUTH-PACIFIC; CELL-SIZE; VARIABILITY</t>
  </si>
  <si>
    <t>Bio-optical data for spring and summer phytoplankton blooms at 176 stations along the Patagonia Shelf break and adjacent areas were collected from October 2006 to January 2009 during six cruises. Data included chlorophyll-a concentration (Chla), coefficients of particulate absorption, a(p)(lambda), phytoplankton absorption, a(ph)(lambda), beam attenuation, c(p)(660), diffuse attenuation, K-d(lambda), and hyperspectral remote sensing reflectance, R-rs(lambda). Surface Chla varied within a wide range from 0.10 to 18.87 mg m(-3) (mean of 2.82 +/- 3.35), reflecting differences in both, the timing of the blooms and the geographical sampling area. Considerable dispersion was verified for a(p)(lambda), c(p)(660), and K-bio(440) (K-d(440) minus diffuse attenuation for pure water) as a function of Chla. A hierarchical cluster analysis (HCA) applied to the R-rs(lambda) spectra (N = 116) resulted in three classes ordered by spectral features that varied according to Chla. Class 1 (N = 22), Class 2 (N = 52), and Class 3 (N = 42) were grouped according to the R-rs(lambda) associated with Chla average of 0.86 (+/- 0.51), 2.42 (+/- 1.62), and 8.40 mg m(-3) (+/- 3.96), respectively. The estimation of Chla and a(ph)(lambda) by empirical and semi-analytical algorithms was evaluated using satellite data. Errors in the Chla estimates from the empirical algorithm OC4v6 using in situ R-rs(lambda) showed significant statistical relationships with Chla, a(ph)(440) / Chla, and b(p)(660) / Chla (where b(p)(660) = c(p)(660) - a(p)(660)). Although reasonable agreements were found between the measured and satellite-estimated values, the dependence of the OC4v6 errors on the Chla-specific phytoplankton absorption and particulate scattering coefficients reinforces the need to regionally refine both empirical and semi-analytical algorithms to improve satellite estimates of the bio-optical variables for the Patagonia region. (C) 2013 Elsevier Inc. All rights reserved.</t>
  </si>
  <si>
    <t>[Ferreira, Amabile; Garcia, Carlos A. E.; Garcia, Virginia M. T.] Univ Fed Rio Grande FURG, Inst Oceanog, BR-96201900 Rio Grande, Brazil; [Dogliotti, Ana I.] Inst Astron &amp; Fis Espacio IAFE CONICET, Buenos Aires, DF, Argentina</t>
  </si>
  <si>
    <t>Universidade Federal do Rio Grande; Consejo Nacional de Investigaciones Cientificas y Tecnicas (CONICET); Instituto de Astronomia y Fisica del Espacio (IAFE)</t>
  </si>
  <si>
    <t>Ferreira, A (corresponding author), Univ Fed Rio Grande FURG, Inst Oceanog, Av Italia,Km 8, BR-96201900 Rio Grande, Brazil.</t>
  </si>
  <si>
    <t>amabilefr@gmail.com</t>
  </si>
  <si>
    <t>Garcia, Carlos A. E./K-7382-2012; Tavano, Virginia/C-5241-2013</t>
  </si>
  <si>
    <t>Tavano, Virginia/0000-0003-0039-8111</t>
  </si>
  <si>
    <t>Ministry of Science and Technology (MCT); Brazilian National Council on Research and Development (CNPq) [520189/2006-0]; GSFC/NASA [OCEANS/04123400362]; NASA Biodiversity Program [NNX09AK17G]; CNPq [143234/2008-0]; NASA [114856, NNX09AK17G] Funding Source: Federal RePORTER</t>
  </si>
  <si>
    <t>Ministry of Science and Technology (MCT); Brazilian National Council on Research and Development (CNPq)(Conselho Nacional de Desenvolvimento Cientifico e Tecnologico (CNPQ)); GSFC/NASA(National Aeronautics &amp; Space Administration (NASA)); NASA Biodiversity Program(National Aeronautics &amp; Space Administration (NASA)); CNPq(Conselho Nacional de Desenvolvimento Cientifico e Tecnologico (CNPQ)); NASA(National Aeronautics &amp; Space Administration (NASA))</t>
  </si>
  <si>
    <t>The PATagonian EXperiment (PATEX) is a multidisciplinary project conducted by the Group of High Latitude Oceanography (GOAL) in the Brazilian Antarctic Program. We are grateful to the crew of the Brazilian Navy R/V Ary Rongel for their assistance during field experiments. We also acknowledge Servicio de Hidrografia Naval (Argentina) for their cooperation in obtaining clearance for carrying out the fieldwork within the Argentinean EEZ. The PATEX 5, 6 and 7 cruises were conducted as part of the Southern Ocean Studies for Understanding Climate Changes Issues (SOS-CLIMATE) project, a Brazilian contribution to the International Polar Year. The SOS-Climate project was funded by the Ministry of Science and Technology (MCT) and Brazilian National Council on Research and Development (CNPq, grant 520189/2006-0). This work was also partly supported by GSFC/NASA through the project OCEANS/04123400362 and by the NASA Biodiversity Program (Grant NNX09AK17G awarded to D.S.). A. Ferreira was funded by CNPq with a graduate scholarship (Proc. No. 143234/2008-0). We also thank two anonymous reviewers for their comments on the manuscript.</t>
  </si>
  <si>
    <t>10.1016/j.rse.2013.05.022</t>
  </si>
  <si>
    <t>186PC</t>
  </si>
  <si>
    <t>WOS:000322055600034</t>
  </si>
  <si>
    <t>McCracken, KG; Beer, J; Steinhilber, F; Abreu, J</t>
  </si>
  <si>
    <t>McCracken, K. G.; Beer, J.; Steinhilber, F.; Abreu, J.</t>
  </si>
  <si>
    <t>A Phenomenological Study of the Cosmic Ray Variations over the Past 9400 Years, and Their Implications Regarding Solar Activity and the Solar Dynamo</t>
  </si>
  <si>
    <t>SOLAR PHYSICS</t>
  </si>
  <si>
    <t>Cosmic-rays; Cosmic-ray modulation; Cosmogenic Be-10 and C-14; Solar periodicities; Grand Minima; Solar dynamo</t>
  </si>
  <si>
    <t>POLAR ICE; MODULATION; BE-10; CYCLE; FIELD</t>
  </si>
  <si>
    <t>Two 9400-year long Be-10 data records from the Arctic and Antarctic and a C-14 record of equal length were used to investigate the periodicities in the cosmic radiation incident on Earth throughout the past 9400 years. Fifteen significant periodicities between 40 and 2320 years are observed in the Be-10 and C-14 records, there being close agreement between the periodicities in each record. We found that the periodic variations in the galactic cosmic radiation are the primary cause for periods &lt; 250 years, with minor contributions of terrestrial origin possible &gt; 250 years. The spectral line for the Gleissberg (87-year) periodicity is narrow, indicating a stability of a parts per thousand aEuro parts per thousand 0.5 %. The 9400-year record contains 26 Grand Minima (GM) similar to the Maunder Minimum, most of which occurred as sequences of 2 -aEuro parts per thousand 7 GM with intervals of 800 -aEuro parts per thousand 1200 years in between, in which there were no GM. The intervals between the GM sequences are characterised by high values of the modulation function. Periodicities &lt; 150 years are observed in both the GM intervals and the intervals in between. The longer-period variations such as the de Vries (208-year) cycle have high amplitudes during the GM sequences and are undetectable in between. There are three harmonically related pairs of periodicities (65 and 130 years), (75 and 150 years), and (104 and 208 years). The long periodicities at 350, 510, and 708 years closely approximate 4, 6, and 8 times the Gleissberg period (87 years). The well-established properties of cosmic-ray modulation theory and the known dependence of the heliospheric magnetic field on the solar magnetic fields lead us to speculate that the periodicities evident in the paleo-cosmic-ray record are also present in the solar magnetic fields and in the solar dynamo. The stable, narrow natures of the Gleissberg and other periodicities suggest that there is a strong frequency control in the solar dynamo, in strong contrast to the variable nature (8 -aEuro parts per thousand 15 years) of the Schwabe (11-year) solar cycle.</t>
  </si>
  <si>
    <t>[McCracken, K. G.] Univ Maryland, Inst Phys Sci &amp; Technol, College Pk, MD 20742 USA; [Beer, J.; Steinhilber, F.; Abreu, J.] Eawag, Dubendorf, Switzerland</t>
  </si>
  <si>
    <t>University System of Maryland; University of Maryland College Park; Swiss Federal Institutes of Technology Domain; Swiss Federal Institute of Aquatic Science &amp; Technology (EAWAG)</t>
  </si>
  <si>
    <t>McCracken, KG (corresponding author), Univ Maryland, Inst Phys Sci &amp; Technol, College Pk, MD 20742 USA.</t>
  </si>
  <si>
    <t>jellore@hinet.net.au</t>
  </si>
  <si>
    <t>Steinhilber, Friedhelm/D-3433-2011</t>
  </si>
  <si>
    <t>NSF [1050002]; NCCR Climate - Swiss climate research; Swiss National Science Foundation [CRSI122-130642 (FUPSOL)]</t>
  </si>
  <si>
    <t>NSF(National Science Foundation (NSF)); NCCR Climate - Swiss climate research(Swiss National Science Foundation (SNSF)); Swiss National Science Foundation(Swiss National Science Foundation (SNSF))</t>
  </si>
  <si>
    <t>The research at the University of Maryland was supported by NSF grant 1050002. The Swiss component of this research was supported by NCCR Climate - Swiss climate research and by the Swiss National Science Foundation under grant CRSI122-130642 (FUPSOL). Support of KGMcC by the International Space Science Institute (ISSI) is gratefully acknowledged.</t>
  </si>
  <si>
    <t>0038-0938</t>
  </si>
  <si>
    <t>1573-093X</t>
  </si>
  <si>
    <t>SOL PHYS</t>
  </si>
  <si>
    <t>Sol. Phys.</t>
  </si>
  <si>
    <t>10.1007/s11207-013-0265-0</t>
  </si>
  <si>
    <t>145IC</t>
  </si>
  <si>
    <t>WOS:000319007700020</t>
  </si>
  <si>
    <t>Guo, SX; Mahillon, J</t>
  </si>
  <si>
    <t>Guo, Suxia; Mahillon, Jacques</t>
  </si>
  <si>
    <t>pGIAK1, a Heavy Metal Resistant Plasmid from an Obligate Alkaliphilic and Halotolerant Bacterium Isolated from the Antarctic Concordia Station Confined Environment</t>
  </si>
  <si>
    <t>COMPLETE GENOME SEQUENCE; THURINGIENSIS SUBSP ISRAELENSIS; STAPHYLOCOCCUS-AUREUS; BACILLUS-SUBTILIS; SP-NOV.; NUCLEOTIDE-SEQUENCE; ESCHERICHIA-COLI; SODA LAKES; GEN. NOV.; STRAIN</t>
  </si>
  <si>
    <t>pGIAK1 is a 38-kb plasmid originating from the obligate alkaliphilic and halotolerant Bacillaceae strain JMAK1. The strain was originally isolated from the confined environments of the Antarctic Concordia station. Analysis of the pGIAK1 38,362-bp sequence revealed that, in addition to its replication region, this plasmid contains the genetic determinants for cadmium and arsenic resistances, putative methyltransferase, tyrosine recombinase, spore coat protein and potassium transport protein, as well as several hypothetical proteins. Cloning the pGIAK1 cad operon in Bacillus cereus H3081.97 and its ars operon in Bacillus subtilis 1A280 conferred to these hosts cadmium and arsenic resistances, respectively, therefore confirming their bona fide activities. The pGIAK1 replicon region was also shown to be functional in Bacillus thuringiensis, Bacillus subtilis and Staphylococcus aureus, but was only stably maintained in B. subtilis. Finally, using an Escherichia coli - B. thuringiensis shuttle BAC vector, pGIAK1 was shown to display conjugative properties since it was able to transfer the BAC plasmid among B. thuringiensis strains.</t>
  </si>
  <si>
    <t>[Guo, Suxia; Mahillon, Jacques] Catholic Univ Louvain, Lab Food &amp; Environm Microbiol, B-1348 Louvain, Belgium</t>
  </si>
  <si>
    <t>Universite Catholique Louvain; KU Leuven</t>
  </si>
  <si>
    <t>Mahillon, J (corresponding author), Catholic Univ Louvain, Lab Food &amp; Environm Microbiol, B-1348 Louvain, Belgium.</t>
  </si>
  <si>
    <t>jacques.mahillon@uclouvain.be</t>
  </si>
  <si>
    <t>European Space Agency (ESA-PRODEX) through the MISSEX [AO-2004, PRODEX C90255]; COMICS [ESA-AO-07-Concordia: PRODEX C90355]; National Fund for Scientific Research (FNRS); Universite Catholique de Louvain</t>
  </si>
  <si>
    <t>European Space Agency (ESA-PRODEX) through the MISSEX; COMICS; National Fund for Scientific Research (FNRS)(Fonds de la Recherche Scientifique - FNRS); Universite Catholique de Louvain</t>
  </si>
  <si>
    <t>This study was financially supported by the European Space Agency (ESA-PRODEX) through the MISSEX (AO-2004, PRODEX C90255) and COMICS (ESA-AO-07-Concordia: PRODEX C90355) projects, the National Fund for Scientific Research (FNRS), and the Universite Catholique de Louvain. The funders had no role in study design, data collection and analysis, decision to publish, or preparation of the manuscript.</t>
  </si>
  <si>
    <t>AUG 29</t>
  </si>
  <si>
    <t>e72461</t>
  </si>
  <si>
    <t>10.1371/journal.pone.0072461</t>
  </si>
  <si>
    <t>209DO</t>
  </si>
  <si>
    <t>WOS:000323734600021</t>
  </si>
  <si>
    <t>Miles, BWJ; Stokes, CR; Vieli, A; Cox, NJ</t>
  </si>
  <si>
    <t>Miles, B. W. J.; Stokes, C. R.; Vieli, A.; Cox, N. J.</t>
  </si>
  <si>
    <t>Rapid, climate-driven changes in outlet glaciers on the Pacific coast of East Antarctica</t>
  </si>
  <si>
    <t>ICE-SHEET; SEA-ICE; ANNULAR MODE; MASS-LOSS; GREENLAND; VARIABILITY; PENINSULA; MARGINS; SHELVES; ADELIE</t>
  </si>
  <si>
    <t>Observations of ocean-terminating outlet glaciers in Greenland and West Antarctica(1-6) indicate that their contribution to sea level is accelerating as a result of increased velocity, thinning and retreat(7-11). Thinning has also been reported along the margin of the much larger East Antarctic ice sheet(1), but whether glaciers are advancing or retreating there is largely unknown, and there has been no attempt to place such changes in the context of localized mass loss(7,9) or climatic or oceanic forcing. Here we present multidecadal trends in the terminus position of 175 ocean-terminating outlet glaciers along 5,400 kilometres of the margin of the East Antarctic ice sheet, and reveal widespread and synchronous changes. Despite large fluctuations between glaciers-linked to their size-three epochal patterns emerged: 63 per cent of glaciers retreated from 1974 to 1990, 72 per cent advanced from 1990 to 2000, and 58 per cent advanced from 2000 to 2010. These trends were most pronounced along the warmer western South Pacific coast, whereas glaciers along the cooler Ross Sea coast experienced no significant changes. We find that glacier change along the Pacific coast is consistent with a rapid and coherent response to air temperature and sea-ice trends, linked through the dominant mode of atmospheric variability (the Southern Annular Mode). We conclude that parts of the world's largest ice sheet may be more vulnerable to external forcing than recognized previously.</t>
  </si>
  <si>
    <t>[Miles, B. W. J.; Stokes, C. R.; Vieli, A.; Cox, N. J.] Univ Durham, Dept Geog, Durham DH1 3LE, England</t>
  </si>
  <si>
    <t>Durham University</t>
  </si>
  <si>
    <t>Stokes, CR (corresponding author), Univ Durham, Dept Geog, Sci Site,South Rd, Durham DH1 3LE, England.</t>
  </si>
  <si>
    <t>Vieli, Andreas/A-6767-2011; Stokes, Chris/A-1957-2011</t>
  </si>
  <si>
    <t>Stokes, Chris/0000-0003-3355-1573; Miles, Bertie/0000-0002-3388-4688</t>
  </si>
  <si>
    <t>10.1038/nature12382</t>
  </si>
  <si>
    <t>207TD</t>
  </si>
  <si>
    <t>WOS:000323625900031</t>
  </si>
  <si>
    <t>Swart, NC; Fyfe, JC</t>
  </si>
  <si>
    <t>Swart, N. C.; Fyfe, J. C.</t>
  </si>
  <si>
    <t>The influence of recent Antarctic ice sheet retreat on simulated sea ice area trends</t>
  </si>
  <si>
    <t>sea ice; Antarctic; Southern Ocean; ice sheet; fresh water; climate change</t>
  </si>
  <si>
    <t>SOUTHERN-OCEAN; FRESH-WATER; CLIMATE; VARIABILITY; DRIVEN</t>
  </si>
  <si>
    <t>Observations indicate that dynamic mass loss from the Antarctic ice sheet has been accelerating over recent decades, leading to a freshening of the Southern Ocean. Here we quantify the effect of several rates and spatial distributions of freshwater forcing on simulated sea ice area trends. In contrast to a previous study, our simulations show that the freshwater effect on sea ice trends over the historical period is small and fails to reproduce the observed regional pattern of trends, when using observationally consistent rates of freshwater forcing. The Coupled Model Intercomparison Project Phase 5 (CMIP5) models do not represent this dynamic ice sheet mass loss, and it has been suggested that this deficiency may significantly influence the simulated sea ice trends. We show that when accounting for internal variability, the average CMIP5 sea ice area trend is statistically consistent with the observed trend, and accounting for ice sheet derived freshwater forcing has little influence.</t>
  </si>
  <si>
    <t>[Swart, N. C.] Univ Victoria, Sch Earth &amp; Ocean Sci, Victoria, BC V8P 5C2, Canada; [Fyfe, J. C.] Environm Canada, Canadian Ctr Climate Modelling &amp; Anal, Victoria, BC, Canada</t>
  </si>
  <si>
    <t>University of Victoria; Environment &amp; Climate Change Canada; Canadian Centre for Climate Modelling &amp; Analysis (CCCma)</t>
  </si>
  <si>
    <t>Swart, NC (corresponding author), Univ Victoria, Sch Earth &amp; Ocean Sci, 3800 Finnerty Rd Ring Rd, Victoria, BC V8P 5C2, Canada.</t>
  </si>
  <si>
    <t>ncswart@uvic.ca</t>
  </si>
  <si>
    <t>Swart, Neil/Q-6608-2019</t>
  </si>
  <si>
    <t>Swart, Neil/0000-0002-8200-6187</t>
  </si>
  <si>
    <t>NSERC CREATE training programme in interdisciplinary climate science; University of Victoria</t>
  </si>
  <si>
    <t>N.C.S. was supported by the NSERC CREATE training programme in interdisciplinary climate science and the University of Victoria. Compute Canada/Westgrid is acknowledged for providing computing resources. We acknowledge the World Climate Research Programme's Working Group on Coupled Modelling, which is responsible for CMIP, and we thank the climate modeling groups for producing and making available their model output. We thank Jeremy Fyke, Bill M, Michael Sigmond, and a reviewer for their helpful comments on the manuscript.</t>
  </si>
  <si>
    <t>AUG 28</t>
  </si>
  <si>
    <t>10.1002/grl.50820</t>
  </si>
  <si>
    <t>219SI</t>
  </si>
  <si>
    <t>WOS:000324529000037</t>
  </si>
  <si>
    <t>Wilson, DS; Pollard, D; DeConto, RM; Jamieson, SSR; Luyendyk, BP</t>
  </si>
  <si>
    <t>Wilson, Douglas S.; Pollard, David; DeConto, Robert M.; Jamieson, Stewart S. R.; Luyendyk, Bruce P.</t>
  </si>
  <si>
    <t>Initiation of the West Antarctic Ice Sheet and estimates of total Antarctic ice volume in the earliest Oligocene</t>
  </si>
  <si>
    <t>Antarctic; ice sheet; Oligocene</t>
  </si>
  <si>
    <t>GLOBAL CLIMATE; ATMOSPHERIC CO2; GLACIATION; MODEL; TRANSITION; SIMULATION; THICKNESS; HISTORY; OCEAN</t>
  </si>
  <si>
    <t>Reconstructions of Antarctic paleotopography for the late Eocene suggest that glacial erosion and thermal subsidence have lowered West Antarctic elevations considerably since then, with Antarctic land area having decreased similar to 20%. A new climate-ice sheet model based on these reconstructions shows that the West Antarctic Ice Sheet first formed at the Eocene-Oligocene transition (33.8-33.5Ma, E-O) in concert with the continental-scale expansion of the East Antarctica Ice Sheet and that the total volume of East and West Antarctic ice (33.4-35.9x10(6)km(3)) was &gt;1.4 times greater than previously assumed. This larger modeled ice volume is consistent with a modest cooling of 1-2 degrees C in the deep ocean during the E-O transition, lower than other estimates of similar to 3 degrees C cooling, and suggests the possibility of substantial ice in the Antarctic interior before the Eocene-Oligocene boundary.</t>
  </si>
  <si>
    <t>[Wilson, Douglas S.; Luyendyk, Bruce P.] Univ Calif Santa Barbara, Dept Earth Sci, Santa Barbara, CA 93106 USA; [Wilson, Douglas S.] Univ Calif Santa Barbara, Inst Marine Sci, Santa Barbara, CA 93106 USA; [Pollard, David] Penn State Univ, Earth &amp; Environm Syst Inst, University Pk, PA 16802 USA; [DeConto, Robert M.] Univ Massachusetts, Dept Geosci, Amherst, MA 01003 USA; [Jamieson, Stewart S. R.] Univ Durham, Dept Geog, Durham, England; [Luyendyk, Bruce P.] Univ Calif Santa Barbara, Earth Res Inst, Santa Barbara, CA 93106 USA</t>
  </si>
  <si>
    <t>University of California System; University of California Santa Barbara; University of California System; University of California Santa Barbara; Pennsylvania Commonwealth System of Higher Education (PCSHE); Pennsylvania State University; Pennsylvania State University - University Park; University of Massachusetts System; University of Massachusetts Amherst; Durham University; University of California System; University of California Santa Barbara</t>
  </si>
  <si>
    <t>Wilson, DS (corresponding author), Univ Calif Santa Barbara, Dept Earth Sci, 1006 Webb Hall, Santa Barbara, CA 93106 USA.</t>
  </si>
  <si>
    <t>dwilson@geol.ucsb.edu</t>
  </si>
  <si>
    <t>Jamieson, Stewart S.R./B-8330-2013</t>
  </si>
  <si>
    <t>Jamieson, Stewart S.R./0000-0002-9036-2317</t>
  </si>
  <si>
    <t>U.S. National Science Foundation [0342484]; ANDRILL Science Management Office at the University of Nebraska-Lincoln, as part of the ANDRILL U.S. Science Support Program; NSF [ANT-0424589, 143018, OCE-1202632]; Natural Environment Research Council UK [NE/J018333/1]; NERC [NE/J018333/1] Funding Source: UKRI; Directorate For Geosciences; Div Atmospheric &amp; Geospace Sciences [1203792] Funding Source: National Science Foundation; Div Atmospheric &amp; Geospace Sciences; Directorate For Geosciences [1203910] Funding Source: National Science Foundation; Natural Environment Research Council [NE/J018333/1] Funding Source: researchfish</t>
  </si>
  <si>
    <t>U.S. National Science Foundation(National Science Foundation (NSF)); ANDRILL Science Management Office at the University of Nebraska-Lincoln, as part of the ANDRILL U.S. Science Support Program; NSF(National Science Foundation (NSF)); Natural Environment Research Council UK(UK Research &amp; Innovation (UKRI)Natural Environment Research Council (NERC)); NERC(UK Research &amp; Innovation (UKRI)Natural Environment Research Council (NERC)); Directorate For Geosciences; Div Atmospheric &amp; Geospace Sciences(National Science Foundation (NSF)NSF - Directorate for Geosciences (GEO)); Div Atmospheric &amp; Geospace Sciences; Directorate For Geosciences(National Science Foundation (NSF)NSF - Directorate for Geosciences (GEO)); Natural Environment Research Council(UK Research &amp; Innovation (UKRI)Natural Environment Research Council (NERC))</t>
  </si>
  <si>
    <t>We thank Peter Barrett and others of the AntScape group for discussions and encouragement, and two anonymous reviewers for helpful suggestions. This material is based upon work supported by the U.S. National Science Foundation under Cooperative Agreement 0342484 through subawards administered and issued by the ANDRILL Science Management Office at the University of Nebraska-Lincoln, as part of the ANDRILL U.S. Science Support Program and NSF awards ANT-0424589, 143018, and OCE-1202632. S.S.R.J. is supported by the Natural Environment Research Council UK Fellowship grant NE/J018333/1.</t>
  </si>
  <si>
    <t>10.1002/grl.50797</t>
  </si>
  <si>
    <t>WOS:000324529000033</t>
  </si>
  <si>
    <t>McMillan, M; Corr, H; Shepherd, A; Ridout, A; Laxon, S; Cullen, R</t>
  </si>
  <si>
    <t>McMillan, Malcolm; Corr, Hugh; Shepherd, Andrew; Ridout, Andrew; Laxon, Seymour; Cullen, Robert</t>
  </si>
  <si>
    <t>Three-dimensional mapping by CryoSat-2 of subglacial lake volume changes</t>
  </si>
  <si>
    <t>CryoSat-2; radar altimetry; SARin; Antarctica; subglacial lake; ICESat</t>
  </si>
  <si>
    <t>MACAYEAL ICE STREAM; WEST ANTARCTICA; SHEET; INVENTORY; DISCHARGE; ALTIMETRY; SYSTEM; FLOODS; OCEAN</t>
  </si>
  <si>
    <t>We analyze data acquired by the CryoSat-2 interferometric radar altimeter and demonstrate its novel capability to track topographic features on the Antarctic Ice Sheet. We map the perimeter and depth of a 260km(2) surface depression above an Antarctic subglacial lake (SGL) and, in combination with Ice, Cloud and land Elevation Satellite laser altimetry, chart decadal changes in SGL volume. During 2007-2008, between 4.9 and 6.4km(3) of water drained from the SGL, and peak discharge exceeded 160m(3)s(-1). The flood was twice as large as any previously recorded and equivalent to 10% of the meltwater generated annually beneath the ice sheet. The ice surface has since uplifted at a rate of 5.62.8myr(-1). Our study demonstrates the ability of CryoSat-2 to provide detailed maps of ice sheet topography, its potential to accurately measure SGL drainage events, and the contribution it can make to understanding water flow beneath Antarctica.</t>
  </si>
  <si>
    <t>[McMillan, Malcolm; Shepherd, Andrew] Univ Leeds, Sch Earth &amp; Environm, Leeds LS2 9JT, W Yorkshire, England; [Corr, Hugh] British Antarctic Survey, Cambridge CB3 0ET, England; [Ridout, Andrew; Laxon, Seymour] UCL, Dept Earth Sci, London, England; [Cullen, Robert] European Space Agcy, NL-2200 AG Noordwijk, Netherlands</t>
  </si>
  <si>
    <t>University of Leeds; UK Research &amp; Innovation (UKRI); Natural Environment Research Council (NERC); NERC British Antarctic Survey; University of London; University College London; European Space Agency</t>
  </si>
  <si>
    <t>McMillan, M (corresponding author), Univ Leeds, Sch Earth &amp; Environm, Leeds LS2 9JT, W Yorkshire, England.</t>
  </si>
  <si>
    <t>m.mcmillan@leeds.ac.uk</t>
  </si>
  <si>
    <t>Corr, Hugh/C-5398-2011; McMillan, Malcolm/K-7712-2014</t>
  </si>
  <si>
    <t>Shepherd, Andrew/0000-0002-4914-1299; McMillan, Malcolm/0000-0002-5113-0177</t>
  </si>
  <si>
    <t>UK Centre for Polar Observation and Modelling; NERC [bas0100026, bas010020, bas0100027] Funding Source: UKRI; Natural Environment Research Council [earth010006, bas010020, bas0100027, bas0100026] Funding Source: researchfish</t>
  </si>
  <si>
    <t>UK Centre for Polar Observation and Modelling; NERC(UK Research &amp; Innovation (UKRI)Natural Environment Research Council (NERC)); Natural Environment Research Council(UK Research &amp; Innovation (UKRI)Natural Environment Research Council (NERC))</t>
  </si>
  <si>
    <t>This work was supported by the UK Centre for Polar Observation and Modelling. ICESat data were provided by the National Snow and Ice Data Centre, and ALOS data by the European Space Agency. We are grateful to N. Galin and M. Fornari for discussions relating to CryoSat-2 performance, and thank H. A. Fricker, T. Flament and several anonymous reviewers for comments which substantially improved this paper.</t>
  </si>
  <si>
    <t>10.1002/grl.50689</t>
  </si>
  <si>
    <t>WOS:000324529000036</t>
  </si>
  <si>
    <t>Hill-Falkenthal, J; Priyadarshi, A; Savarino, J; Thiemens, M</t>
  </si>
  <si>
    <t>Hill-Falkenthal, Jason; Priyadarshi, Antra; Savarino, Joel; Thiemens, Mark</t>
  </si>
  <si>
    <t>Seasonal variations in 35S and Δ17O of sulfate aerosols on the Antarctic plateau</t>
  </si>
  <si>
    <t>radioactive 35 sulfur; stable oxygen isotopes; Dome C; Antarctica; sulfur cycle oxidation; stratosphere; troposphere interaction</t>
  </si>
  <si>
    <t>SOUTH-POLE; COSMOGENIC S-35; BOUNDARY-LAYER; ICE CORE; DOME-C; ISOTOPIC CONSTRAINTS; DEPOSITIONAL FLUXES; ATMOSPHERIC NITRATE; OZONE DEPLETION; SULFUR-DIOXIDE</t>
  </si>
  <si>
    <t>The first reported seasonal O-17 anomaly in sulfate aerosols and measurements of radioactive (SO42-)-S-35 activities collected from Dome C, Antarctica, are reported. O-17 values exhibit minima during summer (as low as 0.91) when tropospheric oxidation patterns are dominated by OH/H2O2 mechanisms. Significant enrichment during autumn and spring is observed (up to 2.40) as ozone oxidation increases in the troposphere relative to summer and both stratospheric sources and long-range transport become more significant to the total sulfate budget. An unexpected decrease in O-17 is seen as winter progresses. This decline is concluded to potentially arise due to a reduction in vertical mixing in the troposphere or linked to variations in the long-range transport of sulfur species to Antarctica. (SO42-)-S-35 activities exhibit maxima during summer (up to 1219 atoms S-35/m(3)) that correlate with the peak in stratospheric flux and minima during winter (as low as 146 atoms S-35/m(3)) when the lack of solar radiation substantially reduces photochemical activity. It is shown that S-35 offers the potential to be used as an additional tracer to study stratospheric and tropospheric interactions and is used to estimate stratospheric input of sulfur (combination of SO2 and SO42-). Stratospheric sulfur input produces maxima during summer/autumn with an upper limit of 5.5ng/m(3) and minima during winter/spring with an upper limit of 1.1ng/m(3). From these results, it is concluded that the variation in O-17 is more reliant upon shifts in tropospheric oxidation mechanisms and long-range transport than on changes in the stratospheric flux.</t>
  </si>
  <si>
    <t>[Hill-Falkenthal, Jason; Priyadarshi, Antra; Thiemens, Mark] Univ Calif San Diego, Dept Chem &amp; Biochem, La Jolla, CA 92093 USA; [Savarino, Joel] Univ Grenoble 1, CNRS, Lab Glaciol &amp; Geophys Environm, F-38402 St Martin Dheres, France</t>
  </si>
  <si>
    <t>University of California System; University of California San Diego; Communaute Universite Grenoble Alpes; Universite Grenoble Alpes (UGA); Centre National de la Recherche Scientifique (CNRS)</t>
  </si>
  <si>
    <t>Hill-Falkenthal, J (corresponding author), Univ Calif San Diego, Dept Chem &amp; Biochem, 9500 Gilman Dr, La Jolla, CA 92093 USA.</t>
  </si>
  <si>
    <t>jhillfal@ucsd.edu</t>
  </si>
  <si>
    <t>Savarino, Joel/H-9730-2012</t>
  </si>
  <si>
    <t>Savarino, Joel/0000-0002-6708-9623</t>
  </si>
  <si>
    <t>Institut Polaire Francais Paul-emile Victor (IPEV) through the SUNITEDC program [1011]; Agence Nationale de la Recherche (ANR) [VULN-013-VANISH, NT09-431976-VOLSOL]; CNRS/INSU, program LEFE/CHAT</t>
  </si>
  <si>
    <t>Institut Polaire Francais Paul-emile Victor (IPEV) through the SUNITEDC program; Agence Nationale de la Recherche (ANR)(Agence Nationale de la Recherche (ANR)); CNRS/INSU, program LEFE/CHAT</t>
  </si>
  <si>
    <t>For the present work, Antarctic experiment work was supported by the Institut Polaire Francais Paul-emile Victor (IPEV) through the SUNITEDC program (1011). Technicians and winterover personnel are deeply acknowledged for their help in collecting samples in this harsh environment. J.S. thanks the Agence Nationale de la Recherche (ANR), contracts VULN-013-VANISH and NT09-431976-VOLSOL, and the CNRS/INSU, program LEFE/CHAT, for their financial help. J.H.F. acknowledges V. Azzi and F. Serio for help with initial sample extraction. The reviewers are graciously acknowledged for their insightful comments that greatly improved the manuscript.</t>
  </si>
  <si>
    <t>AUG 27</t>
  </si>
  <si>
    <t>10.1002/jgrd.50716</t>
  </si>
  <si>
    <t>225AE</t>
  </si>
  <si>
    <t>WOS:000324933900048</t>
  </si>
  <si>
    <t>Feng, WH; Marsh, DR; Chipperfield, MP; Janches, D; Höffner, J; Yi, F; Plane, JMC</t>
  </si>
  <si>
    <t>Feng, Wuhu; Marsh, Daniel R.; Chipperfield, Martyn P.; Janches, Diego; Hoeffner, Josef; Yi, Fan; Plane, John M. C.</t>
  </si>
  <si>
    <t>A global atmospheric model of meteoric iron</t>
  </si>
  <si>
    <t>mesosphere iron layer; WACCM; iron chemistry; transport; tides; gravity wave</t>
  </si>
  <si>
    <t>POLAR MESOSPHERIC CLOUDS; SPORADIC-E LAYERS; LIDAR OBSERVATIONS; METALLIC-IONS; SODIUM LAYER; FE LAYERS; SEASONAL-VARIATIONS; NOCTILUCENT CLOUDS; LOWER THERMOSPHERE; MIDDLE ATMOSPHERE</t>
  </si>
  <si>
    <t>The first global model of meteoric iron in the atmosphere (WACCM-Fe) has been developed by combining three components: the Whole Atmosphere Community Climate Model (WACCM), a description of the neutral and ion-molecule chemistry of iron in the mesosphere and lower thermosphere (MLT), and a treatment of the injection of meteoric constituents into the atmosphere. The iron chemistry treats seven neutral and four ionized iron containing species with 30 neutral and ion-molecule reactions. The meteoric input function (MIF), which describes the injection of Fe as a function of height, latitude, and day, is precalculated from an astronomical model coupled to a chemical meteoric ablation model (CABMOD). This newly developed WACCM-Fe model has been evaluated against a number of available ground-based lidar observations and performs well in simulating the mesospheric atomic Fe layer. The model reproduces the strong positive correlation of temperature and Fe density around the Fe layer peak and the large anticorrelation around 100km. The diurnal tide has a significant effect in the middle of the layer, and the model also captures well the observed seasonal variations. However, the model overestimates the peak Fe(+)concentration compared with the limited rocket-borne mass spectrometer data available, although good agreement on the ion layer underside can be obtained by adjusting the rate coefficients for dissociative recombination of Fe-molecular ions with electrons. Sensitivity experiments with the same chemistry in a 1-D model are used to highlight significant remaining uncertainties in reaction rate coefficients, and to explore the dependence of the total Fe abundance on the MIF and rate of vertical transport.</t>
  </si>
  <si>
    <t>[Feng, Wuhu; Plane, John M. C.] Univ Leeds, Sch Chem, Leeds LS2 9JT, W Yorkshire, England; [Feng, Wuhu; Chipperfield, Martyn P.] Univ Leeds, Sch Earth &amp; Environm, NCAS, Leeds LS2 9JT, W Yorkshire, England; [Marsh, Daniel R.] Natl Ctr Atmospher Res, Boulder, CO 80307 USA; [Janches, Diego] NASA, Goddard Space Flight Ctr, Space Weather Lab, Greenbelt, MD 20771 USA; [Hoeffner, Josef] Leibniz Inst Atmospher Phys, Kuhlungsborn, Germany; [Yi, Fan] Wuhan Univ, Sch Elect Informat, Wuhan 430072, Peoples R China</t>
  </si>
  <si>
    <t>University of Leeds; UK Research &amp; Innovation (UKRI); Natural Environment Research Council (NERC); NERC National Centre for Atmospheric Science; University of Leeds; National Center Atmospheric Research (NCAR) - USA; National Aeronautics &amp; Space Administration (NASA); NASA Goddard Space Flight Center; Leibniz Institut fur Atmospharenphysik e.V. an der Universitat Rostock (IAP); Wuhan University</t>
  </si>
  <si>
    <t>Plane, JMC (corresponding author), Univ Leeds, Sch Chem, Leeds LS2 9JT, W Yorkshire, England.</t>
  </si>
  <si>
    <t>j.m.c.plane@leeds.ac.uk</t>
  </si>
  <si>
    <t>FENG, WUHU/B-8327-2008; Chipperfield, Martyn/H-6359-2013; Marsh, Daniel/A-8406-2008; Plane, John/C-7444-2015; Janches, Diego/D-4674-2012</t>
  </si>
  <si>
    <t>FENG, WUHU/0000-0002-9907-9120; Chipperfield, Martyn/0000-0002-6803-4149; Marsh, Daniel/0000-0001-6699-494X; Plane, John/0000-0003-3648-6893; Janches, Diego/0000-0001-8615-5166</t>
  </si>
  <si>
    <t>UK Natural Environment Research Council (NERC) [NE/G019487/1]; NSF [ATM-05311464, ATM-0525655, ATM-0634650, AST-0908118]; Natural Environment Research Council [ncas10009, NE/G019487/1] Funding Source: researchfish; NERC [NE/G019487/1] Funding Source: UKRI</t>
  </si>
  <si>
    <t>UK Natural Environment Research Council (NERC)(UK Research &amp; Innovation (UKRI)Natural Environment Research Council (NERC)); NSF(National Science Foundation (NSF)); Natural Environment Research Council(UK Research &amp; Innovation (UKRI)Natural Environment Research Council (NERC)); NERC(UK Research &amp; Innovation (UKRI)Natural Environment Research Council (NERC))</t>
  </si>
  <si>
    <t>This work was supported by the UK Natural Environment Research Council (NERC grant NE/G019487/1). The MIF was developed under NSF grants ATM-05311464, ATM-0525655, ATM-0634650, and AST-0908118 to NorthWest Research Associates. The Fe lidar data for Urbana, Rothera, and South Pole were provided by C. S. Gardner (University of Illinois at Urbana-Champaign). We also thank R. J. Morris from Australian Antarctic Division for supporting the lidar observations at Davis. CIRA data is obtained via the British Atmospheric Data Centre. The authors also acknowledge three anonymous reviewers for their useful comments.</t>
  </si>
  <si>
    <t>10.1002/jgrd.50708</t>
  </si>
  <si>
    <t>WOS:000324933900049</t>
  </si>
  <si>
    <t>Monniot, F</t>
  </si>
  <si>
    <t>Monniot, Francoise</t>
  </si>
  <si>
    <t>The genus Corella (Ascidiacea, Phlebobranchia, Corellidae) in the Southern Hemisphere with description of a new species</t>
  </si>
  <si>
    <t>Ascidians; Corellidae; Antarctic; Sub-Antarctic; new species</t>
  </si>
  <si>
    <t>In the Southern Hemisphere the species attributed to Corella eumyota, Traustedt, 1882 are likely more varied than previously expected. This ascidian species was described from specimens collected at Valparaiso (Chile). Until now it was considered as a widely distributed species in the southern hemisphere. New collections from Chile and the Antarctic area have allowed to separate two species and re-establish Corella antarctica Sluiter, 1905 as a valid species (Alurralde 2013). A morphological re-examination of many specimens from the MNHN collections and especially recent surveys as CEAMARC and REVOLTA confirms that Antarctic specimens from the Antarctic Peninsula and Terre Adelie obviously differ from sub-Antarctic material more varied than previously estimated. On the other hand, C. eumyota invasive in Europe (Lambert 2004) has been shown to be the same as specimens from Chile, New Zealand and other sub-Antarctic regions. The present morphological study compares Corella from different regions and describes a new species Corella brewinae n. sp that is found living mixed with C. eumyota populations.</t>
  </si>
  <si>
    <t>Museum Natl Hist Nat, F-75231 Paris 05, France</t>
  </si>
  <si>
    <t>Museum National d'Histoire Naturelle (MNHN)</t>
  </si>
  <si>
    <t>Monniot, F (corresponding author), Museum Natl Hist Nat, 57 Rue Cuvier Fr, F-75231 Paris 05, France.</t>
  </si>
  <si>
    <t>monniot@mnhn.fr</t>
  </si>
  <si>
    <t>CAML-CEAMARC cruise of RSV Aurora Australis (IPY project) [53]; REVOLTA program (French polar institute IPEV) [1124]</t>
  </si>
  <si>
    <t>CAML-CEAMARC cruise of RSV Aurora Australis (IPY project); REVOLTA program (French polar institute IPEV)</t>
  </si>
  <si>
    <t>I thank for Antarctic specimens the CAML-CEAMARC cruise of RSV Aurora Australis (IPY project no 53) and the REVOLTA program (program 1124 of the French polar institute IPEV). I thank Agnes Dettai for her comments and careful reading of the manuscript and for her skilful sorting of the Antarctic material. I wish to express my gratitude to Gerard Breton (Museum Le Havre) who collected specimens during several years by SCUBA and to Anna Wood (Portobello Marine Laboratory, University of Otago for collecting specimens with field observations. I wish to thank Gretchen Lambert for sending specimens.</t>
  </si>
  <si>
    <t>AUG 26</t>
  </si>
  <si>
    <t>10.11646/zootaxa.3702.2.3</t>
  </si>
  <si>
    <t>205DU</t>
  </si>
  <si>
    <t>WOS:000323422700003</t>
  </si>
  <si>
    <t>Tracey, S; Buxton, C; Gardner, C; Green, B; Hartmann, K; Haward, M; Jabour, J; Lyle, J; McDonald, J</t>
  </si>
  <si>
    <t>Tracey, Sean; Buxton, Colin; Gardner, Caleb; Green, Bridget; Hartmann, Klaas; Haward, Marcus; Jabour, Julia; Lyle, Jeremy; McDonald, Jan</t>
  </si>
  <si>
    <t>Super Trawler Scuppered in Australian Fisheries Management Reform</t>
  </si>
  <si>
    <t>FISHERIES</t>
  </si>
  <si>
    <t>CHALLENGES; IMPACTS; FUTURE; FISH</t>
  </si>
  <si>
    <t>In response to an intense social media campaign led by international conservation groups, Green politicians, and recreational fishers, the Australian government imposed a moratorium on the operations of a large factory trawler. This moratorium overrode the government's own independent fisheries management process by making amendments to its key environmental legislation just days prior to the commencement of fishing by this vessel. Concurrently, the government announced a comprehensive review of Australia's fisheries management legislation. Whereas science is usually deployed in support of conservation in natural resource conflicts, in this case science-based fisheries management advice took a back seat to vociferous protest by interest groups, perpetuated by the media (in particular social media), ultimately culminating in a contentious political decision.</t>
  </si>
  <si>
    <t>[Tracey, Sean; Buxton, Colin; Gardner, Caleb; Green, Bridget; Hartmann, Klaas; Haward, Marcus; Jabour, Julia; Lyle, Jeremy] Univ Tasmania, Inst Marine &amp; Antarctic Studies, Hobart, Tas 7001, Australia; [McDonald, Jan] Univ Tasmania, Fac Law, Hobart, Tas 7001, Australia</t>
  </si>
  <si>
    <t>Tracey, S (corresponding author), Univ Tasmania, Inst Marine &amp; Antarctic Studies, Hobart, Tas 7001, Australia.</t>
  </si>
  <si>
    <t>Colin.Buxton@utas.edu.au</t>
  </si>
  <si>
    <t>Buxton, Colin/AAV-3489-2021; Hartmann, Klaas/B-3991-2008; Jabour, Julia A/J-7882-2014; Green, Bridget S/G-3368-2014; McDonald, Jan/J-7204-2014; Lyle, Jeremy/J-7170-2014; Gardner, Caleb/I-7086-2013; Haward, Marcus/G-3369-2014; Tracey, Sean/J-7446-2014</t>
  </si>
  <si>
    <t>Buxton, Colin/0000-0002-3256-5220; McDonald, Jan/0000-0002-7953-1458; Lyle, Jeremy/0000-0001-9670-5854; Gardner, Caleb/0000-0003-0324-4337; Haward, Marcus/0000-0003-4775-0864; Tracey, Sean/0000-0002-6735-5899</t>
  </si>
  <si>
    <t>Department of Education, Employment and Workplace Relations Grant-ANNIMS Springboard Program</t>
  </si>
  <si>
    <t>The development of this article was supported by the Department of Education, Employment and Workplace Relations Grant-ANNIMS Springboard Program. The authors thank Jake Kritzer (Environmental Defense Fund), an anonymous reviewer, and an anonymous editor for their helpful comments.</t>
  </si>
  <si>
    <t>325 CHESTNUT ST, SUITE 800, PHILADELPHIA, PA 19106 USA</t>
  </si>
  <si>
    <t>0363-2415</t>
  </si>
  <si>
    <t>10.1080/03632415.2013.813486</t>
  </si>
  <si>
    <t>204MJ</t>
  </si>
  <si>
    <t>WOS:000323369100004</t>
  </si>
  <si>
    <t>Watson, RA; Nowara, GB; Tracey, SR; Fulton, EA; Bulman, CM; Edgar, GJ; Barrett, NS; Lyle, JM; Frusher, SD; Buxton, CD</t>
  </si>
  <si>
    <t>Watson, Reg A.; Nowara, Gabrielle B.; Tracey, Sean R.; Fulton, Elizabeth A.; Bulman, Cathy M.; Edgar, Graham J.; Barrett, Neville S.; Lyle, Jeremy M.; Frusher, Stewart D.; Buxton, Colin D.</t>
  </si>
  <si>
    <t>Ecosystem model of Tasmanian waters explores impacts of climate-change induced changes in primary productivity</t>
  </si>
  <si>
    <t>ECOLOGICAL MODELLING</t>
  </si>
  <si>
    <t>Climate-induced changes; Marine ecosystem model; Primary productivity</t>
  </si>
  <si>
    <t>SOUTHERN BLUEFIN TUNA; EASTERN TASMANIA; FEEDING ECOLOGY; TROPHIC RELATIONSHIPS; EXPLOITED ECOSYSTEMS; FISH ASSEMBLAGES; DIET; FISHERIES; FOOD; AUSTRALIA</t>
  </si>
  <si>
    <t>An Ecopath with Ecosim (EwE) model was developed that represents the marine shelf environment surrounding the island state of Tasmania (south of mainland Australia). Climate change scenarios representing a range of potential impacts (30% increase or decrease over a century) on marine primary productivity were investigated. Temperature changes and other impacts were not investigated. This analysis uncovered an asymmetric set of system responses. Modeled increases in primary productivity predict increases in the biomass of most groups, especially shallow filter-feeders (which includes oysters), fished macrozoobenthos which includes rock lobsters (Jesus edwardsii) and octopus. In contrast the group of unfished macrozoobenthos (sea stars, whelks) decreased their relative biomass as primary productivity increased. All modeled fisheries responded to varying primary production levels. The most responsive modeled fisheries were for flathead (Platycephalidae) and for those offshore. Of the groups of special conservation interest (marine mammals and seabirds) the most responsive was the dolphin group - though all responded. (C) 2012 Elsevier B.V. All rights reserved.</t>
  </si>
  <si>
    <t>[Watson, Reg A.; Tracey, Sean R.; Edgar, Graham J.; Barrett, Neville S.; Lyle, Jeremy M.; Frusher, Stewart D.; Buxton, Colin D.] Univ Tasmania, Inst Marine &amp; Antarctic Studies, Hobart, Tas 7001, Australia; [Watson, Reg A.] Univ British Columbia, Fisheries Ctr, Vancouver, BC V6T 1Z4, Canada; [Nowara, Gabrielle B.] Ecomarine Metares, Sandy Bay, Tas 7006, Australia; [Fulton, Elizabeth A.; Bulman, Cathy M.] Commonwealth Sci &amp; Ind Res Org CSIRO Marine &amp; Atm, Hobart, Tas 7001, Australia</t>
  </si>
  <si>
    <t>University of Tasmania; University of British Columbia; Commonwealth Scientific &amp; Industrial Research Organisation (CSIRO)</t>
  </si>
  <si>
    <t>Watson, RA (corresponding author), POB 1086, Sandy Bay, Tas 7006, Australia.</t>
  </si>
  <si>
    <t>Edgar, Graham/C-8341-2013; Fulton, Beth/AAJ-1398-2021; Fulton, Beth/A-2871-2008; Buxton, Colin/AAV-3489-2021; Edgar, Graham/AAY-3797-2020; Watson, Reg A/F-4850-2012; Tracey, Sean/J-7446-2014; Bulman, Catherine/A-9795-2012; Barrett, Neville/J-7593-2014; Frusher, Stewart/G-5117-2014; Lyle, Jeremy/J-7170-2014</t>
  </si>
  <si>
    <t>Edgar, Graham/0000-0003-0833-9001; Fulton, Beth/0000-0002-5904-7917; Edgar, Graham/0000-0003-0833-9001; Watson, Reg A/0000-0001-7201-8865; Tracey, Sean/0000-0002-6735-5899; Bulman, Catherine/0000-0002-8997-4615; Barrett, Neville/0000-0002-6167-1356; Frusher, Stewart/0000-0003-2493-3676; Buxton, Colin/0000-0002-3256-5220; Lyle, Jeremy/0000-0001-9670-5854</t>
  </si>
  <si>
    <t>Commonwealth of Australia's Commonwealth Environment Research Facilities</t>
  </si>
  <si>
    <t>The authors wish to gratefully acknowledge the assistance of scientists from: the Commonwealth Scientific and Industrial Research Organization (Malcolm Haddon, Anthony Smith, David Smith, Penny Johnson, Michael Fuller and Bec Gorton), the Institute for Marine and Antarctic Studies, University of Tasmania (Gretta Pecl, Francisco Neira, Sarah Metcalf, Craig Mundy and Caleb Gardner), and the Tasmanian Department of Primary Industries, Parks, Water and Environment (Rod Pearn, Rosemary Gales and David Pemberton). The Commonwealth of Australia's Commonwealth Environment Research Facilities funded this research through a research fellowship to R. Watson.</t>
  </si>
  <si>
    <t>0304-3800</t>
  </si>
  <si>
    <t>1872-7026</t>
  </si>
  <si>
    <t>ECOL MODEL</t>
  </si>
  <si>
    <t>Ecol. Model.</t>
  </si>
  <si>
    <t>AUG 24</t>
  </si>
  <si>
    <t>10.1016/j.ecolmodel.2012.05.008</t>
  </si>
  <si>
    <t>198QZ</t>
  </si>
  <si>
    <t>WOS:000322938700010</t>
  </si>
  <si>
    <t>Gardner, C; Mills, DJ</t>
  </si>
  <si>
    <t>Gardner, Caleb; Mills, David J.</t>
  </si>
  <si>
    <t>Determination of Moulting Events in Rock Lobsters from Pleopod Clipping</t>
  </si>
  <si>
    <t>JASUS-EDWARDSII; PSEUDOCARCINUS-GIGAS; GROWTH; LALANDII; RATES; SIZE</t>
  </si>
  <si>
    <t>Rock lobster growth is routinely measured for research to optimise management measures such as size limits and quotas. The process of estimating growth is complicated in crustaceans as growth only occurs when the animal moults. As data are typically collected by tag-recapture methods, the timing of moulting events can bias results. For example, if annual moulting events take place within a very short time-at-large after tagging, or if time-at-large is long and no moulting occurs. Classifying data into cases where moulting has / has not occurred during time-at-large can be required and can generally be determined by change in size between release and recapture. However, in old or slow growth individuals the moult increment can be too small to provide surety that moulting has occurred. A method that has been used since the 1970's to determine moulting in rock lobsters involves clipping the distal portion of a pleopod so that any regeneration observed at recapture can be used as evidence of a moult. We examined the use of this method in both tank and long-duration field trials within a marine protected area, which provided access to large animals with smaller growth increments. Our results emphasised that determination of moulting by change in size was unreliable with larger lobsters and that pleopod clipping can assist in identifying moulting events. However, regeneration was an unreliable measure of moulting if clipping occurred less than three months before the moult.</t>
  </si>
  <si>
    <t>[Gardner, Caleb] Univ Tasmania, Inst Marine &amp; Antarctic Studies, Hobart, Tas, Australia; [Mills, David J.] WorldFish, George Town, Malaysia; [Mills, David J.] James Cook Univ, Australian Res Council, Ctr Excellence Coral Reef Studies, Townsville, Qld 4811, Australia</t>
  </si>
  <si>
    <t>University of Tasmania; CGIAR; Worldfish; James Cook University</t>
  </si>
  <si>
    <t>Caleb.Gardner@utas.edu.au</t>
  </si>
  <si>
    <t>Mills, D/KFT-3273-2024; Gardner, Caleb/I-7086-2013</t>
  </si>
  <si>
    <t>Mills, David/0000-0003-0181-843X; Gardner, Caleb/0000-0003-0324-4337</t>
  </si>
  <si>
    <t>Fisheries Research and Development Corporation (FRDC) [2002/238]</t>
  </si>
  <si>
    <t>Fisheries Research and Development Corporation (FRDC)(Fisheries R&amp;D Corp)</t>
  </si>
  <si>
    <t>The research was funded by the Fisheries Research and Development Corporation (FRDC), project 2002/238 (www.frdc.com.au). The funders had no role in study design, data collection and analysis, decision to publish, or preparation of the manuscript.</t>
  </si>
  <si>
    <t>AUG 23</t>
  </si>
  <si>
    <t>e74146</t>
  </si>
  <si>
    <t>10.1371/journal.pone.0074146</t>
  </si>
  <si>
    <t>217ZW</t>
  </si>
  <si>
    <t>WOS:000324403200053</t>
  </si>
  <si>
    <t>Fudge, TJ; Steig, EJ; Markle, BR; Schoenemann, SW; Ding, QH; Taylor, KC; McConnell, JR; Brook, EJ; Sowers, T; White, JWC; Alley, RB; Cheng, H; Clow, GD; Cole-Dai, J; Conway, H; Cuffey, KM; Edwards, JS; Edwards, RL; Edwards, R; Fegyveresi, JM; Ferris, D; Fitzpatrick, JJ; Johnson, J; Hargreaves, G; Lee, JE; Maselli, OJ; Mason, W; McGwire, KC; Mitchell, LE; Mortensen, N; Neff, P; Orsi, AJ; Popp, TJ; Schauer, AJ; Severinghaus, JP; Sigl, M; Spencer, MK; Vaughn, BH; Voigt, DE; Waddington, ED; Wang, XF; Wong, GJ</t>
  </si>
  <si>
    <t>Fudge, T. J.; Steig, Eric J.; Markle, Bradley R.; Schoenemann, Spruce W.; Ding, Qinghua; Taylor, Kendrick C.; McConnell, Joseph R.; Brook, Edward J.; Sowers, Todd; White, James W. C.; Alley, Richard B.; Cheng, Hai; Clow, Gary D.; Cole-Dai, Jihong; Conway, Howard; Cuffey, Kurt M.; Edwards, Jon S.; Edwards, R. Lawrence; Edwards, Ross; Fegyveresi, John M.; Ferris, David; Fitzpatrick, Joan J.; Johnson, Jay; Hargreaves, Geoffrey; Lee, James E.; Maselli, Olivia J.; Mason, William; McGwire, Kenneth C.; Mitchell, Logan E.; Mortensen, Nicolai; Neff, Peter; Orsi, Anais J.; Popp, Trevor J.; Schauer, Andrew J.; Severinghaus, Jeffrey P.; Sigl, Michael; Spencer, Matthew K.; Vaughn, Bruce H.; Voigt, Donald E.; Waddington, Edwin D.; Wang, Xianfeng; Wong, Gifford J.</t>
  </si>
  <si>
    <t>WAIS Divide Project Members</t>
  </si>
  <si>
    <t>Onset of deglacial warming in West Antarctica driven by local orbital forcing</t>
  </si>
  <si>
    <t>ABRUPT CLIMATE-CHANGE; ICE-CORE; ATMOSPHERIC CO2; HIGH-RESOLUTION; CARBON-DIOXIDE; GREENLAND; SCALE; CIRCULATION; TEMPERATURE; TIMESCALES</t>
  </si>
  <si>
    <t>The cause of warming in the Southern Hemisphere during the most recent deglaciation remains a matter of debate(1,2). Hypotheses for a Northern Hemisphere trigger, through oceanic redistributions of heat, are based in part on the abrupt onset of warming seen in East Antarctic ice cores and dated to 18,000 years ago, which is several thousand years after high-latitude Northern Hemisphere summer insolation intensity began increasing from its minimum, approximately 24,000 years ago(3,4). An alternative explanation is that local solar insolation changes cause the Southern Hemisphere to warm independently(2,5). Here we present results from a new, annually resolved ice-core record from West Antarctica that reconciles these two views. The records show that 18,000 years ago snow accumulation in West Antarctica began increasing, coincident with increasing carbon dioxide concentrations, warming in East Antarctica and cooling in the Northern Hemisphere(6) associated with an abrupt decrease in Atlantic meridional overturning circulation(7). However, significant warming in West Antarctica began at least 2,000 years earlier. Circum-Antarctic sea-ice decline, driven by increasing local insolation, is the likely cause of this warming. The marine-influenced West Antarctic records suggest a more active role for the Southern Ocean in the onset of deglaciation than is inferred from ice cores in the East Antarctic interior, which are largely isolated from sea-ice changes.</t>
  </si>
  <si>
    <t>[Fudge, T. J.; Steig, Eric J.; Markle, Bradley R.; Schoenemann, Spruce W.; Ding, Qinghua; Conway, Howard; Neff, Peter; Schauer, Andrew J.; Waddington, Edwin D.] Univ Washington, Dept Earth &amp; Space Sci, Seattle, WA 98195 USA; [Steig, Eric J.; Ding, Qinghua] Univ Washington, Quaternary Res Ctr, Seattle, WA 98195 USA; [Taylor, Kendrick C.; McConnell, Joseph R.; Maselli, Olivia J.; McGwire, Kenneth C.; Sigl, Michael] Nevada Syst Higher Educ, Desert Res Inst, Reno, NV 89512 USA; [Brook, Edward J.; Edwards, Jon S.; Lee, James E.; Mitchell, Logan E.] Oregon State Univ, Coll Earth Ocean &amp; Atmospher Sci, Corvallis, OR 97331 USA; [Sowers, Todd; Alley, Richard B.; Fegyveresi, John M.; Voigt, Donald E.] Penn State Univ, Earth &amp; Environm Syst Inst, University Pk, PA 16802 USA; [White, James W. C.] Univ Colorado, Dept Geol Sci, Boulder, CO 80309 USA; [White, James W. C.] Dept Environm Studies, Boulder, CO 80309 USA; [White, James W. C.; Vaughn, Bruce H.] Univ Colorado, INSTAAR, Boulder, CO 80309 USA; [Alley, Richard B.; Fegyveresi, John M.; Voigt, Donald E.] Penn State Univ, Dept Geosci, University Pk, PA 16802 USA; [Cheng, Hai] Xi An Jiao Tong Univ, Inst Global Environm Change, Xian 710049, Peoples R China; [Cheng, Hai; Edwards, R. Lawrence] Univ Minnesota, Dept Earth Sci, Minneapolis, MN 55455 USA; [Clow, Gary D.] US Geol Survey, Geosci &amp; Environm Change Sci Ctr, Lakewood, CO 80225 USA; [Cole-Dai, Jihong; Ferris, David] S Dakota State Univ, Dept Chem &amp; Biochem, Brookings, SD 57007 USA; [Cuffey, Kurt M.] Univ Calif Berkeley, Dept Geog, Berkeley, CA 94720 USA; [Edwards, Ross] Curtin Univ Technol, Dept Imaging &amp; Appl Phys, Perth, WA 6102, Australia; [Fitzpatrick, Joan J.] US Geol Survey, Denver, CO 80225 USA; [Johnson, Jay; Mortensen, Nicolai] Univ Wisconsin, Space Sci Engn Ctr, Madison, WI 53706 USA; [Hargreaves, Geoffrey] US Geol Survey, Natl Ice Core Lab, Denver, CO 80225 USA; [Mason, William] EMECH Designs, Brooklyn, WI 53521 USA; [Neff, Peter] Victoria Univ Wellington, Antarctic Res Ctr, Wellington 6012, New Zealand; [Orsi, Anais J.; Severinghaus, Jeffrey P.] Univ Calif San Diego, Scripps Inst Oceanog, La Jolla, CA 92037 USA; [Popp, Trevor J.] Univ Copenhagen, Niels Bohr Inst, Ctr Ice &amp; Climate, DK-2100 Copenhagen, Denmark; [Spencer, Matthew K.] Lake Super State Univ, Dept Geol &amp; Phys, Sault Ste Marie, MI 49783 USA; [Wang, Xianfeng] Nanyang Technol Univ, Earth Observ Singapore, Singapore 639798, Singapore; [Wong, Gifford J.] Dartmouth Coll, Dept Earth Sci, Hanover, NH 03755 USA</t>
  </si>
  <si>
    <t>University of Washington; University of Washington Seattle; University of Washington; University of Washington Seattle; Nevada System of Higher Education (NSHE); Desert Research Institute NSHE; Oregon State University; Pennsylvania Commonwealth System of Higher Education (PCSHE); Pennsylvania State University; Pennsylvania State University - University Park; University of Colorado System; University of Colorado Boulder; University of Colorado System; University of Colorado Boulder; Pennsylvania Commonwealth System of Higher Education (PCSHE); Pennsylvania State University; Pennsylvania State University - University Park; Xi'an Jiaotong University; University of Minnesota System; University of Minnesota Twin Cities; United States Department of the Interior; United States Geological Survey; South Dakota State University; University of California System; University of California Berkeley; Curtin University; United States Department of the Interior; United States Geological Survey; University of Wisconsin System; University of Wisconsin Madison; United States Department of the Interior; United States Geological Survey; Victoria University Wellington; University of California System; University of California San Diego; Scripps Institution of Oceanography; University of Copenhagen; Niels Bohr Institute; Nanyang Technological University; Dartmouth College</t>
  </si>
  <si>
    <t>Fudge, TJ (corresponding author), Univ Washington, Dept Earth &amp; Space Sci, Seattle, WA 98195 USA.</t>
  </si>
  <si>
    <t>tjfudge@uw.edu</t>
  </si>
  <si>
    <t>Markle, Bradley R/I-6132-2019; Edwards, R. Lawrence/I-3124-2014; Cole-Dai, Jihong/B-2510-2009; Vaughn, Bruce/AAO-8867-2020; Brook, Edward/AAB-7807-2021; Edwards, Richard/JAX-3732-2023; ding, qinghua/G-1186-2011; White, James W.C./A-7845-2009; Neff, Peter David/ABB-7688-2021; Neff, Peter/B-3542-2014; Maselli, Olivia/A-6687-2013; CHENG, HAI/H-3413-2017; Mitchell, Logan E/A-5481-2011; Wang, Xianfeng/F-1233-2014; Edwards, Ross/B-1433-2013; /G-9088-2015; Taylor, Kendrick/A-3469-2016</t>
  </si>
  <si>
    <t>Cole-Dai, Jihong/0000-0003-0921-5916; CHENG, HAI/0000-0002-5305-9458; Mitchell, Logan E/0000-0002-8749-954X; Wang, Xianfeng/0000-0002-8614-5627; Lee, James/0000-0002-9137-1530; Edwards, Ross/0000-0002-9233-8775; VAUGHN, BRUCE/0000-0001-6503-957X; Neff, Peter/0000-0003-1697-0936; Fegyveresi, John/0000-0002-1029-6277; Markle, Bradley/0000-0002-2282-6546; Conway, Howard/0000-0003-4634-3474; /0000-0002-8191-5549; Schauer, Andrew/0000-0002-5941-5396; Ferris, David/0000-0003-2336-6163; Taylor, Kendrick/0000-0001-8535-1261; Fudge, Tyler/0000-0002-6818-7479</t>
  </si>
  <si>
    <t>US National Science Foundation (NSF); NSF [0944197, 1043092, 0537930, 0944348, 0944191, 0440817, 0440819, 0230396, 0538427, 0839093, 1043518, 1043500, 05379853, 1043167, 1043528, 0539578, 0539232, 1103403, 0739780, 0637211, 0538553, 0839066, 0538657, 1043421, 1043313, 0801490]; NASA NESSF; USGS Climate and Land Use Change Program; National Natural Science Foundation of China [41230524]; Singapore National Research Foundation [NRFF2011-08]; Directorate For Geosciences; Div Atmospheric &amp; Geospace Sciences [1103403] Funding Source: National Science Foundation; Division Of Polar Programs; Directorate For Geosciences [0440819, 0739780, 0944191] Funding Source: National Science Foundation; Office of Polar Programs (OPP); Directorate For Geosciences [0539232, 0839093, 1043092, 0538553, 0944348, 0944197] Funding Source: National Science Foundation; Office of Polar Programs (OPP); Directorate For Geosciences [1043500, 0839066, 1043528, 0637211, 0537930, 0538427, 1043167, 0539578, 1043421, 1043313, 0538657, 1043518] Funding Source: National Science Foundation; Office Of The Director; Office Of Internatl Science &amp;Engineering [0968391] Funding Source: National Science Foundation</t>
  </si>
  <si>
    <t>US National Science Foundation (NSF)(National Science Foundation (NSF)); NSF(National Science Foundation (NSF)); NASA NESSF(National Aeronautics &amp; Space Administration (NASA)); USGS Climate and Land Use Change Program(United States Geological Survey); National Natural Science Foundation of China(National Natural Science Foundation of China (NSFC)); Singapore National Research Foundation(National Research Foundation, Singapore); Directorate For Geosciences; Div Atmospheric &amp; Geospace Sciences(National Science Foundation (NSF)NSF - Directorate for Geosciences (GEO)); Division Of Polar Programs; Directorate For Geosciences(National Science Foundation (NSF)NSF - Directorate for Geosciences (GEO)); Office of Polar Programs (OPP); Directorate For Geosciences(National Science Foundation (NSF)NSF - Directorate for Geosciences (GEO)); Office of Polar Programs (OPP); Directorate For Geosciences(National Science Foundation (NSF)NSF - Directorate for Geosciences (GEO)); Office Of The Director; Office Of Internatl Science &amp;Engineering(National Science Foundation (NSF)NSF - Office of the Director (OD))</t>
  </si>
  <si>
    <t>This work was supported by US National Science Foundation (NSF). The authors appreciate the support of the WAIS Divide Science Coordination Office (M. Twickler and J. Souney) for the collection and distribution of the WAIS Divide ice core; Ice Drilling and Design and Operations (K. Dahnert) for drilling; the National Ice Core Laboratory (B. Bencivengo) for curating the core; Raytheon Polar Services (M. Kippenhan) for logistics support in Antarctica; and the 109th New York Air National Guard for airlift in Antarctica. We also thank C. Buizert and S. Marcott for discussions. The following individual NSF grants supported this work: 0944197 (E.D.W., H. Conway); 1043092, 0537930 (E.J.S.); 0944348, 0944191, 0440817, 0440819, 0230396 (K.C.T.); 0538427, 0839093 (J.R.M.); 1043518 (E.J.B.); 1043500 (T.S.); 05379853, 1043167 (J.W.C.W.); 1043528, 0539578 (R.B.A.); 0539232 (K.M.C., G.D.C.); 1103403 (R.L.E., H. Conway); 0739780 (R.E.); 0637211 (G.H.); 0538553, 0839066 (J.C.-D.), 0538657, 1043421 (J.P.S.); 1043313 (M.K.S.); 0801490 (G.J.W). Other support came from a NASA NESSF award (T.J.F.), the USGS Climate and Land Use Change Program (G.D.C., J.J.F.), the National Natural Science Foundation of China (41230524 to H. Cheng) and the Singapore National Research Foundation (NRFF2011-08 to X.W.).</t>
  </si>
  <si>
    <t>AUG 22</t>
  </si>
  <si>
    <t>10.1038/nature12376</t>
  </si>
  <si>
    <t>203TJ</t>
  </si>
  <si>
    <t>WOS:000323316100031</t>
  </si>
  <si>
    <t>Holzinger, A; Karsten, U</t>
  </si>
  <si>
    <t>Holzinger, Andreas; Karsten, Ulf</t>
  </si>
  <si>
    <t>Desiccation stress and tolerance in green algae: consequences for ultrastructure, physiological, and molecular mechanisms</t>
  </si>
  <si>
    <t>FRONTIERS IN PLANT SCIENCE</t>
  </si>
  <si>
    <t>aeroterrestrial algae; cell wall; dehydration; desiccation tolerance; phylogeny of green algae; osmolyte; soluble carbohydrates; turgor pressure</t>
  </si>
  <si>
    <t>WATER RELATIONS; ECOPHYSIOLOGICAL PERFORMANCE; ZYGNEMA ZYGNEMATOPHYCEAE; CHLOROPHYLL FLUORESCENCE; PHENOLIC-COMPOUNDS; ANTARCTIC STRAINS; XANTHOPHYLL CYCLE; ORGANIC OSMOLYTES; PRASIOLA-CRISPA; SOIL CRUST</t>
  </si>
  <si>
    <t>Although most green algae typically occur in aquatic ecosystems, many species also live partly or permanently under aeroterrestrial conditions, where the cells are exposed to the atmosphere and hence regularly experience dehydration. The ability of algal cells to survive in an air-dried state is termed desiccation tolerance. The mechanisms involved in desiccation tolerance of green algae are still poorly understood, and hence the aim of this review is to summarize recent findings on the effects of desiccation and osmotic water loss. Starting from structural changes, physiological, and biochemical consequences of desiccation will be addressed in different green-algal lineages. The available data clearly indicate a range of strategies, which are rather different in streptophycean and non-streptophycean green algae. While members of the Trebouxiophyceae exhibit effective water loss-prevention mechanisms based on the biosynthesis and accumulation of particular organic osmolytes such as polyols, these compounds are so far not reported in representatives of the Streptophyta. In members of the Streptophyta such as Klebsormichum, the most striking observation is the appearance of cross-walls in desiccated samples, which are strongly undulating, suggesting a high degree of mechanical flexibility. This aids in maintaining structural integrity in the dried state and allows the cell to maintain turgor pressure for a prolonged period of time during the dehydration process. Physiological strategies in aeroterrestrial green algae generally include a rapid reduction of photosynthesis during desiccation, but also a rather quick recovery after rewetting, whereas aquatic species are sensitive to drying. The underlying mechanisms such as the affected molecular components of the photosynthetic machinery are poorly understood in green algae. Therefore, modern approaches based on transcriptomics, proteomics, and/or metabolomics are urgently needed to better understand the molecular mechanisms involved in desiccation-stress physiology of these organisms. The very limited existing information is described in the present review.</t>
  </si>
  <si>
    <t>[Holzinger, Andreas] Univ Innsbruck, Inst Bot, A-6020 Innsbruck, Austria; [Karsten, Ulf] Univ Rostock, Inst Biol Sci, D-18055 Rostock, Germany</t>
  </si>
  <si>
    <t>University of Innsbruck; University of Rostock</t>
  </si>
  <si>
    <t>Holzinger, A (corresponding author), Univ Innsbruck, Inst Bot, Sternwartestr 15, A-6020 Innsbruck, Austria.</t>
  </si>
  <si>
    <t>andreas.holzinger@uibk.ac.at</t>
  </si>
  <si>
    <t>Holzinger, Andreas/Z-2659-2019</t>
  </si>
  <si>
    <t>Holzinger, Andreas/0000-0002-7745-3978</t>
  </si>
  <si>
    <t>Austrian Science Fund (FWF) [P 24242-B16]; Deutsche Forschungsgemeinschaft (DFG) [KA899/16-1/2/3/4]; Austrian Science Fund (FWF) [P 24242] Funding Source: researchfish</t>
  </si>
  <si>
    <t>Austrian Science Fund (FWF)(Austrian Science Fund (FWF)); Deutsche Forschungsgemeinschaft (DFG)(German Research Foundation (DFG)); Austrian Science Fund (FWF)(Austrian Science Fund (FWF))</t>
  </si>
  <si>
    <t>This work was supported by the Austrian Science Fund (FWF) grant P 24242-B16 to Andreas Holzinger, as well as by the Deutsche Forschungsgemeinschaft (DFG; KA899/16-1/2/3/4) to U.K. The present review was prepared during the second author's sabbatical at the University of Innsbruck,</t>
  </si>
  <si>
    <t>1664-462X</t>
  </si>
  <si>
    <t>FRONT PLANT SCI</t>
  </si>
  <si>
    <t>Front. Plant Sci.</t>
  </si>
  <si>
    <t>10.3389/fpls.2013.00327</t>
  </si>
  <si>
    <t>AA4HR</t>
  </si>
  <si>
    <t>WOS:000331057200001</t>
  </si>
  <si>
    <t>Hu, QH; Sun, LG; Xie, ZQ; Emslie, SD; Liu, XD</t>
  </si>
  <si>
    <t>Hu, Qi-Hou; Sun, Li-Guang; Xie, Zhou-Qing; Emslie, Steven D.; Liu, Xiao-Dong</t>
  </si>
  <si>
    <t>Increase in penguin populations during the Little Ice Age in the Ross Sea, Antarctica</t>
  </si>
  <si>
    <t>UNSATURATED FATTY-ACIDS; PACIFIC SECTOR; CLIMATE-CHANGE; ARDLEY ISLAND; ADELIE; RECORD; OCCUPATION; SEDIMENTS; DYNAMICS; SOUTH</t>
  </si>
  <si>
    <t>Penguins are an important seabird species in Antarctica and are sensitive to climate and environmental changes. Previous studies indicated that penguin populations increased when the climate became warmer and decreased when it became colder in the maritime Antarctic. Here we determined organic markers in a sediment profile collected at Cape Bird, Ross Island, high Antarctic, and reconstructed the history of Adelie penguin colonies at this location over the past 700 years. The region transformed from a seal to a penguin habitat when the Little Ice Age (LIA; 1500-1800 AD) began. Penguins then became the dominant species. Penguin populations were the highest during ca. 1490 to 1670 AD, a cold period, which is contrary to previous results in other regions much farther north. Different responses to climate change may occur at low latitudes and high latitudes in the Antarctic, even if for same species.</t>
  </si>
  <si>
    <t>[Hu, Qi-Hou; Sun, Li-Guang; Xie, Zhou-Qing; Liu, Xiao-Dong] Univ Sci &amp; Technol China, Inst Polar Environm, Sch Earth &amp; Space Sci, Hefei 230026, Peoples R China; [Emslie, Steven D.] Univ N Carolina, Dept Biol &amp; Marine Biol, Wilmington, NC 28403 USA</t>
  </si>
  <si>
    <t>Sun, LG (corresponding author), Univ Sci &amp; Technol China, Inst Polar Environm, Sch Earth &amp; Space Sci, Hefei 230026, Peoples R China.</t>
  </si>
  <si>
    <t>slg@ustc.edu.cn; zqxie@ustc.edu.cn</t>
  </si>
  <si>
    <t>National Natural Science Foundation of China [40231002, 41025020]; Chinese Arctic and Antarctic Administration [CHINARE2013-04-01, CHINARE2013-04-04]; Fundamental Research Funds for the Central Universities; National Science Foundation [ANT 0739575]; Directorate For Geosciences; Office of Polar Programs (OPP) [0739575] Funding Source: National Science Foundation</t>
  </si>
  <si>
    <t>National Natural Science Foundation of China(National Natural Science Foundation of China (NSFC)); Chinese Arctic and Antarctic Administration; Fundamental Research Funds for the Central Universities(Fundamental Research Funds for the Central Universities); National Science Foundation(National Science Foundation (NSF)); Directorate For Geosciences; Office of Polar Programs (OPP)(National Science Foundation (NSF)NSF - Directorate for Geosciences (GEO))</t>
  </si>
  <si>
    <t>This research was supported by grants from the National Natural Science Foundation of China (Project Nos. 40231002, 41025020), the Chinese Arctic and Antarctic Administration (Projects Nos. CHINARE2013-04-01, CHINARE2013-04-04), the Fundamental Research Funds for the Central Universities. Field work at Cape Bird was supported by a National Science Foundation grant (ANT 0739575) to S. Emslie with logistical support from Raytheon Polar Services. We thank David G. Ainley for his helpful comments on this manuscript. The authors acknowledge the State Key Laboratory of Organic Geochemistry, Guangzhou Institute of Geochemistry, Chinese Academy of Science (CAS) for all analysis performed there.</t>
  </si>
  <si>
    <t>10.1038/srep02472</t>
  </si>
  <si>
    <t>204LL</t>
  </si>
  <si>
    <t>WOS:000323366700001</t>
  </si>
  <si>
    <t>Iida, T; Odate, T; Fukuchi, M</t>
  </si>
  <si>
    <t>Iida, Takahiro; Odate, Tsuneo; Fukuchi, Mitsuo</t>
  </si>
  <si>
    <t>Long-Term Trends of Nutrients and Apparent Oxygen Utilization South of the Polar Front in Southern Ocean Intermediate Water from 1965 to 2008</t>
  </si>
  <si>
    <t>ANTARCTIC CIRCUMPOLAR WAVE; SEA-ICE; ANNULAR MODE; TEMPERATURE; CIRCULATION; VARIABILITY; HEMISPHERE; BIOLOGY; SECTOR; IMPACT</t>
  </si>
  <si>
    <t>The variation of nutrients over decadal timescales south of the polar front in the Southern Ocean is poorly known because of a lack of continuous observational data in this area. We examined data from long-term continuous hydrographic monitoring of 43 years (1965-2008) in the Indian sector of the Southern Ocean, via the resupply of Antarctic stations under the Japanese Antarctic Research Expedition and Australian Antarctic Research Expedition. We found significant increasing trends in phosphate and nitrate, and a decreasing trend in apparent oxygen utilization (AOU) in intermediate water (neutral density = 27.8-28.1 kgm(-3)) south of the polar front. The rates of phosphate and nitrate increase are 0.004 mu mol yr(-1) and 0.02 mu mol yr(-1), respectively. The rate of decline of AOU was 0.32 mu mol yr(-1). One reason for this phosphate and nitrate increase and AOU decline is reduced horizontal advection of North Atlantic Deep Water, which is characterized by low nutrients and high AOU. The relationship between climate change and nutrient variability remains obscure, emphasizing the importance of long-term monitoring.</t>
  </si>
  <si>
    <t>[Iida, Takahiro; Odate, Tsuneo; Fukuchi, Mitsuo] Natl Inst Polar Res, Midori Cho, Tachikawa, Tokyo, Japan; [Iida, Takahiro; Odate, Tsuneo; Fukuchi, Mitsuo] Grad Univ Adv Studies, Sch Multidisciplinary Sci, Dept Polar Sci, Hayama, Kanagawa, Japan</t>
  </si>
  <si>
    <t>Iida, T (corresponding author), Natl Inst Polar Res, Midori Cho, Tachikawa, Tokyo, Japan.</t>
  </si>
  <si>
    <t>iida@nipr.ac.jp</t>
  </si>
  <si>
    <t>Japan Science and Technology Agency (JST); SOUKENDAI (The Graduate University for Advanced Studies); NIPR [KP-4]</t>
  </si>
  <si>
    <t>Japan Science and Technology Agency (JST)(Japan Science &amp; Technology Agency (JST)); SOUKENDAI (The Graduate University for Advanced Studies); NIPR(National Institute of Polar Research (NIPR) - Japan)</t>
  </si>
  <si>
    <t>This work was supported in part by Japan Science and Technology Agency (JST) strategic international research cooperative program Establishing a benchmark to assess climate change impact in the eastern Antarctic Marine System (http://www.jst.go.jp/inter/english/project/country/australia.html). The additional part was supported by SOUKENDAI (The Graduate University for Advanced Studies) grant for young scientists studying overseas (http://www.soken.ac.jp/staff/overseasDeploy.html; Japanese only). This research was also supported by the project fund NIPR KP-4. However, the funders had no role in study design, data collection and analysis, decision to publish, or preparation of the manuscript.</t>
  </si>
  <si>
    <t>AUG 21</t>
  </si>
  <si>
    <t>e71766</t>
  </si>
  <si>
    <t>10.1371/journal.pone.0071766</t>
  </si>
  <si>
    <t>218YW</t>
  </si>
  <si>
    <t>WOS:000324470100053</t>
  </si>
  <si>
    <t>Hill, SL; Phillips, T; Atkinson, A</t>
  </si>
  <si>
    <t>Hill, Simeon L.; Phillips, Tony; Atkinson, Angus</t>
  </si>
  <si>
    <t>Potential Climate Change Effects on the Habitat of Antarctic Krill in the Weddell Quadrant of the Southern Ocean</t>
  </si>
  <si>
    <t>EUPHAUSIA-SUPERBA; SEA-ICE; PHYTOPLANKTON COMMUNITIES; SCOTIA SEA; TEMPERATURE; GROWTH; GEORGIA; MODELS; FOOD; MARINE</t>
  </si>
  <si>
    <t>Antarctic krill is a cold water species, an increasingly important fishery resource and a major prey item for many fish, birds and mammals in the Southern Ocean. The fishery and the summer foraging sites of many of these predators are concentrated between 0 degrees and 90 degrees W. Parts of this quadrant have experienced recent localised sea surface warming of up to 0.2 degrees C per decade, and projections suggest that further widespread warming of 0.27 degrees to 1.08 degrees C will occur by the late 21st century. We assessed the potential influence of this projected warming on Antarctic krill habitat with a statistical model that links growth to temperature and chlorophyll concentration. The results divide the quadrant into two zones: a band around the Antarctic Circumpolar Current in which habitat quality is particularly vulnerable to warming, and a southern area which is relatively insensitive. Our analysis suggests that the direct effects of warming could reduce the area of growth habitat by up to 20%. The reduction in growth habitat within the range of predators, such as Antarctic fur seals, that forage from breeding sites on South Georgia could be up to 55%, and the habitat's ability to support Antarctic krill biomass production within this range could be reduced by up to 68%. Sensitivity analysis suggests that the effects of a 50% change in summer chlorophyll concentration could be more significant than the direct effects of warming. A reduction in primary production could lead to further habitat degradation but, even if chlorophyll increased by 50%, projected warming would still cause some degradation of the habitat accessible to predators. While there is considerable uncertainty in these projections, they suggest that future climate change could have a significant negative effect on Antarctic krill growth habitat and, consequently, on Southern Ocean biodiversity and ecosystem services.</t>
  </si>
  <si>
    <t>[Hill, Simeon L.; Phillips, Tony] British Antarctic Survey, Nat Environm Res Council, Cambridge CB3 0ET, England; [Atkinson, Angus] Plymouth Marine Lab, Plymouth, Devon, England</t>
  </si>
  <si>
    <t>UK Research &amp; Innovation (UKRI); Natural Environment Research Council (NERC); NERC British Antarctic Survey; Plymouth Marine Laboratory</t>
  </si>
  <si>
    <t>Hill, SL (corresponding author), British Antarctic Survey, Nat Environm Res Council, Cambridge CB3 0ET, England.</t>
  </si>
  <si>
    <t>Simeon, Hill L/B-2307-2008; Atkinson, Angus/HOH-3417-2023</t>
  </si>
  <si>
    <t>Natural Environment Research Council [NE/I029943/1]; NERC [bas0100025, pml010009, NE/I029943/1, bas0100023] Funding Source: UKRI; Natural Environment Research Council [pml010009, NE/I029943/1, bas0100025, bas0100023] Funding Source: researchfish</t>
  </si>
  <si>
    <t>SH was funded through the Natural Environment Research Council International Opportunities Fund grant NE/I029943/1. Coordinating International Research on Southern Ocean Ecosystems: Implementation of the ICED Programme. The funders had no role in study design, data collection and analysis, decision to publish, or preparation of the manuscript.</t>
  </si>
  <si>
    <t>e72246</t>
  </si>
  <si>
    <t>10.1371/journal.pone.0072246</t>
  </si>
  <si>
    <t>WOS:000324470100091</t>
  </si>
  <si>
    <t>Labonne, J; Vignon, M; Prévost, E; Lecomte, F; Dodson, JJ; Kaeuffer, R; Aymes, JC; Jarry, M; Gaudin, P; Davaine, P; Beall, E</t>
  </si>
  <si>
    <t>Labonne, Jacques; Vignon, Matthias; Prevost, Etienne; Lecomte, Frederic; Dodson, Julian J.; Kaeuffer, Renaud; Aymes, Jean-Christophe; Jarry, Marc; Gaudin, Philippe; Davaine, Patrick; Beall, Edward</t>
  </si>
  <si>
    <t>Invasion Dynamics of a Fish-Free Landscape by Brown Trout (Salmo trutta)</t>
  </si>
  <si>
    <t>CLIMATE-CHANGE; METAPOPULATION DYNAMICS; ATLANTIC SALMON; BIOLOGICAL INVASIONS; KERGUELEN ISLANDS; DISPERSAL; IMPACTS; EVOLUTION; MODEL; RATES</t>
  </si>
  <si>
    <t>Metapopulation dynamics over the course of an invasion are usually difficult to grasp because they require large and reliable data collection, often unavailable. The invasion of the fish-free freshwater ecosystems of the remote sub-Antarctic Kerguelen Islands following man-made introductions of brown trout (Salmo trutta) in the 1950's is an exception to this rule. Benefiting from a full long term environmental research monitoring of the invasion, we built a Bayesian dynamic metapopulation model to analyze the invasion dynamics of 85 river systems over 51 years. The model accounted for patch size (river length and connections to lakes), alternative dispersal pathways between rivers, temporal trends in dynamics, and uncertainty in colonization date. The results show that the model correctly represents the observed pattern of invasion, especially if we assume a coastal dispersal pathway between patches. Landscape attributes such as patch size influenced the colonization function, but had no effect on propagule pressure. Independently from patch size and distance between patches, propagule pressure and colonization function were not constant through time. Propagule pressure increased over the course of colonization, whereas the colonization function decreased, conditional on propagule pressure. The resulting pattern of this antagonistic interplay is an initial rapid invasion phase followed by a strong decrease in the invasion rate. These temporal trends may be due to either adaptive processes or environmental gradients encountered along the colonization front. It was not possible to distinguish these two hypotheses. Because invasibility of Kerguelen Is. freshwater ecosystems is very high due to the lack of a pre-existing fish fauna and minimal human interference, our estimates of invasion dynamics represent a blueprint for the potential of brown trout invasiveness in pristine environments. Our conclusions shed light on the future of polar regions where, because of climate change, fish-free ecosystems become increasingly accessible to invasion by fish species.</t>
  </si>
  <si>
    <t>[Labonne, Jacques; Prevost, Etienne; Aymes, Jean-Christophe; Gaudin, Philippe; Davaine, Patrick; Beall, Edward] INRA, UMR 1224, ECOBIOP, St Pee Sur Nivelle, France; [Vignon, Matthias; Jarry, Marc] UPPA, UMR 1224, ECOBIOP, St Pee Sur Nivelle, France; [Lecomte, Frederic] Minist Ressources Nat &amp; Faune Quebec, Quebec City, PQ, Canada; [Dodson, Julian J.] Univ Laval, Dept Biol, Quebec City, PQ G1K 7P4, Canada; [Kaeuffer, Renaud] McGill Univ, Redpath Museum, Montreal, PQ H3A 2K6, Canada; [Kaeuffer, Renaud] McGill Univ, Dept Biol, Montreal, PQ H3A 1B1, Canada</t>
  </si>
  <si>
    <t>Universite de Pau et des Pays de l'Adour; INRAE; Universite de Pau et des Pays de l'Adour; Laval University; McGill University; McGill University</t>
  </si>
  <si>
    <t>Labonne, J (corresponding author), INRA, UMR 1224, ECOBIOP, St Pee Sur Nivelle, France.</t>
  </si>
  <si>
    <t>labonne@st-pee.inra.fr</t>
  </si>
  <si>
    <t>Vignon, Matthias/N-1122-2019; Lecomte, Frederic/AAN-7766-2021; Vignon, Matthias/A-8520-2010</t>
  </si>
  <si>
    <t>Aymes, Jean-Christophe/0000-0002-1181-3010; Vignon, Matthias/0000-0001-9222-8966; Lecomte, Frederic/0000-0002-8845-1249; Labonne, Jacques/0000-0001-5953-3029</t>
  </si>
  <si>
    <t>French Polar Institute (IPEV)</t>
  </si>
  <si>
    <t>This study is a part of the SALMEVOL-1041 research program supported by the French Polar Institute (IPEV http://http://www.institut-polaire.fr/) for data collection and logistic support. The funders had no role in study design, data collection and analysis, decision to publish, or preparation of the manuscript.</t>
  </si>
  <si>
    <t>e71052</t>
  </si>
  <si>
    <t>10.1371/journal.pone.0071052</t>
  </si>
  <si>
    <t>WOS:000324470100037</t>
  </si>
  <si>
    <t>Toullec, JY; Corre, E; Bernay, B; Thorne, MAS; Cascella, K; Ollivaux, C; Henry, J; Clark, MS</t>
  </si>
  <si>
    <t>Toullec, Jean-Yves; Corre, Erwan; Bernay, Benoit; Thorne, Michael A. S.; Cascella, Kevin; Ollivaux, Celine; Henry, Joel; Clark, Melody S.</t>
  </si>
  <si>
    <t>Transcriptome and Peptidome Characterisation of the Main Neuropeptides and Peptidic Hormones of a Euphausiid: The Ice Krill, Euphausia crystallorophias</t>
  </si>
  <si>
    <t>PIGMENT-DISPERSING HORMONE; CRUSTACEAN HYPERGLYCEMIC HORMONE; TACHYKININ-RELATED PEPTIDES; CENTRAL-NERVOUS-SYSTEM; CUTICLE-HARDENING HORMONE; ALLATOSTATIN-LIKE PEPTIDE; IN-SILICO ANALYSES; RED FLOUR BEETLE; AMERICAN LOBSTER; SHORE CRAB</t>
  </si>
  <si>
    <t>Background: The Ice krill, Euphausia crystallorophias is one of the species at the base of the Southern Ocean food chain. Given their significant contribution to the biomass of the Southern Ocean, it is vitally important to gain a better understanding of their physiology and, in particular, anticipate their responses to climate change effects in the warming seas around Antarctica. Methodology/Principal Findings: Illumina sequencing was used to produce a transcriptome of the ice krill. Analysis of the assembled contigs via two different methods, produced 36 new pre-pro-peptides, coding for 61 neuropeptides or peptide hormones belonging to the following families: Allatostatins (A, B et C), Bursicon (alpha and beta), Crustacean Hyperglycemic Hormones (CHH and MIH/VIHs), Crustacean Cardioactive Peptide (CCAP), Corazonin, Diuretic Hormones (DH), the Eclosion Hormone (EH), Neuroparsin, Neuropeptide F (NPF), small Neuropeptide F (sNPF), Pigment Dispersing Hormone (PDH), Red Pigment Concentrating Hormone (RPCH) and finally Tachykinin. LC/MS/MS proteomics was also carried out on eyestalk extracts, which are the major site of neuropeptide synthesis in decapod crustaceans. Results confirmed the presence of six neuropeptides and six precursor-related peptides previously identified in the transcriptome analyses. Conclusions: This study represents the first comprehensive analysis of neuropeptide hormones in a Eucarida non-decapod Malacostraca, several of which are described for the first time in a non-decapod crustacean. Additionally, there is a potential expansion of PDH and Neuropeptide F family members, which may reflect certain life history traits such as circadian rhythms associated with diurnal migrations and also the confirmation via mass spectrometry of several novel pre-propeptides, of unknown function. Knowledge of these essential hormones provides a vital framework for understanding the physiological response of this key Southern Ocean species to climate change and provides a valuable resource for studies into the molecular phylogeny of these organisms and the evolution of neuropeptide hormones.</t>
  </si>
  <si>
    <t>[Toullec, Jean-Yves; Cascella, Kevin] Univ Paris 06, UMR CNRS 7144, Stn Biol Roscoff, Roscoff, France; [Corre, Erwan] Univ Paris 06, FR CNRS 2424, ABiMS, Stn Biol Roscoff, Roscoff, France; [Ollivaux, Celine] Univ Paris 06, UMR CNRS 7150, Stn Biol Roscoff, Roscoff, France; [Toullec, Jean-Yves; Cascella, Kevin] CNRS, UMR 7144, Stn Biol Roscoff, Roscoff, France; [Ollivaux, Celine] CNRS, UMR 7150, Stn Biol Roscoff, Roscoff, France; [Bernay, Benoit; Henry, Joel] Univ Caen Basse Normandie, FRE CNRS 3484, Caen, France; [Bernay, Benoit; Henry, Joel] Univ Caen Basse Normandie, Plateforme PROTEOGEN, Caen, France; [Clark, Melody S.] British Antarctic Survey, Nat Environm Res Council, Cambridge CB3 0ET, England</t>
  </si>
  <si>
    <t>Centre National de la Recherche Scientifique (CNRS); CNRS - Institute of Ecology &amp; Environment (INEE); Sorbonne Universite; Sorbonne Universite; Sorbonne Universite; Sorbonne Universite; Centre National de la Recherche Scientifique (CNRS); CNRS - Institute of Ecology &amp; Environment (INEE); Centre National de la Recherche Scientifique (CNRS); Sorbonne Universite; Universite de Caen Normandie; Universite de Caen Normandie; UK Research &amp; Innovation (UKRI); Natural Environment Research Council (NERC); NERC British Antarctic Survey</t>
  </si>
  <si>
    <t>Toullec, JY (corresponding author), Univ Paris 06, UMR CNRS 7144, Stn Biol Roscoff, Roscoff, France.</t>
  </si>
  <si>
    <t>jean-yves.toullec@sb-roscoff.fr</t>
  </si>
  <si>
    <t>corre, erwan/O-4669-2019; Clark, Melody/D-7371-2014</t>
  </si>
  <si>
    <t>corre, erwan/0000-0001-6354-2278; Thorne, Michael/0000-0001-7759-612X; Clark, Melody/0000-0002-3442-3824</t>
  </si>
  <si>
    <t>Emergence-UPMC research program; Region Bretagne; Institut Paul Emile Victor (KREVET program); la Region Bretagne (SAD-1 - DRAKAR program); Natural Environment Research Council; NERC [bas0100025] Funding Source: UKRI; Natural Environment Research Council [bas0100025] Funding Source: researchfish</t>
  </si>
  <si>
    <t>Emergence-UPMC research program; Region Bretagne(Region Bretagne); Institut Paul Emile Victor (KREVET program); la Region Bretagne (SAD-1 - DRAKAR program)(Region Bretagne);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</si>
  <si>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KC received a PhD grant by the Emergence-UPMC 2011 research program and the Region Bretagne. JYT benefits from funding provided by Institut Paul Emile Victor (KREVET program) and also by la Region Bretagne (SAD-1 - DRAKAR program). MSC and MAST were funded by Natural Environment Research Council core funding to the British Antarctic Survey. The funders had no role in study design, data collection and analysis, decision to publish, or preparation of the manuscript.</t>
  </si>
  <si>
    <t>e71609</t>
  </si>
  <si>
    <t>10.1371/journal.pone.0071609</t>
  </si>
  <si>
    <t>Green Published, gold, Green Submitted, Green Accepted</t>
  </si>
  <si>
    <t>WOS:000324470100050</t>
  </si>
  <si>
    <t>Nash, SMB; Waugh, CA; Schlabach, M</t>
  </si>
  <si>
    <t>Nash, Susan M. Bengtson; Waugh, Courtney A.; Schlabach, Martin</t>
  </si>
  <si>
    <t>Metabolic Concentration of Lipid Soluble Organochlorine Burdens in the Blubber of Southern Hemisphere Humpback Whales Through Migration and Fasting</t>
  </si>
  <si>
    <t>PERSISTENT ORGANIC POLLUTANTS; WEIGHT-LOSS; MEGAPTERA-NOVAEANGLIAE; BODY CONDITION; CONTAMINANTS; BLOOD; SEALS</t>
  </si>
  <si>
    <t>Southern hemisphere humpback whales undertake the longest migrations and associated periods of fasting of any mammal. Fluctuations in lipid energy stores are known to profoundly affect the toxicokinetics of lipophilic organochlorine compound (OC) burdens. Results from blubber biopsy sampling of adult, male humpback whales at two time points of the annual migration journey revealed dramatic concentration effects for the majority of OC compounds. The observed concentration effect was, however, not linear with measured average blubber lipid loss indicating significant redistribution of OCs and hence the importance of alternate lipid depots for meeting the energetic demands of the migration journey. Applying lipophilic OC burdens as novel tracers of whole-body lipid dynamics, the observed average concentration index suggests an average individual weight loss of 13% over 4 months of the migration journey. This value is based upon lipid derived energy and is in good agreement with previous weight prediction formulas. Notably, however, these estimates may greatly underestimate individual weight loss if significant protein catabolism occurs. Biomagnification factors between migrating southern hemisphere humpback whales and their principal prey item, Antarctic krill, closely resembled those of baleen whales feeding on herbivorous zooplankton in the Arctic. This study emphasizes the importance of considering prolonged periods of food deprivation when assessing chemical risks posed to wildlife. This is of particular importance for Polar biota adapted to extremes in ecosystem productivity.</t>
  </si>
  <si>
    <t>[Nash, Susan M. Bengtson] Griffith Univ, Sch Environm, SOPOPP, Nathan, Qld 4111, Australia; [Waugh, Courtney A.] Univ Queensland, Natl Res Ctr Environm Toxicol, Brisbane, Qld 4108, Australia; [Schlabach, Martin] Norwegian Inst Air Res NILU, N-2007 Kjeller, Norway</t>
  </si>
  <si>
    <t>Griffith University; University of Queensland; NILU</t>
  </si>
  <si>
    <t>Nash, SMB (corresponding author), Griffith Univ, Sch Environm, SOPOPP, Nathan, Qld 4111, Australia.</t>
  </si>
  <si>
    <t>s.bengtsonnash@griffith.edu.au</t>
  </si>
  <si>
    <t>Bengtson Nash, Susan/GMX-4611-2022; Schlabach, Martin/J-3348-2013; Bengtson Nash, Susan/I-3942-2015</t>
  </si>
  <si>
    <t>Bengtson Nash, Susan/0000-0001-5928-0850; Schlabach, Martin/0000-0003-3705-7943; Bengtson Nash, Susan/0000-0001-5928-0850; Waugh, Courtney/0000-0001-5234-4137</t>
  </si>
  <si>
    <t>University of Queensland(University of Queensland)</t>
  </si>
  <si>
    <t>Station staff and volunteers at Moreton Bay Research Station are thanked for invaluable logistical support provided throughout every field season. C.A.W. acknowledges a Ph.D. scholarship from the University of Queensland.</t>
  </si>
  <si>
    <t>AUG 20</t>
  </si>
  <si>
    <t>10.1021/es401441n</t>
  </si>
  <si>
    <t>205VA</t>
  </si>
  <si>
    <t>WOS:000323471700051</t>
  </si>
  <si>
    <t>Liu, RY; Wang, XY; Wu, XF</t>
  </si>
  <si>
    <t>Liu, Ruo-Yu; Wang, Xiang-Yu; Wu, Xue-Feng</t>
  </si>
  <si>
    <t>INTERPRETATION OF THE UNPRECEDENTEDLY LONG-LIVED HIGH-ENERGY EMISSION OF GRB 130427A</t>
  </si>
  <si>
    <t>gamma-ray burst: individual (GRB 130427A); radiation mechanisms: non-thermal</t>
  </si>
  <si>
    <t>GAMMA-RAY BURSTS; AFTERGLOW EMISSION; SHOCK ORIGIN; ACCELERATION; FERMI</t>
  </si>
  <si>
    <t>High-energy photons (&gt;100 MeV) are detected by the Fermi/Large Area Telescope from GRB 130427A up to almost one day after the burst, with an extra hard spectral component discovered in the high-energy afterglow. We show that this hard spectral component arises from afterglow synchrotron self-Compton (SSC) emission. This scenario can explain the origin of &gt;10 GeV photons detected up to similar to 30,000 s after the burst, which would be difficult to explain via synchrotron radiation due to the limited maximum synchrotron photon energy. The lower energy multi-wavelength afterglow data can be fitted simultaneously by the afterglow synchrotron emission. The implication of detecting the SSC emission for the circumburst environment is discussed.</t>
  </si>
  <si>
    <t>[Liu, Ruo-Yu; Wang, Xiang-Yu] Nanjing Univ, Sch Astron &amp; Space Sci, Nanjing 210093, Jiangsu, Peoples R China; [Liu, Ruo-Yu] Max Planck Inst Kernphys, D-69117 Heidelberg, Germany; [Wu, Xue-Feng] Chinese Acad Sci, Purple Mt Observ, Nanjing 210008, Jiangsu, Peoples R China; [Liu, Ruo-Yu; Wang, Xiang-Yu] Nanjing Univ, Minist Educ, Key Lab Modern Astron &amp; Astrophys, Nanjing 210093, Jiangsu, Peoples R China; [Wu, Xue-Feng] Chinese Ctr Antarctic Astron, Nanjing 210008, Jiangsu, Peoples R China; [Wu, Xue-Feng] Nanjing Univ, Purple Mt Observ, Joint Ctr Particle Nucl Phys &amp; Cosmol, Nanjing 210008, Jiangsu, Peoples R China</t>
  </si>
  <si>
    <t>Nanjing University; Max Planck Society; Purple Mountain Observatory, CAS; Chinese Academy of Sciences; Nanjing Institute of Astronomical Optics &amp; Technology, NAOC, CAS; Nanjing University; Chinese Academy of Sciences; Nanjing Institute of Astronomical Optics &amp; Technology, NAOC, CAS; Purple Mountain Observatory, CAS; Nanjing University</t>
  </si>
  <si>
    <t>Liu, RY (corresponding author), Univ Heidelberg IMPRS HD, Int Max Planck Res Sch Astron &amp; Cosm Phys, Heidelberg, Germany.</t>
  </si>
  <si>
    <t>973 program [2009CB824800]; NSFC [11273016, 10973008, 11033002]; Excellent Youth Foundation of Jiangsu Province [BK2012011]; Fok Ying Tung Education Foundation; National Basic Research Program (973 Program) of China [2013CB834900]; One-Hundred-Talents Program; Youth Innovation Promotion Association of the Chinese Academy of Sciences; Natural Science Foundation of Jiangsu Province</t>
  </si>
  <si>
    <t>973 program(National Basic Research Program of China); NSFC(National Natural Science Foundation of China (NSFC)); Excellent Youth Foundation of Jiangsu Province; Fok Ying Tung Education Foundation(Fok Ying Tung Education Foundation); National Basic Research Program (973 Program) of China(National Basic Research Program of China); One-Hundred-Talents Program(Chinese Academy of Sciences); Youth Innovation Promotion Association of the Chinese Academy of Sciences; Natural Science Foundation of Jiangsu Province(Natural Science Foundation of Jiangsu Province)</t>
  </si>
  <si>
    <t>We thank He Gao, Zhuo Li, and the anonymous referee for valuable suggestions. This work is supported by the 973 program under grant 2009CB824800, the NSFC under grants 11273016, 10973008, and 11033002, the Excellent Youth Foundation of Jiangsu Province (BK2012011), and the Fok Ying Tung Education Foundation. X. F. W. is partially supported by the National Basic Research Program (973 Program) of China (grant 2013CB834900), the One-Hundred-Talents Program and the Youth Innovation Promotion Association of the Chinese Academy of Sciences, and the Natural Science Foundation of Jiangsu Province.</t>
  </si>
  <si>
    <t>L20</t>
  </si>
  <si>
    <t>10.1088/2041-8205/773/2/L20</t>
  </si>
  <si>
    <t>198CO</t>
  </si>
  <si>
    <t>WOS:000322899600003</t>
  </si>
  <si>
    <t>Levermann, A; Clark, PU; Marzeion, B; Milne, GA; Pollard, D; Radic, V; Robinson, A</t>
  </si>
  <si>
    <t>Levermann, Anders; Clark, Peter U.; Marzeion, Ben; Milne, Glenn A.; Pollard, David; Radic, Valentina; Robinson, Alexander</t>
  </si>
  <si>
    <t>The multimillennial sea-level commitment of global warming</t>
  </si>
  <si>
    <t>climate change; climate impacts; sea-level change</t>
  </si>
  <si>
    <t>GREENLAND ICE-SHEET; ATMOSPHERIC CO2; CLIMATE; COLLAPSE; VOLUME; RISE; SIMULATIONS; TEMPERATURE; SENSITIVITY; DYNAMICS</t>
  </si>
  <si>
    <t>Global mean sea level has been steadily rising over the last century, is projected to increase by the end of this century, and will continue to rise beyond the year 2100 unless the current global mean temperature trend is reversed. Inertia in the climate and global carbon system, however, causes the global mean temperature to decline slowly even after greenhouse gas emissions have ceased, raising the question of how much sea-level commitment is expected for different levels of global mean temperature increase above preindustrial levels. Although sea-level rise over the last century has been dominated by ocean warming and loss of glaciers, the sensitivity suggested from records of past sea levels indicates important contributions should also be expected from the Greenland and Antarctic Ice Sheets. Uncertainties in the paleo-reconstructions, however, necessitate additional strategies to better constrain the sea-level commitment. Here we combine paleo-evidence with simulations from physical models to estimate the future sea-level commitment on a multimillennial time scale and compute associated regional sea-level patterns. Oceanic thermal expansion and the Antarctic Ice Sheet contribute quasi-linearly, with 0.4 m degrees C-1 and 1.2 m degrees C-1 of warming, respectively. The saturation of the contribution from glaciers is overcompensated by the nonlinear response of the Greenland Ice Sheet. As a consequence we are committed to a sea-level rise of approximately 2.3 m degrees C-1 within the next 2,000 y. Considering the lifetime of anthropogenic greenhouse gases, this imposes the need for fundamental adaptation strategies on multicentennial time scales.</t>
  </si>
  <si>
    <t>[Levermann, Anders] Potsdam Inst Climate Impact Res, D-14473 Potsdam, Germany; [Levermann, Anders] Univ Potsdam, Inst Phys, D-14476 Potsdam, Germany; [Clark, Peter U.] Oregon State Univ, Coll Earth Ocean &amp; Atmospher Sci, Corvallis, OR 97331 USA; [Marzeion, Ben] Univ Innsbruck, Inst Meteorol &amp; Geophys, Ctr Climate &amp; Cryosphere, A-6020 Innsbruck, Austria; [Milne, Glenn A.] Univ Ottawa, Dept Earth Sci, Ottawa, ON K1N 6N5, Canada; [Pollard, David] Penn State Univ, Earth &amp; Environm Syst Inst, University Pk, PA 16802 USA; [Radic, Valentina] Univ British Columbia, Vancouver, BC V6T 1Z4, Canada; [Robinson, Alexander] Univ Complutense Madrid, E-28040 Madrid, Spain; [Robinson, Alexander] Univ Complutense Madrid, CSIC, Inst Geociencias, E-28040 Madrid, Spain</t>
  </si>
  <si>
    <t>Potsdam Institut fur Klimafolgenforschung; University of Potsdam; Oregon State University; University of Innsbruck; University of Ottawa; Pennsylvania Commonwealth System of Higher Education (PCSHE); Pennsylvania State University; Pennsylvania State University - University Park; University of British Columbia; Complutense University of Madrid; Complutense University of Madrid; Consejo Superior de Investigaciones Cientificas (CSIC); CSIC-UCM - Instituto de Geociencias (IGEO)</t>
  </si>
  <si>
    <t>Levermann, A (corresponding author), Potsdam Inst Climate Impact Res, D-14473 Potsdam, Germany.</t>
  </si>
  <si>
    <t>Anders.levermann@pik-potsdam.de</t>
  </si>
  <si>
    <t>Levermann, Anders/G-4666-2011; Robinson, Alexander/I-4018-2012; Robinson, Alexander/N-2429-2019; Chen, Tianren/AAS-6018-2021; Marzeion, Ben/G-6514-2013</t>
  </si>
  <si>
    <t>Levermann, Anders/0000-0003-4432-4704; Robinson, Alexander/0000-0003-3519-5293; Robinson, Alexander/0000-0003-3519-5293; Marzeion, Ben/0000-0002-6185-3539; Radic, Valentina/0000-0002-1185-0751</t>
  </si>
  <si>
    <t>German Federal Ministry of Education and Research; National Science Foundation [1043517, 1043018]; Austrian Science Fund (FWF) [P25362-N26]; Canada Research Chairs program; Gobierno de Espana, Ministerio de Economia y Competitividad [CGL2011-29672-C02-01]; Directorate For Geosciences; Office of Polar Programs (OPP) [1043517] Funding Source: National Science Foundation; Austrian Science Fund (FWF) [P25362] Funding Source: Austrian Science Fund (FWF)</t>
  </si>
  <si>
    <t>German Federal Ministry of Education and Research(Federal Ministry of Education &amp; Research (BMBF)); National Science Foundation(National Science Foundation (NSF)); Austrian Science Fund (FWF)(Austrian Science Fund (FWF)); Canada Research Chairs program(Canada Research Chairs); Gobierno de Espana, Ministerio de Economia y Competitividad; Directorate For Geosciences; Office of Polar Programs (OPP)(National Science Foundation (NSF)NSF - Directorate for Geosciences (GEO)); Austrian Science Fund (FWF)(Austrian Science Fund (FWF))</t>
  </si>
  <si>
    <t>This study was supported by the German Federal Ministry of Education and Research. P. U. C. and D. P. receive support from National Science Foundation Grants 1043517 and 1043018, respectively. B. M. was supported by Austrian Science Fund (FWF): P25362-N26. G. A. M. acknowledges support from the Canada Research Chairs program. A. R. was supported by the Gobierno de Espana, Ministerio de Economia y Competitividad under project CGL2011-29672-C02-01.</t>
  </si>
  <si>
    <t>10.1073/pnas.1219414110</t>
  </si>
  <si>
    <t>203DU</t>
  </si>
  <si>
    <t>WOS:000323271400028</t>
  </si>
  <si>
    <t>Cheah, W; McMinn, A; Griffiths, FB; Westwood, KJ; Wright, SW; Clementson, LA</t>
  </si>
  <si>
    <t>Cheah, Wee; McMinn, Andrew; Griffiths, F. Brian; Westwood, Karen J.; Wright, Simon W.; Clementson, Lesley A.</t>
  </si>
  <si>
    <t>Response of Phytoplankton Photophysiology to Varying Environmental Conditions in the Sub-Antarctic and Polar Frontal Zone</t>
  </si>
  <si>
    <t>SOUTHERN-OCEAN; IRON-LIMITATION; CHLOROPHYLL FLUORESCENCE; MARINE-PHYTOPLANKTON; EXCESSIVE IRRADIANCE; COMMUNITY STRUCTURE; SEASONAL EVOLUTION; ELECTRON TURNOVER; LIGHT; PHOTOSYNTHESIS</t>
  </si>
  <si>
    <t>Climate-driven changes are expected to alter the hydrography of the Sub-Antarctic Zone (SAZ) and Polar Frontal Zone (PFZ) south of Australia, in which distinct regional environments are believed to be responsible for the differences in phytoplankton biomass in these regions. Here, we report how the dynamic influences of light, iron and temperature, which are responsible for the photophysiological differences between phytoplankton in the SAZ and PFZ, contribute to the biomass differences in these regions. High effective photochemical efficiency of photosystem II (F-q'/F-m' &gt; 0.4), maximum photosynthesis rate (P-max(B)), light-saturation intensity (E-k), maximum rate of photosynthetic electron transport (1/tau(PSII)), and low photoprotective pigment concentrations observed in the SAZ correspond to high chlorophyll a and iron concentrations. In contrast, phytoplankton in the PFZ exhibits low F-q'/F-m' (similar to 0.2) and high concentrations of photoprotective pigments under low light environment. Strong negative relationships between iron, temperature, and photoprotective pigments demonstrate that cells were producing more photoprotective pigments under low temperature and iron conditions, and are responsible for the low biomass and low productivity measured in the PFZ. As warming and enhanced iron input is expected in this region, this could probably increase phytoplankton photosynthesis in this region. However, complex interactions between the biogeochemical processes (e.g. stratification caused by warming could prevent mixing of nutrients), which control phytoplankton biomass and productivity, remain uncertain.</t>
  </si>
  <si>
    <t>[Cheah, Wee; McMinn, Andrew] Univ Tasmania, Inst Marine &amp; Antarctic Studies, Hobart, Tas, Australia; [Cheah, Wee; McMinn, Andrew; Griffiths, F. Brian; Westwood, Karen J.; Wright, Simon W.; Clementson, Lesley A.] Univ Tasmania, Antarctic Climate &amp; Ecosyst CRC, Hobart, Tas, Australia; [Griffiths, F. Brian] CSIRO, Div Marine &amp; Atmospher Res, Hobart, Tas, Australia; [Westwood, Karen J.; Wright, Simon W.; Clementson, Lesley A.] Australian Antarctic Div, Kingston, Tas, Australia</t>
  </si>
  <si>
    <t>University of Tasmania; University of Tasmania; Commonwealth Scientific &amp; Industrial Research Organisation (CSIRO); Australian Antarctic Division</t>
  </si>
  <si>
    <t>Cheah, W (corresponding author), Univ Tasmania, Inst Marine &amp; Antarctic Studies, Hobart, Tas, Australia.</t>
  </si>
  <si>
    <t>wee.cheah@utas.edu.au</t>
  </si>
  <si>
    <t>Clementson, Lesley A/M-6905-2013; McMinn, Andrew/A-9910-2008; Cheah, Wee/C-8282-2012</t>
  </si>
  <si>
    <t>Cheah, Wee/0000-0002-1824-0577; Westwood, Karen/0000-0003-1060-7140; Clementson, Lesley/0000-0003-4415-993X</t>
  </si>
  <si>
    <t>Australian Government via Australian Antarctic Science Grants (AAS) [2720]; ACE CRC PhD scholarship</t>
  </si>
  <si>
    <t>Australian Government via Australian Antarctic Science Grants (AAS)(Australian Government); ACE CRC PhD scholarship</t>
  </si>
  <si>
    <t>Funding was provided by Australian Government via Australian Antarctic Science Grants (AAS) Project #2720. WC was supported by an ACE CRC PhD scholarship. The funders had no role in study design, data collection and analysis, decision to publish, or preparation of the manuscript.</t>
  </si>
  <si>
    <t>AUG 19</t>
  </si>
  <si>
    <t>e72165</t>
  </si>
  <si>
    <t>10.1371/journal.pone.0072165</t>
  </si>
  <si>
    <t>205ER</t>
  </si>
  <si>
    <t>WOS:000323425700145</t>
  </si>
  <si>
    <t>Tweedy, OV; Limpasuvan, V; Orsolini, YJ; Smith, AK; Garcia, RR; Kinnison, D; Randall, CE; Kvissel, OK; Stordal, F; Harvey, VL; Chandran, A</t>
  </si>
  <si>
    <t>Tweedy, Olga V.; Limpasuvan, Varavut; Orsolini, Yvan J.; Smith, Anne K.; Garcia, Rolando R.; Kinnison, Doug; Randall, Cora E.; Kvissel, Ole-Kristian; Stordal, Frode; Harvey, V. Lynn; Chandran, Amal</t>
  </si>
  <si>
    <t>Nighttime secondary ozone layer during major stratospheric sudden warmings in specified-dynamics WACCM</t>
  </si>
  <si>
    <t>secondary ozone maximum; Sudden Stratospheric Warming; MLT dynamics; chemical transport</t>
  </si>
  <si>
    <t>COMMUNITY CLIMATE MODEL; MIDDLE ATMOSPHERE; EVENT; MLT</t>
  </si>
  <si>
    <t>A major stratospheric sudden warming (SSW) strongly impacts the entire middle atmosphere up to the thermosphere. Currently, the role of atmospheric dynamics on polar ozone in the mesosphere-lower thermosphere (MLT) during SSWs is not well understood. Here we investigate the SSW-induced changes in the nighttime secondary (90-105km) ozone maximum by examining the dynamics and distribution of key species (like H and O) important to ozone. We use output from the National Center for Atmospheric Research Whole Atmosphere Community Climate Model with Specified Dynamics (SD-WACCM), in which the simulation is constrained by meteorological reanalyses below 1hPa. Composites are made based on six major SSW events with elevated stratopause episodes. Individual SSW cases of temperature and MLT nighttime ozone from the model are compared against the Sounding of the Atmosphere using Broadband Emission Radiometry observations aboard the NASA's Thermosphere Ionosphere Mesosphere Energetics and Dynamics (TIMED) satellite. The evolution of ozone and major chemical trace species is associated with the anomalous vertical residual motion during SSWs and consistent with photochemical equilibrium governing the MLT nighttime ozone. Just after SSW onset, enhanced upwelling adiabatically cools the polar region from 80 to 100km and transports low H from below. These conditions promote a concentration increase in the secondary ozone layer. Subsequent downwelling from the lower thermosphere warms the MLT and enhances the descent of H from the thermospheric reservoir, thereby limiting the secondary ozone concentration increase. Negative correlation of secondary ozone with respect to temperature and H is more pronounced during winters with SSWs than during non-SSW winters.</t>
  </si>
  <si>
    <t>[Tweedy, Olga V.; Limpasuvan, Varavut] Coastal Carolina Univ, Sch Coastal &amp; Marine Syst Sci, Conway, SC USA; [Orsolini, Yvan J.] Norwegian Inst Atmospher Res, Kjeller, Norway; [Orsolini, Yvan J.] Univ Bergen, Birkeland Ctr Space Sci, Bergen, Norway; [Smith, Anne K.; Garcia, Rolando R.; Kinnison, Doug] Natl Ctr Atmospher Res, Boulder, CO 80307 USA; [Randall, Cora E.; Harvey, V. Lynn] Univ Colorado, Dept Atmospher &amp; Ocean Sci, Boulder, CO 80309 USA; [Randall, Cora E.; Harvey, V. Lynn] Univ Colorado, Atmospher &amp; Space Phys Lab, Boulder, CO 80309 USA; [Kvissel, Ole-Kristian; Stordal, Frode] Univ Oslo, Dept Meteorol, Oslo, Norway; [Chandran, Amal] Univ Alaska Fairbanks, Inst Geophys, Fairbanks, AK 99775 USA</t>
  </si>
  <si>
    <t>Coastal Carolina University; University of Bergen; National Center Atmospheric Research (NCAR) - USA; University of Colorado System; University of Colorado Boulder; University of Colorado System; University of Colorado Boulder; University of Oslo; University of Alaska System; University of Alaska Fairbanks</t>
  </si>
  <si>
    <t>Tweedy, OV (corresponding author), Johns Hopkins Univ, Dept Earth &amp; Planetary Sci, Baltimore, MD 21209 USA.</t>
  </si>
  <si>
    <t>otweedy1@jhu.edu</t>
  </si>
  <si>
    <t>Garcia-Herrera, Ricardo/ABE-4731-2020; Limpasuvan, Varavut/K-6266-2013; RANDALL, CORA/L-8760-2014; HARVEY, V LYNN/M-3995-2017; Stordal, Frode/R-6672-2017</t>
  </si>
  <si>
    <t>RANDALL, CORA/0000-0002-4313-4397; Smith, Anne/0000-0003-2384-5033; HARVEY, V LYNN/0000-0002-7928-0804; Stordal, Frode/0000-0002-5190-6473; Tweedy, Olga/0000-0003-3430-9586; Orsolini, Yvan/0000-0001-7454-026X</t>
  </si>
  <si>
    <t>National Science Foundation (NSF) [AGS-1116123, AGS-MRI-0958616]; South Carolina NASA Space Grant; Norwegian Research Council through the Norwegian Antarctic Research Programme [ES475961]; National Science Foundation; Office of Science (BER) of the U.S. Department of Energy; NASA LWS [NNX10AQ54G]; the National Science Foundation; NSF; Directorate For Geosciences; Office of Polar Programs (OPP) [1107498] Funding Source: National Science Foundation; Div Atmospheric &amp; Geospace Sciences; Directorate For Geosciences [1116123] Funding Source: National Science Foundation</t>
  </si>
  <si>
    <t>National Science Foundation (NSF)(National Science Foundation (NSF)); South Carolina NASA Space Grant; Norwegian Research Council through the Norwegian Antarctic Research Programme(Research Council of Norway); National Science Foundation(National Science Foundation (NSF)); Office of Science (BER) of the U.S. Department of Energy(United States Department of Energy (DOE)); NASA LWS(National Aeronautics &amp; Space Administration (NASA)); the National Science Foundation(National Science Foundation (NSF)); NSF(National Science Foundation (NSF)); Directorate For Geosciences; Office of Polar Programs (OPP)(National Science Foundation (NSF)NSF - Directorate for Geosciences (GEO)); Div Atmospheric &amp; Geospace Sciences; Directorate For Geosciences(National Science Foundation (NSF)NSF - Directorate for Geosciences (GEO))</t>
  </si>
  <si>
    <t>OVT and VL were supported by the National Science Foundation (NSF) under grants AGS-1116123 and AGS-MRI-0958616 and the South Carolina NASA Space Grant. YOR was supported by the Norwegian Research Council through the Norwegian Antarctic Research Programme (prject ES475961). The CESM project is supported by the National Science Foundation and the Office of Science (BER) of the U.S. Department of Energy. CER was supported by NASA LWS grant NNX10AQ54G. Computing resources were provided by the Climate Simulation Laboratory at NCAR's Computational and Information Systems Laboratory (CISL), sponsored by the National Science Foundation and other agencies. NCAR is sponsored by the NSF. The computing assistance of Professor Michael Murphy of CCU's Computer Science department has been invaluable to the completion of this work. We are indebted to the useful comments of Professor Matthew Hitchman and other anonymous reviewers who helped to significantly improve the manuscript.</t>
  </si>
  <si>
    <t>AUG 16</t>
  </si>
  <si>
    <t>10.1002/jgrd.50651</t>
  </si>
  <si>
    <t>213DA</t>
  </si>
  <si>
    <t>WOS:000324032900017</t>
  </si>
  <si>
    <t>Prenzel, J; Lisker, F; Balestrieri, ML; Läufer, A; Spiegel, C</t>
  </si>
  <si>
    <t>Prenzel, J.; Lisker, F.; Balestrieri, M. L.; Laeufer, A.; Spiegel, C.</t>
  </si>
  <si>
    <t>The Eisenhower Range, Transantarctic Mountains: Evaluation of qualitative interpretation concepts of thermochronological data</t>
  </si>
  <si>
    <t>Apatite fission track thermochronology; Break in slope; Population method; Transantarctic Mountains; Exhumation history; Thermal history modeling</t>
  </si>
  <si>
    <t>NORTHERN VICTORIA-LAND; ANTARCTIC ICE-SHEET; FISSION-TRACK; ROSS SEA; APATITE; UPLIFT; EAST; EVOLUTION; EOCENE; CALIBRATION</t>
  </si>
  <si>
    <t>The Transantarctic Mountains (TAM) were one of the first regions where apatite fission track (AFT) thermochronology was applied routinely to study exhumation processes and long term landscape evolution. Pioneering publications from the region introduced or refined interpretation concepts of thermochronological data such as the break in slope in vertical age profiles as qualitative marker for the onset of accelerated rock cooling. New AFT data were compiled from vertical profiles in the Eisenhower Range, northern TAM, and compared with published data. Samples originally examined by the population technique were re-analyzed via the external detector technique. AFT ages increase from 32 +/- 2 Ma at an elevation of 220 m to 175 +/- 14 Ma at 2380 m. Geological evidence and thermal history modeling of the AFT data require Jurassic to Late Eocene reheating of the samples and an onset of cooling at similar to 35-30 Ma. This requires the deposition of an similar to 3 to 3.5 km thick sedimentary sequence on the granitic basement subsequent to Jurassic Ferrar magmatism at similar to 180 Ma. The regression of paleotemperatures against sample altitudes infers a high Jurassic geothermal gradient of similar to 60 degrees C/km related to rifting processes and Ferrar magmatism, and a moderate Cretaceous/Eocene geothermal gradient of similar to 30 degrees C/km. Comparison of ages generated with population and external detector technique shows the importance of determining single-grain ages for each sample, even from granitic rocks of the same intrusion, and thus strongly supports previous cases made for the determination of annealing kinetics and grain-age evaluation. Age comparison additionally illustrates that samples above a break in slope record larger deviations between population and external detector ages than samples below a break in slope. We demonstrate that the position and shape of a break in slope result from various factors, such as the thermal history prior to final cooling, maximum paleotemperatures, cooling rate, and geothermal gradient. A break in slope does not straightly date the onset of final cooling and cannot substitute thermal history modeling. Therefore, earlier studies from the TAM and similar settings elsewhere need to be validated by combining thermal history modeling of thermochronological data and supplementary geological information. (C) 2013 Elsevier B.V. All rights reserved.</t>
  </si>
  <si>
    <t>[Prenzel, J.; Lisker, F.; Spiegel, C.] Univ Bremen, Geosci FB5, D-28359 Bremen, Germany; [Balestrieri, M. L.] CNR, Inst Earth Sci &amp; Earth Resources, I-50121 Florence, Italy; [Laeufer, A.] Bundesanstalt Geowissensch &amp; Rohstoffe, D-30655 Hannover, Germany</t>
  </si>
  <si>
    <t>University of Bremen; Consiglio Nazionale delle Ricerche (CNR)</t>
  </si>
  <si>
    <t>Prenzel, J (corresponding author), Univ Bremen, Dept Geosci, PF 330440, D-28334 Bremen, Germany.</t>
  </si>
  <si>
    <t>jprenzel@uni-bremen.de</t>
  </si>
  <si>
    <t>Läufer, Andreas/ABC-1465-2020; Balestrieri, Maria Laura/AAX-3560-2020</t>
  </si>
  <si>
    <t>Läufer, Andreas/0000-0003-2219-0450; Lisker, Frank/0000-0002-1615-7315; Spiegel, Cornelia/0000-0002-1432-3447</t>
  </si>
  <si>
    <t>DFG [LI745/12-1, SPP 1158]</t>
  </si>
  <si>
    <t>DFG(German Research Foundation (DFG))</t>
  </si>
  <si>
    <t>This study was funded by DFG grant LI745/12-1 within the Priority Programme SPP 1158 Antarctic Research with comparative investigations in Arctic ice areas. Frank Lisker and Jannis Frenzel thank the Bundesanstalt fur Geowissenschaften und Rohstoffe, Hannover, for the invitation to participate in the Antarctic GANOVEX X expedition. We wish to thank the crews of MS Italica and Helicopters New Zealand for logistic support and the members of the GANOVEX team for cooperative fieldwork and stimulating discussions. F. Balsamo, G. Di Vincenzo, N. Dorr, J. Lindow, S. Rocchi, F. Rossetti and F. Storti are acknowledged for helpful comments. P. O'Sullivan and an anonymous reviewer are thanked for constructive reviews that substantially improved the paper. At last, U. Brand is thanked for his editorial handling of the paper.</t>
  </si>
  <si>
    <t>10.1016/j.chemgeo.2013.06.005</t>
  </si>
  <si>
    <t>205TB</t>
  </si>
  <si>
    <t>WOS:000323466600016</t>
  </si>
  <si>
    <t>Horgan, HJ; Christianson, K; Jacobel, RW; Anandakrishnan, S; Alley, RB</t>
  </si>
  <si>
    <t>Horgan, Huw J.; Christianson, Knut; Jacobel, Robert W.; Anandakrishnan, Sridhar; Alley, Richard B.</t>
  </si>
  <si>
    <t>Sediment deposition at the modern grounding zone of Whillans Ice Stream, West Antarctica</t>
  </si>
  <si>
    <t>glaciology; ice sheet dynamics; grounding zone</t>
  </si>
  <si>
    <t>ACTIVE RESERVOIR BENEATH; SUBGLACIAL LAKE WHILLANS; TIDAL FLEXURE; LINE; SHELF; SHEET; DEFORMATION; RADAR</t>
  </si>
  <si>
    <t>Much of the threshold behavior of marine ice sheets is thought to result from processes occurring at the grounding zone, where the ice sheet transitions into the ice shelf. At short timescales (decades to centuries), grounding zone behavior is likely to be influenced by ongoing sediment deposition, which can stabilize the grounding zone position. We present a ground-based geophysical study across the modern grounding zone of Whillans Ice Stream. Within an embayment setting, where subglacial meltwater drains, we image sedimentary deposits; however, we do not observe the classic asymmetric grounding zone wedge deposits, which are found in the paleorecord and are thought to stabilize the grounding zone position. At an adjacent peninsula, we image the grounding zone and an ice-shelf pinning point and again observe no wedge deposits.</t>
  </si>
  <si>
    <t>[Horgan, Huw J.] Victoria Univ Wellington, Antarctic Res Ctr, Wellington, New Zealand; [Christianson, Knut; Jacobel, Robert W.] St Olaf Coll, Dept Phys, Northfield, MN 55057 USA; [Anandakrishnan, Sridhar; Alley, Richard B.] Penn State Univ, Dept Geosci, University Pk, PA 16802 USA; [Anandakrishnan, Sridhar; Alley, Richard B.] Penn State Univ, Earth &amp; Environm Syst Inst, University Pk, PA 16802 USA</t>
  </si>
  <si>
    <t>Victoria University Wellington; Saint Olaf College; Pennsylvania Commonwealth System of Higher Education (PCSHE); Pennsylvania State University; Pennsylvania State University - University Park; Pennsylvania Commonwealth System of Higher Education (PCSHE); Pennsylvania State University; Pennsylvania State University - University Park</t>
  </si>
  <si>
    <t>huw.horgan@vuw.ac.nz</t>
  </si>
  <si>
    <t>Horgan, Huw/I-5847-2019; Anandakrishnan, Sridhar/JCN-5026-2023</t>
  </si>
  <si>
    <t>Horgan, Huw/0000-0002-4836-0078; Muto, Atsuhiro/0000-0002-1722-2457</t>
  </si>
  <si>
    <t>National Science Foundation [NSF-OPP 0424589, 0838763, 0838855]; NASA [NNX-09-AV94G, NNX-10-AI04G]</t>
  </si>
  <si>
    <t>National Science Foundation(National Science Foundation (NSF)); NASA(National Aeronautics &amp; Space Administration (NASA))</t>
  </si>
  <si>
    <t>This study was supported by the National Science Foundation (NSF-OPP 0424589, 0838763, 0838855) and NASA (NNX-09-AV94G and NNX-10-AI04G). We thank Lucas Beem, Matthew Hill, Rory Hart, Atsuhiro Muto, Benjamin Petersen, and Matthew Siegfried for assistance in the field, Ruzica Dadic for numerous discussions, and Julian A. Dowdeswell and an anonymous reviewer for their constructive comments.</t>
  </si>
  <si>
    <t>10.1002/grl.50712</t>
  </si>
  <si>
    <t>208EO</t>
  </si>
  <si>
    <t>WOS:000323660000029</t>
  </si>
  <si>
    <t>Rubino, M; Etheridge, DM; Trudinger, CM; Allison, CE; Battle, MO; Langenfelds, RL; Steele, LP; Curran, M; Bender, M; White, JWC; Jenk, TM; Blunier, T; Francey, RJ</t>
  </si>
  <si>
    <t>Rubino, M.; Etheridge, D. M.; Trudinger, C. M.; Allison, C. E.; Battle, M. O.; Langenfelds, R. L.; Steele, L. P.; Curran, M.; Bender, M.; White, J. W. C.; Jenk, T. M.; Blunier, T.; Francey, R. J.</t>
  </si>
  <si>
    <t>A revised 1000 year atmospheric δ13C-CO2 record from Law Dome and South Pole, Antarctica</t>
  </si>
  <si>
    <t>global carbon cycle; carbon stable isotopes; ice cores; CO2; Antarctica</t>
  </si>
  <si>
    <t>LONG-TERM VARIABILITY; CARBON-CYCLE; FIRN AIR; EAST ANTARCTICA; ICE; CO2; CLIMATE; TERRESTRIAL; CONSTRAINTS; RECONSTRUCTION</t>
  </si>
  <si>
    <t>We present new measurements of C-13 of CO2 extracted from a high-resolution ice core from Law Dome (East Antarctica), together with firn measurements performed at Law Dome and South Pole, covering the last 150years. Our analysis is motivated by the need to better understand the role and feedback of the carbon (C) cycle in climate change, by advances in measurement methods, and by apparent anomalies when comparing ice core and firn air C-13 records from Law Dome and South Pole. We demonstrate improved consistency between Law Dome ice, South Pole firn, and the Cape Grim (Tasmania) atmospheric C-13 data, providing evidence that our new record reliably extends direct atmospheric measurements back in time. We also show a revised version of early C-13 measurements covering the last 1000years, with a mean preindustrial level of -6.50 parts per thousand. Finally, we use a Kalman Filter Double Deconvolution to infer net natural CO2 fluxes between atmosphere, ocean, and land, which cause small C-13 deviations from the predominant anthropogenically induced C-13 decrease. The main features found from the previous C-13 record are confirmed, including the ocean as the dominant cause for the 1940 A.D. CO2 leveling. Our new record provides a solid basis for future investigation of the causes of decadal to centennial variations of the preindustrial atmospheric CO2 concentration. Those causes are of potential significance for predicting future CO2 levels and when attempting atmospheric verification of recent and future global carbon emission mitigation measures through Coupled Climate Carbon Cycle Models.</t>
  </si>
  <si>
    <t>[Rubino, M.; Etheridge, D. M.; Trudinger, C. M.; Allison, C. E.; Langenfelds, R. L.; Steele, L. P.; Francey, R. J.] CSIRO Marine &amp; Atmospher Res, Ctr Australian Weather &amp; Climate Res, Aspendale, Vic 3195, Australia; [Rubino, M.; Etheridge, D. M.; Jenk, T. M.; Blunier, T.] Univ Copenhagen, Niels Bohr Inst, Ctr Ice &amp; Climate, DK-2100 Copenhagen, Denmark; [Battle, M. O.] Bowdoin Coll, Dept Phys &amp; Astron, Brunswick, ME 04011 USA; [Curran, M.] Antarctic Climate &amp; Ecosyst Cooperat Res Ctr, Dept Environm &amp; Heritage, Australian Antarctic Div, Hobart, Tas, Australia; [Bender, M.] Princeton Univ, Dept Geosci, Princeton, NJ 08544 USA; [White, J. W. C.] Univ Colorado, Inst Arctic &amp; Alpine Res, Boulder, CO 80309 USA</t>
  </si>
  <si>
    <t>Commonwealth Scientific &amp; Industrial Research Organisation (CSIRO); University of Copenhagen; Niels Bohr Institute; Bowdoin College; Australian Antarctic Division; Antarctic Climate &amp; Ecosystems Cooperative Research Centre (ACE CRC); Princeton University; University of Colorado System; University of Colorado Boulder</t>
  </si>
  <si>
    <t>Rubino, M (corresponding author), CSIRO Marine &amp; Atmospher Res, Ctr Australian Weather &amp; Climate Res, 107-121 Stn St, Aspendale, Vic 3195, Australia.</t>
  </si>
  <si>
    <t>mauro.rubino@csiro.au</t>
  </si>
  <si>
    <t>Bender, Michael/J-7651-2016; Trudinger, Cathy/A-2532-2008; Francey, Roger J/A-2345-2012; Etheridge, David M/B-7334-2013; Rubino, Mauro/Q-5578-2016; Steele, Paul/B-3185-2009; White, James W.C./A-7845-2009; Langenfelds, Ray/B-5381-2012; Blunier, Thomas/M-4609-2014; Jenk, Theo/D-5777-2017</t>
  </si>
  <si>
    <t>Bender, Michael/0000-0003-0300-5555; Langenfelds, Ray/0000-0003-4890-2049; Blunier, Thomas/0000-0002-6065-7747; Rubino, Mauro/0000-0002-8721-4508; Trudinger, Cathy/0000-0002-4844-2153; Etheridge, David/0000-0001-7970-2002; Jenk, Theo/0000-0001-6820-8615; Allison, Colin/0000-0002-7796-6917</t>
  </si>
  <si>
    <t>Department of Climate Change and Energy Efficiency; Bureau of Meteorology; CSIRO</t>
  </si>
  <si>
    <t>Department of Climate Change and Energy Efficiency; Bureau of Meteorology(Bureau of Meteorology - Australia); CSIRO(Commonwealth Scientific &amp; Industrial Research Organisation (CSIRO))</t>
  </si>
  <si>
    <t>We thank the following for firn air sampling: the late J.M. Barnola (LGGE) at Law Dome in 1993, T. Sowers (Penn State University) at the South Pole in 1995, A. Smith (ANSTO) and A. Elcheick (Australian Antarctic Division) at Law Dome in 1998, and J. Bastide (Bowdoin University), J. Butler (NOAA), and A. Clarke (NOAA) at South Pole in 2001. S. Coram, R. Gregory, D. Spencer, and D. Thornton provided technical support at CSIRO. Atmospheric samples were provided by staff of the Cape Grim program (supported by the Bureau of Meteorology and CSIRO). South Pole 2001 firn delta13C data were provided by INSTAAR, University of Colorado. We thank B. Vaughn for coordinating the data release. The Australian Antarctic Division and the Australian Antarctic Science Program provided long-term ice coring and logistic support in Antarctica. A. Moy, B. Frankel, and M. Nation (Australian Antarctic Division) and Breeze Logistics (Clayton, Victoria) assisted greatly with ice sample handling. We thank Z. Loh and T. Ziehn for comments on the manuscript. This work was undertaken as part of the Australian Climate Change Science Program, funded jointly by the Department of Climate Change and Energy Efficiency, the Bureau of Meteorology, and CSIRO.</t>
  </si>
  <si>
    <t>10.1002/jgrd.50668</t>
  </si>
  <si>
    <t>WOS:000324032900026</t>
  </si>
  <si>
    <t>Mao, R; Gong, DY; Yang, J; Zhang, ZY; Kim, SJ; He, HZ</t>
  </si>
  <si>
    <t>Mao, Rui; Gong, Dao-Yi; Yang, Jing; Zhang, Zi-Yin; Kim, Seong-Joong; He, Hao-Zhe</t>
  </si>
  <si>
    <t>Is there a linkage between the tropical cyclone activity in the southern Indian Ocean and the Antarctic Oscillation?</t>
  </si>
  <si>
    <t>Antarctic Oscillation; tropical cyclone; southern Indian Ocean; austral summer</t>
  </si>
  <si>
    <t>ANNULAR MODE; PART I; HEMISPHERE; MODULATION; GENESIS</t>
  </si>
  <si>
    <t>In this article, the relationship between the Antarctic Oscillation (AAO) and the tropical cyclone (TC) activity in the southern Indian Ocean (SIO) was examined. It was found that on the interannual time scale, the AAO is well linked with the TC activity in the SIO during TC season (December-March). The rank correlation coefficient between the AAO index and the TC frequency (TCF) in the SIO is 0.37, which is significant at the 95% confidence level. When the AAO is in a positive phase, TC passage in the northwestern coast of Australia (100E degrees-120 degrees E and 10 degrees S-30 degrees S) increases by approximately 50%-100% from the climatology. The increase in the TC passage is primarily the result of more frequent TCs originating in this region due to enhanced water vapor convergence and ascending motions, which are caused by a cyclonic height anomaly over the western coast of Australia associated with the positive AAO phases. In addition, the AAO-height covariations, which are essential to the formation of the AAO-TC links in the SIO, were investigated through a historical climate simulation using the Community Climate System Model 4 from the Coupled Model Intercomparison Project Phase 5. The AAO-height links were well reproduced in the simulation. The similarity in the AAO-height links between the observation and the simulation supports the physical robustness of the AAO-TC links in the SIO.</t>
  </si>
  <si>
    <t>[Mao, Rui; Gong, Dao-Yi; Yang, Jing; He, Hao-Zhe] Beijing Normal Univ, State Key Lab Earth Surface Proc &amp; Resource Ecol, Beijing 100875, Peoples R China; [Zhang, Zi-Yin] Beijing Meteorol Bur, Beijing, Peoples R China; [Kim, Seong-Joong] Korea Polar Res Inst, Inchon, South Korea; [He, Hao-Zhe] Beijing Normal Univ, Acad Disaster Reduct &amp; Emergency Management, Minist Civil Affairs, Beijing 100875, Peoples R China; [He, Hao-Zhe] Beijing Normal Univ, Minist Educ, Beijing 100875, Peoples R China</t>
  </si>
  <si>
    <t>Beijing Normal University; Korea Polar Research Institute (KOPRI); Korea Institute of Ocean Science &amp; Technology (KIOST); Beijing Normal University; Beijing Normal University</t>
  </si>
  <si>
    <t>Mao, R (corresponding author), Beijing Normal Univ, State Key Lab Earth Surface Proc &amp; Resource Ecol, Beijing 100875, Peoples R China.</t>
  </si>
  <si>
    <t>mr@bnu.edu.cn</t>
  </si>
  <si>
    <t>Mao, Rui/C-3499-2013; Yang, Jing/C-6597-2013</t>
  </si>
  <si>
    <t>Korea Polar Research Institute [PE13010]; National Basic Research Program of China [2012CB955401]; National Natural Science Foundation of China [41101075]; Fundamental Research Funds for the Central Universities [2012LYB44]</t>
  </si>
  <si>
    <t>Korea Polar Research Institute(Korea Polar Research Institute of Marine Research Placement (KOPRI)); National Basic Research Program of China(National Basic Research Program of China); National Natural Science Foundation of China(National Natural Science Foundation of China (NSFC)); Fundamental Research Funds for the Central Universities(Fundamental Research Funds for the Central Universities)</t>
  </si>
  <si>
    <t>We thank Kerry A. Emanuel for providing the MATLAB script for calculating the GP index in this study. This study was supported by the project Reconstruction and observation of components for the annular mode to investigate the cause of climate change at polar regions (PE13010) of the Korea Polar Research Institute, the National Basic Research Program of China (grant 2012CB955401). Gong, DY was supported by the National Natural Science Foundation of China. Rui Mao was partially supported by the National Natural Science Foundation of China (grant 41101075) and the Fundamental Research Funds for the Central Universities (grant 2012LYB44).</t>
  </si>
  <si>
    <t>10.1002/jgrd.50666</t>
  </si>
  <si>
    <t>WOS:000324032900028</t>
  </si>
  <si>
    <t>Jones, HJ; Swadling, KM; Tracey, SR; Macleod, CK</t>
  </si>
  <si>
    <t>Jones, Hugh J.; Swadling, Kerrie M.; Tracey, Sean R.; Macleod, Catriona K.</t>
  </si>
  <si>
    <t>Long term trends of Hg uptake in resident fish from a polluted estuary</t>
  </si>
  <si>
    <t>Mercury bioaccumulation; Biometric modelling; Von Bertalanffy growth curves; Long term monitoring; Estuarine management</t>
  </si>
  <si>
    <t>WALLEYE SANDER-VITREUS; MERCURY CONCENTRATIONS; MARINE ECOSYSTEMS; DERWENT ESTUARY; TEMPORAL TRENDS; GROWTH-RATES; FOOD-CHAIN; METHYLMERCURY; BIOACCUMULATION; BIOAVAILABILITY</t>
  </si>
  <si>
    <t>Mercury contamination of fish is dependent upon a system's ability to transform inorganic Hg into biologically available forms; however, fish biometrics also play an important role. To assess long term trends in Hg concentrations in sand flathead (Platycephalus bassensis) a polynomial model, corrected for fish length, was used to evaluate temporal trends and spatial variability, while growth rates were estimated using the Von Bertalanffy length-at-age model. Hg concentrations showed no decrease over time, and generally remained near recommended consumption levels (0.5 mg kg(-1)). Previously reported spatial differences in Hg concentrations were not supported by the data once the models were corrected for fish length. Growth rate variation accounted for a large part of the previously published spatial differences. These results suggest that inclusion of fish biometrics is necessary to facilitate an accurate interpretation of spatial and temporal trends of contaminant concentrations in long term estuarine and marine monitoring programs. (C) 2013 Elsevier Ltd. All rights reserved.</t>
  </si>
  <si>
    <t>[Jones, Hugh J.; Swadling, Kerrie M.; Tracey, Sean R.; Macleod, Catriona K.] Univ Tasmania, Inst Marine &amp; Antarctic Studies, Hobart, Tas 7001, Australia</t>
  </si>
  <si>
    <t>Jones, HJ (corresponding author), Univ Tasmania, Inst Marine &amp; Antarctic Studies, Fisheries Aquaculture &amp; Coasts Ctr, Private Bag 49, Hobart, Tas 7001, Australia.</t>
  </si>
  <si>
    <t>hugh.jones@utas.edu.au</t>
  </si>
  <si>
    <t>; Tracey, Sean/J-7446-2014; Macleod, Catriona/J-7176-2014</t>
  </si>
  <si>
    <t>Swadling, Kerrie/0000-0002-7620-841X; Tracey, Sean/0000-0002-6735-5899; Jones, Hugh/0000-0002-5851-2661; Macleod, Catriona/0000-0002-0539-6361</t>
  </si>
  <si>
    <t>AUG 15</t>
  </si>
  <si>
    <t>10.1016/j.marpolbul.2013.04.032</t>
  </si>
  <si>
    <t>207GM</t>
  </si>
  <si>
    <t>WOS:000323586900042</t>
  </si>
  <si>
    <t>Petherick, L; Bostock, H; Cohen, TJ; Fitzsimmons, K; Tibby, J; Fletcher, MS; Moss, P; Reeves, J; Mooney, S; Barrows, T; Kemp, J; Jansen, J; Nanson, G; Dosseto, A</t>
  </si>
  <si>
    <t>Petherick, L.; Bostock, H.; Cohen, T. J.; Fitzsimmons, K.; Tibby, J.; Fletcher, M. -S.; Moss, P.; Reeves, J.; Mooney, S.; Barrows, T.; Kemp, J.; Jansen, J.; Nanson, G.; Dosseto, A.</t>
  </si>
  <si>
    <t>Climatic records over the past 30 ka from temperate Australia - a synthesis from the Oz-INTIMATE workgroup</t>
  </si>
  <si>
    <t>Temperate; Australia; Palaeoenvironmental variability; OZ-INTIMATE; Review</t>
  </si>
  <si>
    <t>LAST GLACIAL MAXIMUM; NEW-SOUTH-WALES; LATE QUATERNARY EVOLUTION; EL-NINO/SOUTHERN-OSCILLATION; NONMARINE OSTRACOD SHELLS; SOUTHEASTERN INDIAN-OCEAN; SEA-LEVEL CHANGE; LATE PLEISTOCENE; VEGETATION HISTORY; ATMOSPHERIC CO2</t>
  </si>
  <si>
    <t>Temperate Australia sits between the heat engine of the tropics and the cold Southern Ocean, encompassing a range of rainfall regimes and falling under the influence of different climatic drivers. Despite this heterogeneity, broad-scale trends in climatic and environmental change are evident over the past 30 ka. During the early glacial period (similar to 30-22 ka) and the Last Glacial Maximum (similar to 22-18 ka), climate was relatively cool across the entire temperate zone and there was an expansion of grasslands and increased fluvial activity in regionally important Murray Darling Basin. The temperate region at this time appears to be dominated by expanded sea ice in the Southern Ocean forcing a northerly shift in the position of the oceanic fronts and a concomitant influx of cold water along the southeast (including Tasmania) and southwest Australian coasts. The deglacial period (similar to 18-12 ka) was characterised by glacial recession and eventual disappearance resulting from an increase in temperature deduced from terrestrial records, while there is some evidence for climatic reversals (e.g. the Antarctic Cold Reversal) in high resolution marine sediment cores through this period. The high spatial density of Holocene terrestrial records reveals an overall expansion of sclerophyll woodland and rainforest taxa across the temperate region after similar to 12 ka, presumably in response to increasing temperature, while hydrological records reveal spatially heterogeneous hydro-climatic trends. Patterns after similar to 6 ka suggest higher frequency climatic variability that possibly reflects the onset of large scale climate variability caused by the El Nino/Southern Oscillation. (C) 2013 Elsevier Ltd. All rights reserved.</t>
  </si>
  <si>
    <t>[Petherick, L.] Queensland Univ Technol, Sch Earth Environm &amp; Biol Sci, Gardens Point, Qld 4000, Australia; [Petherick, L.; Moss, P.] Univ Queensland, Sch Geog Planning &amp; Environm Management, St Lucia, Qld 4072, Australia; [Bostock, H.] Natl Inst Water &amp; Atmosphere, Wellington, New Zealand; [Cohen, T. J.; Nanson, G.; Dosseto, A.] Univ Wollongong, SEES, Wollongong, NSW 2522, Australia; [Fitzsimmons, K.] Max Planck Inst Evolutionary Anthropol, Dept Human Evolut, D-04103 Leipzig, Germany; [Tibby, J.] Univ Adelaide, Sch Geog Environm &amp; Populat, Adelaide, SA 5005, Australia; [Fletcher, M. -S.] Australian Natl Univ, Canberra, ACT 0200, Australia; [Fletcher, M. -S.] Univ Chile, Inst Ecol &amp; Biodivers, Santiago, Chile; [Reeves, J.] Univ Ballarat, Sch Sci Informat Technol &amp; Engn, Ballarat, Vic 3353, Australia; [Mooney, S.] Univ New S Wales, Sch Biol Earth &amp; Environm Sci, Sydney, NSW 2052, Australia; [Barrows, T.] Univ Exeter, Coll Life &amp; Environm Sci, Exeter EX4 4RJ, Devon, England; [Kemp, J.] Northumbria Univ, Sch Built &amp; Nat Environm, Newcastle Upon Tyne NE1 8ST, Tyne &amp; Wear, England; [Jansen, J.] Stockholm Univ, Dept Phys Geog &amp; Quaternary Geol, S-10691 Stockholm, Sweden</t>
  </si>
  <si>
    <t>Queensland University of Technology (QUT); University of Queensland; National Institute of Water &amp; Atmospheric Research (NIWA) - New Zealand; University of Wollongong; Max Planck Society; University of Adelaide; Australian National University; Universidad de Chile; Federation University Australia; University of New South Wales Sydney; University of Exeter; Northumbria University; Stockholm University</t>
  </si>
  <si>
    <t>Petherick, L (corresponding author), Queensland Univ Technol, Sch Earth Environm &amp; Biol Sci, Gardens Point, Qld 4000, Australia.</t>
  </si>
  <si>
    <t>lynda.petherick@qut.edu.au</t>
  </si>
  <si>
    <t>Jansen, John/C-1477-2011; Mooney, Scott/M-5192-2019; Kemp, Justine/I-7777-2012; Fitzsimmons, Kathryn/U-3565-2018; Bostock, Helen/A-6834-2013; Moss, Patrick/AFM-9408-2022; Cohen, Tim J/A-7427-2012; Fletcher, Michael-Shawn/AFR-2451-2022; Fitzsimmons, Kathryn/P-3471-2014; Dosseto, Anthony/A-2543-2008; Barrows, Timothy T/E-8471-2011</t>
  </si>
  <si>
    <t>Jansen, John/0000-0002-0669-5101; Mooney, Scott/0000-0003-4449-5060; Fitzsimmons, Kathryn/0000-0002-9337-0793; Bostock, Helen/0000-0002-8903-8958; Fletcher, Michael-Shawn/0000-0002-1854-5629; Fitzsimmons, Kathryn/0000-0002-9337-0793; Moss, Patrick/0000-0003-1546-9242; Tibby, John/0000-0002-5897-2932; Kemp, Justine/0000-0003-0472-6960; Dosseto, Anthony/0000-0002-3575-0106; Reeves, Jessica/0000-0003-4996-177X; Cohen, Tim/0000-0003-4081-9523; Barrows, Timothy T/0000-0003-2614-7177</t>
  </si>
  <si>
    <t>INQUA (International Union for Quaternary Research) Palaeoclimate Commission (PALCOMM) [0806]; AINSE</t>
  </si>
  <si>
    <t>INQUA (International Union for Quaternary Research) Palaeoclimate Commission (PALCOMM); AINSE</t>
  </si>
  <si>
    <t>INTIMATE (INTegration of Ice-core, MArine and TEerrestrial records) is a core programme of the INQUA (International Union for Quaternary Research) Palaeoclimate Commission (PALCOMM), Project Number 0806. The generous support of AINSE is gratefully acknowledged for funding three workshops in 2009-2011 to discuss the synthesis of temperate zone records, among those of other climatic zones reviewed by the OZ-INTIMATE group. We would also like to thank the members of OZ-INTIMATE and the Quaternary community of Australia for the generous sharing of their records and work for contribution to this project. The authors also thank Peter Kershaw and an anonymous reviewer of the manuscript, whose comments and suggestions have improved the paper.</t>
  </si>
  <si>
    <t>10.1016/j.quascirev.2012.12.012</t>
  </si>
  <si>
    <t>202BM</t>
  </si>
  <si>
    <t>WOS:000323188500005</t>
  </si>
  <si>
    <t>Sikes, EL; Medeiros, PM; Augustinus, P; Wilmshurst, JM; Freeman, KR</t>
  </si>
  <si>
    <t>Sikes, Elisabeth L.; Medeiros, Patricia M.; Augustinus, Paul; Wilmshurst, Janet M.; Freeman, Katherine R.</t>
  </si>
  <si>
    <t>Seasonal variations in aridity and temperature characterize changing climate during the last deglaciation in New Zealand</t>
  </si>
  <si>
    <t>Biomarkers; Biomass burning; Aridity; Compound specific isotopes; Carbon isotopes; Deglacial climate; Climate change; Antarctic Cold Reversal</t>
  </si>
  <si>
    <t>SOUTHERN-HEMISPHERE WESTERLIES; SOUTHWEST PACIFIC; ATMOSPHERIC CO2; EL-NINO; HOLOCENE VEGETATION; MOLECULAR TRACERS; SUBTROPICAL FRONT; ORGANIC AEROSOLS; ISOTOPIC RECORDS; LIPID BIOMARKERS</t>
  </si>
  <si>
    <t>New multiproxy records of aridity from northern New Zealand assess the seasonality and overall pattern of wetness through the Last Glacial Coldest Period (LGCP) to the early Holocene in the subtropical Southwest Pacific. Biomass burning indicators based on terrestrial biomarkers and delta C-13 of individual plant leaf wax carbon compounds (n-alkanoic acids) from a maar lake were used to track aridity. In combination with published sea surface temperatures and new pollen-based temperature estimates from the same core, seasonal climatological changes in the Auckland area were determined from 27 to 9 cal. ka BP. These proxies document a shift from cold and dry conditions in the Last Glacial Maximum to seasonally wetter conditions through the deglaciation. Spring became warmer first and possibly wetter while summers remained drier and initially cooler. The progression from cold-dry to warm-wet was punctuated by the Antarctic Cold Reversal (ACR) which stands out as having wetter conditions in both spring and summer and mild cooling largely concentrated in spring. The seasonal climate trends observed here can be plausibly explained by a rapid change from a subpolar climate to one with subtropical control in this region of the southwest Pacific across the Last Glacial to Interglacial transition. A southerly shift and decreasing intensity of the westerly wind belt after the LGCP is considered to have driven the early deglacial warming and pulse of wetness whereas a northward shift without a commensurate increase in intensity of the westerlies may explain conditions in the ACR. (C) 2013 Elsevier Ltd. All rights reserved.</t>
  </si>
  <si>
    <t>[Sikes, Elisabeth L.; Medeiros, Patricia M.] Rutgers State Univ, Inst Marine &amp; Coastal Sci, New Brunswick, NJ 08901 USA; [Augustinus, Paul] Univ Auckland, Sch Geog &amp; Environm Sci, Auckland 1, New Zealand; [Wilmshurst, Janet M.] Landcare Res, Canterbury, New Zealand; [Freeman, Katherine R.] Penn State Univ, Dept Geosci, University Pk, PA 16802 USA</t>
  </si>
  <si>
    <t>Rutgers University System; Rutgers University New Brunswick; University of Auckland; Landcare Research - New Zealand; Pennsylvania Commonwealth System of Higher Education (PCSHE); Pennsylvania State University; Pennsylvania State University - University Park</t>
  </si>
  <si>
    <t>Sikes, EL (corresponding author), Rutgers State Univ, Inst Marine &amp; Coastal Sci, 71 Dudley Rd, New Brunswick, NJ 08901 USA.</t>
  </si>
  <si>
    <t>sikes@marine.rutgers.edu</t>
  </si>
  <si>
    <t>Freeman, Katherine H/H-5140-2011; Wilmshurst, Janet/O-8611-2019; Augustinus, Paul/B-5125-2011; Sikes, Elisabeth/HPE-8194-2023</t>
  </si>
  <si>
    <t>Freeman, Katherine H/0000-0002-3350-7671; Wilmshurst, Janet/0000-0002-4474-8569; Sikes, Elisabeth/0000-0003-2900-3283; Augustinus, Paul/0000-0002-1391-2151</t>
  </si>
  <si>
    <t>10.1016/j.quascirev.2013.01.031</t>
  </si>
  <si>
    <t>WOS:000323188500016</t>
  </si>
  <si>
    <t>Schulz, B; Schüssler, U</t>
  </si>
  <si>
    <t>Schulz, B.; Schuessler, U.</t>
  </si>
  <si>
    <t>Electron-microprobe Th-U-Pb monazite dating in Early-Palaeozoic high-grade gneisses as a completion of U-Pb isotopic ages (Wilson Terrane, Antarctica)</t>
  </si>
  <si>
    <t>Monazite metasomatism; Electron microprobe Th-U-Pb dating; Granulite fades; Early Palaeozoic</t>
  </si>
  <si>
    <t>NORTHERN VICTORIA LAND; TRACE-ELEMENT ANALYSIS; METAMORPHIC MONAZITE; GEOCHRONOLOGY; GENERATIONS; DIFFUSION; EVOLUTION; XENOTIME; BASEMENT; GRANITE</t>
  </si>
  <si>
    <t>The electron microprobe (EMP) Th-U-Pb monazite bulk chemical dating method was applied to granulite-facies rocks of the Wilson Terrane in Antarctica. A combination of this method to isotopic U-Pb-SHRIMP ages for the evaluation of metamorphic processes required the analysis of reference monazites. These can be subdivided into three groups: a) Monazite with variable total Pb at constant Th (e.g. VK-1) is unsuitable for EMP data evaluation; b) Monazite with highly variable total Pb and Th, but with at least some Th/Pb approximating an apparent isochrone (e.g. MPN) is partly useful; and c) Monazite with constant Th/Pb at high Th (e.g. Madmon monazite) is best suitable for the combined approach and can be additionally used to improve the Th calibration for EMP. Study of monazite in grain mounts and in thin sections led to partly different but complementary results: Older monazites with EMP ages up to 680 Ma occur mainly in a grain mount from diatexite and metatexite and are interpreted as detrital relics. Some of these monazites show structures and mineral-chemical zonation trends resembling metasomatism by alkali-bearing fluids. A marked mobility of Th, P, Ce, Si and U is observed. The age of the metasomatic event can be bracketed between 510 and 450 Ma. Furthermore, in the grain mount and in numerous petrographic thin sections of migmatites and gneisses, the EMP Th-U-Pb and SHRIMP U-Pb monazite data uniformly signal a major metamorphic event with a medium-pressure granulite fades peak between 512 and 496 Ma. Subsequent isothermal uplift and then amphibolite-facies conditions between 488 and 466 Ma led to crystallisation of pristine monazite. The high-grade metamorphic event, related to the Ross Orogeny, can be uniformly traced more than 600 km along strike in the Wilson Terrane. (C) 2013 Elsevier B.V. All rights reserved.</t>
  </si>
  <si>
    <t>[Schulz, B.] TU Bergakad Freiberg Sachsen, Inst Mineral, D-09596 Freiberg, Germany; [Schuessler, U.] Univ Wurzburg, Inst Geog &amp; Geol, D-97074 Wurzburg, Germany</t>
  </si>
  <si>
    <t>University of Wurzburg</t>
  </si>
  <si>
    <t>Schulz, B (corresponding author), TU Bergakad Freiberg Sachsen, Inst Mineral, Brennhausgasse 14, D-09596 Freiberg, Germany.</t>
  </si>
  <si>
    <t>Bernhard.Schulz@mineral.tu-freiberg.de; uli.schuessler@uni-wuerzburg.de</t>
  </si>
  <si>
    <t>Schulz, Bernhard/M-5534-2019</t>
  </si>
  <si>
    <t>Schulz, Bernhard/0000-0001-5003-3431</t>
  </si>
  <si>
    <t>Deutsche Forschungsgemeinschaft [SCHU 873/6, 1158]</t>
  </si>
  <si>
    <t>Deutsche Forschungsgemeinschaft(German Research Foundation (DFG))</t>
  </si>
  <si>
    <t>Our colleague Friedhelm Henjes-Kunst from the Federal Institute for Geosciences and Natural Resources BGR at Hannover kindly provided the monazite grain mount and a lot of corresponding information to the study. The electron-microprobe monazite dating required long-term analytical sessions which were made possible through support by Matthias Gobbels at the Geozentrum Nordbayern at Erlangen. Technical assistance during the electron-microprobe sessions was provided by Andreas Richter. Polished thin sections of the gneisses were carefully produced by Peter Spaethe at the Chair of Geodynamics and Geomaterialscience at Wurzburg. The authors acknowledge the constructive and extensive reviews by D. Harlov and E. Krenn with successive versions of the manuscript. The study was funded by a grant SCHU 873/6 to the authors within the frame of the Priority Programme 1158 Antarctic Research of the Deutsche Forschungsgemeinschaft.</t>
  </si>
  <si>
    <t>10.1016/j.lithos.2013.05.008</t>
  </si>
  <si>
    <t>191RR</t>
  </si>
  <si>
    <t>WOS:000322430800012</t>
  </si>
  <si>
    <t>Reeves, JM; Barrows, TT; Cohen, TJ; Kiem, AS; Bostock, HC; Fitzsimmons, KE; Jansen, JD; Kemp, J; Krause, C; Petherick, L; Phipps, SJ</t>
  </si>
  <si>
    <t>Reeves, Jessica M.; Barrows, Timothy T.; Cohen, Timothy J.; Kiem, Anthony S.; Bostock, Helen C.; Fitzsimmons, Kathryn E.; Jansen, John D.; Kemp, Justine; Krause, Claire; Petherick, Lynda; Phipps, Steven J.</t>
  </si>
  <si>
    <t>OZ-INTIMATE Members</t>
  </si>
  <si>
    <t>Climate variability over the last 35,000 years recorded in marine and terrestrial archives in the Australian region: an OZ-INTIMATE compilation</t>
  </si>
  <si>
    <t>Australia; Tropics; Temperate; Arid zone; Southern Ocean; Last Glacial Maximum; Deglacial period; Holocene; INTIMATE</t>
  </si>
  <si>
    <t>LATE QUATERNARY EVOLUTION; PACIFIC WARM POOL; EL-NINO/SOUTHERN-OSCILLATION; LATE PLEISTOCENE GLACIATION; MULTI-DECADAL VARIABILITY; SEA-SURFACE TEMPERATURES; MURRAY-DARLING BASIN; LINEAR DUNE ACTIVITY; EASTERN AUSTRALIA; SOUTHEASTERN AUSTRALIA</t>
  </si>
  <si>
    <t>The Australian region spans some 600 of latitude and 500 of longitude and displays considerable regional climate variability both today and during the Late Quaternary. A synthesis of marine and terrestrial climate records, combining findings from the Southern Ocean, temperate, tropical and arid zones, identifies a complex response of climate proxies to a background of changing boundary conditions over the last 35,000 years. Climate drivers include the seasonal timing of insolation, greenhouse gas content of the atmosphere, sea level rise and ocean and atmospheric circulation changes. Our compilation finds few climatic events that could be used to construct a climate event stratigraphy for the entire region, limiting the usefulness of this approach. Instead we have taken a spatial approach, looking to discern the patterns of change across the continent. The data identify the clearest and most synchronous climatic response at the time of the Last Glacial Maximum (LGM) (21 +/- 3 ka), with unambiguous cooling recorded in the ocean, and evidence of glaciation in the highlands of tropical New Guinea, southeast Australia and Tasmania. Many terrestrial records suggest drier conditions, but with the timing of inferred snowmelt, and changes to the rainfall/runoff relationships, driving higher river discharge at the LGM. In contrast, the deglaciation is a time of considerable south-east to north-west variation across the region. Warming was underway in all regions by 17 ka. Post-glacial sea level rise and its associated regional impacts have played an important role in determining the magnitude and timing of climate response in the north-west of the continent in contrast to the southern latitudes. No evidence for cooling during the Younger Dryas chronozone is evident in the region, but the Antarctic cold reversal clearly occurs south of Australia. The Holocene period is a time of considerable climate variability associated with an intense monsoon in the tropics early in the Holocene, giving way to a weakened monsoon and an increasingly El Nino-dominated ENSO to the present. The influence of ENSO is evident throughout the southeast of Australia, but not the southwest. This climate history provides a template from which to assess the regionality of climate events across Australia and make comparisons beyond our region. Crown Copyright (C) 2013 Published by Elsevier Ltd. All rights reserved.</t>
  </si>
  <si>
    <t>[Reeves, Jessica M.] Univ Ballarat, Ctr Environm Management, Sch Sci Informat Technol &amp; Engn, Ballarat, Vic 3353, Australia; [Barrows, Timothy T.] Univ Exeter, Coll Life &amp; Environm Sci, Exeter EX4 4QJ, Devon, England; [Cohen, Timothy J.] Univ Wollongong, GeoQuEST Res Ctr, Sch Earth &amp; Environm Sci, Wollongong, NSW 2522, Australia; [Kiem, Anthony S.] Univ Newcastle, Sch Environm &amp; Life Sci, Callaghan, NSW 2308, Australia; [Bostock, Helen C.] Natl Inst Water &amp; Atmospher Res, Wellington, New Zealand; [Fitzsimmons, Kathryn E.] Max Planck Inst Evolutionary Anthropol, Dept Human Evolut, Leipzig, Germany; [Jansen, John D.] Stockholm Univ, Dept Phys Geog &amp; Quaternary Geol, Stockholm, Sweden; [Kemp, Justine] Griffith Univ, Australian Rivers Inst, Nathan, Qld 4111, Australia; [Krause, Claire] Australian Natl Univ, Res Sch Earth Sci, Canberra, ACT, Australia; [Petherick, Lynda] Queensland Univ Technol, Sch Earth Environm &amp; Biol Sci, Gardens Point, Qld, Australia; [Phipps, Steven J.] Univ New S Wales, Climate Change Res Ctr, Sydney, NSW, Australia; [Phipps, Steven J.] Univ New S Wales, ARC Ctr Excellence Climate Syst Sci, Sydney, NSW, Australia</t>
  </si>
  <si>
    <t>Federation University Australia; University of Exeter; University of Wollongong; University of Newcastle; National Institute of Water &amp; Atmospheric Research (NIWA) - New Zealand; Max Planck Society; Stockholm University; Griffith University; Australian National University; Queensland University of Technology (QUT); University of New South Wales Sydney; University of New South Wales Sydney; ARC Centre of Excellence for Climate System Science</t>
  </si>
  <si>
    <t>Reeves, JM (corresponding author), Univ Ballarat, Ctr Environm Management, Sch Sci Informat Technol &amp; Engn, Ballarat, Vic 3353, Australia.</t>
  </si>
  <si>
    <t>j.reeves@ballarat.edu.au</t>
  </si>
  <si>
    <t>Fischer, Matt/G-8160-2011; Pedro, Joel Benjamin/L-8918-2019; Mooney, Scott/M-5192-2019; Fujioka, Toshiyuki/AAO-8853-2020; Bostock, Helen/A-6834-2013; Pedro, Joel/M-5632-2014; Fitzsimmons, Kathryn/P-3471-2014; Jansen, John/C-1477-2011; Kiem, Anthony/D-9307-2013; Kemp, Justine/I-7777-2012; Cohen, Tim J/A-7427-2012; Fitzsimmons, Kathryn/U-3565-2018; shulmeister, james/J-2859-2015; Phipps, Steven/B-3135-2008; Barrows, Timothy T/E-8471-2011; Devriendt, Laurent Stephane/B-6513-2012; van der Kaars, Sander/G-2268-2016; McGregor, Helen/I-1479-2013; Dosseto, Anthony/A-2543-2008</t>
  </si>
  <si>
    <t>Fischer, Matt/0000-0002-4052-3549; Pedro, Joel Benjamin/0000-0002-0728-2712; Mooney, Scott/0000-0003-4449-5060; Fujioka, Toshiyuki/0000-0002-5270-788X; Bostock, Helen/0000-0002-8903-8958; Pedro, Joel/0000-0002-0728-2712; Fitzsimmons, Kathryn/0000-0002-9337-0793; Jansen, John/0000-0002-0669-5101; Kiem, Anthony/0000-0002-3994-6958; Fitzsimmons, Kathryn/0000-0002-9337-0793; Cohen, Tim/0000-0003-4081-9523; shulmeister, james/0000-0001-5863-9462; Hesse, Paul/0000-0001-8709-2523; Reeves, Jessica/0000-0003-4996-177X; Phipps, Steven/0000-0001-5657-8782; Purcell, Anthony/0000-0001-5289-3902; Barrows, Timothy T/0000-0003-2614-7177; Griffiths, Michael/0000-0003-4051-7568; Drysdale, Russell/0000-0001-7867-031X; Mackintosh, Andrew/0000-0002-6430-4711; Moss, Patrick/0000-0003-1546-9242; Woodward, Craig/0000-0003-1197-820X; White, Duanne/0000-0003-0740-2072; Devriendt, Laurent Stephane/0000-0001-8232-6132; Haberle, Simon/0000-0001-5802-6535; van der Kaars, Sander/0000-0002-2511-0439; Treble, Pauline/0000-0002-1969-8555; Sloss, Craig/0000-0001-8694-6822; McGregor, Helen/0000-0002-4031-2282; Larsen, Joshua/0000-0002-0650-7369; Tibby, John/0000-0002-5897-2932; Kemp, Justine/0000-0003-0472-6960; Krause, Claire/0000-0002-6794-196X; Dosseto, Anthony/0000-0002-3575-0106; Armand, Leanne/0000-0003-3995-308X; Heijnis, Hendrik/0000-0002-7601-3452</t>
  </si>
  <si>
    <t>PALCOMM [0806]; INQUA; AINSE; Australian Research Council [DP1092945]; PALCOMM project of ANSTO; CcASH project of ANSTO; [DP1095053]; Australian Research Council [DP1095053, DP1092945] Funding Source: Australian Research Council</t>
  </si>
  <si>
    <t>PALCOMM; INQUA; AINSE; Australian Research Council(Australian Research Council); PALCOMM project of ANSTO; CcASH project of ANSTO; ; Australian Research Council(Australian Research Council)</t>
  </si>
  <si>
    <t>The OZ-INTIMATE working group, comprising &gt;50 researchers, is part of Australasian INTIMATE project #0806 of PALCOMM and we acknowledge INQUA's support. We are grateful also for the support of AINSE in hosting and sponsoring 3 workshops which enabled the group to meet to develop both this and the four Australian regional compilations presented in this volume. This paper has been enhanced by the comments of Patrick De Deckker and two anonymous reviewers and we are grateful for their contribution. SJP was supported under the Australian Research Council's Discovery Projects funding scheme (project number DP1092945) and TTB was supported by DP1095053. JMR and TJC received funding (via PALCOMM and the CcASH project of ANSTO) and encouragement from NZ-INTIMATE to re-engage the Australian palaeo-community in this project.</t>
  </si>
  <si>
    <t>10.1016/j.quascirev.2013.01.001</t>
  </si>
  <si>
    <t>WOS:000323188500003</t>
  </si>
  <si>
    <t>Bostock, HC; Barrows, TT; Carter, L; Chase, Z; Cortese, G; Dunbar, GB; Ellwood, M; Hayward, B; Howard, W; Neil, HL; Noble, TL; Mackintosh, A; Moss, PT; Moy, AD; White, D; Williams, MJM; Armand, LK</t>
  </si>
  <si>
    <t>Bostock, H. C.; Barrows, T. T.; Carter, L.; Chase, Z.; Cortese, G.; Dunbar, G. B.; Ellwood, M.; Hayward, B.; Howard, W.; Neil, H. L.; Noble, T. L.; Mackintosh, A.; Moss, P. T.; Moy, A. D.; White, D.; Williams, M. J. M.; Armand, L. K.</t>
  </si>
  <si>
    <t>A review of the Australian-New Zealand sector of the Southern Ocean over the last 30 ka (Aus-INTIMATE project)</t>
  </si>
  <si>
    <t>Southern Ocean; Antarctic Circumpolar Current; STF; SAF; PF; Pacific; LGM; Antarctic Cold Reversal; Holocene; SST; Alkenones; Foraminifera; Diatoms; Mg/Ca; Sea-ice; Opal; Dust; delta O-18; delta C-13; AAIW; LCDW; Antarctic ice-sheets; Glaciers; Moraines; Pollen; New Zealand; Australia; INTIMATE</t>
  </si>
  <si>
    <t>SEA-SURFACE TEMPERATURE; ANTARCTIC ICE-SHEET; GLACIAL-INTERGLACIAL CHANGES; WESTERN-BOUNDARY CURRENT; LATE QUATERNARY PALEOCEANOGRAPHY; SOUTHEASTERN INDIAN-OCEAN; SOUTHWEST PACIFIC-OCEAN; CIRCUMPOLAR DEEP-WATER; PINE ISLAND BAY; SUBTROPICAL FRONT</t>
  </si>
  <si>
    <t>The Australia/New Zealand region of the Southern Ocean is influenced by several of the major global water masses of the oceans and is the prime entry point for cold deep waters into the Pacific basin. During the last glacial there was increased sea-ice extent around Antarctica (as far north as 55 degrees S), as well as increased iceberg presence inferred from ice-rafted debris. Evidence from microfossil assemblages suggests that sea surface temperatures (SST) were up to 7 degrees C cooler, consistent with recent estimates of cooling for New Zealand derived from glacier modelling and other terrestrial proxies. The Subtropical Front (STF), Subantarctic Front (SAF) and Polar Front (PF) had migrated north, except where the position of the fronts were controlled bathymetrically. Despite the potential for iron fertilisation by increased dust input into the ocean during the glacial, there is limited evidence for higher total biological productivity in the Pacific sector of the Southern Ocean. The altered oceanic circulation during the glacial also decreased nutrients in the surface waters and affected the outgassing of CO2. This contributed to an increased storage of CO2 in the deep waters and lowering of the carbonate lysocline. During the deglaciation, sea-ice retreat and SST increased rapidly at similar to 18 ka, roughly synchronous with the reinvigoration of deep water circulation in the Southern Ocean and the release of CO2 stored in the deep waters. The gradient in carbon isotopes (delta C-13(benthic)) between Antarctic Intermediate Water (AAIW) and lower Circumpolar Deep Water (LCDW) was greatest at the start of the deglaciation, suggesting that the AAIW ventilation preceded LCDW ventilation, or there was a significant change in air-sea fractionation of delta C-13. There was a slight enrichment in delta O-18(planktic), decrease in SSTs and a reduction in intermediate and deep water circulation between similar to 14 and 12.5 ka BP during the Antarctic Cold Reversal (ACR), coincident with glacier advances in the New Zealand Southern Alps and other terrestrial records of cooling. Following the ACR, there was a second, more minor, release of deep water CO2, most likely related to reinvigoration of North Atlantic Deep Water (NADW). From 10 ka onwards the modern intermediate and deep water circulation was established. Air temperatures and SSTs reached a maximum in the early Holocene, with the STF located at its most southerly position, and there was a widespread retreat of Antarctic ice sheets to their modern position. A decline to modern SST and air temperatures in the mid to late Holocene followed. While millennial cycles overprinted on the SST and delta(18)Oplanktic records, may be the result of subtle changes in the position and strength of the westerly winds during the Holocene. (C) 2012 Published by Elsevier Ltd.</t>
  </si>
  <si>
    <t>[Bostock, H. C.; Neil, H. L.; Williams, M. J. M.] Natl Inst Water &amp; Atmospher Res, Wellington 6421, New Zealand; [Barrows, T. T.] Univ Exeter, Dept Geog, Exeter EX4 4RJ, Devon, England; [Carter, L.; Dunbar, G. B.; Mackintosh, A.] Victoria Univ, Antarctic Res Ctr, Wellington, New Zealand; [Chase, Z.] Univ Tasmania, Inst Marine &amp; Antarctic Studies, Hobart, Tas 7001, Australia; [Cortese, G.] GNS Sci, Lower Hutt 5040, New Zealand; [Ellwood, M.; Howard, W.] Australian Natl Univ, Res Sch Earth Sci, Canberra, ACT 0200, Australia; [Hayward, B.] Geomarine Res, Auckland, New Zealand; [Noble, T. L.] Univ Tasmania, Sch Earth Sci, Hobart, Tas 7001, Australia; [Moss, P. T.] Univ Queensland, Sch Geog Planning &amp; Environm Management, Brisbane, Qld 4072, Australia; [Moy, A. D.] Australian Antarctic Div, Dept Sustainabil Environm Water Populat &amp; Communi, Kingston, Tas 7050, Australia; [Moy, A. D.] Antarctic Climate &amp; Ecosyst Cooperat Res Ctr, Hobart, Tas 7001, Australia; [White, D.] Univ Canberra, Inst Appl Ecol, Canberra, ACT 2601, Australia; [Armand, L. K.] Macquarie Univ, Dept Biol Sci, N Ryde, NSW 2109, Australia</t>
  </si>
  <si>
    <t>National Institute of Water &amp; Atmospheric Research (NIWA) - New Zealand; University of Exeter; Victoria University Wellington; University of Tasmania; GNS Science - New Zealand; Australian National University; University of Tasmania; University of Queensland; Australian Antarctic Division; Antarctic Climate &amp; Ecosystems Cooperative Research Centre (ACE CRC); University of Canberra; Macquarie University</t>
  </si>
  <si>
    <t>Bostock, HC (corresponding author), Natl Inst Water &amp; Atmospher Res, Private Bag 14-901, Wellington 6421, New Zealand.</t>
  </si>
  <si>
    <t>Helen.Bostock@niwa.co.nz</t>
  </si>
  <si>
    <t>Bostock, Helen/A-6834-2013; Ellwood, Michael J/G-7390-2011; White, Duanne A/E-6919-2012; Moss, Patrick/AFM-9408-2022; Armand, Leanne K/C-9004-2009; HAYWARD, BRUCE W/AAG-2597-2019; Williams, Michael/H-9674-2014; Barrows, Timothy T/E-8471-2011; Chase, Zanna/E-9232-2013</t>
  </si>
  <si>
    <t>Bostock, Helen/0000-0002-8903-8958; White, Duanne/0000-0003-0740-2072; Moss, Patrick/0000-0003-1546-9242; Moy, Andrew/0000-0002-7664-9960; Mackintosh, Andrew/0000-0002-6430-4711; Armand, Leanne/0000-0003-3995-308X; Barrows, Timothy T/0000-0003-2614-7177; Ellwood, Michael/0000-0003-4288-8530; Chase, Zanna/0000-0001-5060-779X; Hayward, Bruce W./0000-0003-1302-7686; Cortese, Giuseppe/0000-0003-1780-3371; Noble, Taryn/0000-0002-5708-751X</t>
  </si>
  <si>
    <t>AINSE; INQUA-PALCOMM; New Zealand Ministry of Science and Innovation</t>
  </si>
  <si>
    <t>The authors would like to thank Aus-INTIMATE and specifically Jessica Reeves for advocating for this review and putting together the special issue. To AINSE who provided funding to support workshops to bring the Aus-INTIMATE community together to initiate the conversations. To INQUA-PALCOMM for their support of the Aus-INTIMATE project. HB was supported by the New Zealand Ministry of Science and Innovation core funding. Special thanks goes to Nick McCave, David Barrell, Brent Alloway and an anonymous reviewer, for their constructive comments which have helped to improve the manuscript.</t>
  </si>
  <si>
    <t>10.1016/j.quascirev.2012.07.018</t>
  </si>
  <si>
    <t>WOS:000323188500004</t>
  </si>
  <si>
    <t>Reeves, JM; Bostock, HC; Ayliffe, LK; Barrows, TT; De Deckker, P; Devriendt, LS; Dunbar, GB; Drysdale, RN; Fitzsimmons, KE; Gagan, MK; Griffiths, ML; Haberle, SG; Jansen, JD; Krause, C; Lewis, S; McGregor, HV; Mooney, SD; Moss, P; Nanson, GC; Purcell, A; van der Kaars, S</t>
  </si>
  <si>
    <t>Reeves, Jessica M.; Bostock, Helen C.; Ayliffe, Linda K.; Barrows, Timothy T.; De Deckker, Patrick; Devriendt, Laurent S.; Dunbar, Gavin B.; Drysdale, Russell N.; Fitzsimmons, Kathryn E.; Gagan, Michael K.; Griffiths, Michael L.; Haberle, Simon G.; Jansen, John D.; Krause, Claire; Lewis, Stephen; McGregor, Helen V.; Mooney, Scott D.; Moss, Patrick; Nanson, Gerald C.; Purcell, Anthony; van der Kaars, Sander</t>
  </si>
  <si>
    <t>Palaeoenvironmental change in tropical Australasia over the last 30,000 years - a synthesis by the OZ-INTIMATE group</t>
  </si>
  <si>
    <t>ITCZ; LGM; INTIMATE; Australasia; Indo-Pacific Warm Pool; Tropics; Australian monsoon</t>
  </si>
  <si>
    <t>SEA-SURFACE TEMPERATURE; GREAT-BARRIER-REEF; PACIFIC WARM POOL; EL-NINO/SOUTHERN-OSCILLATION; EASTERN INDIAN-OCEAN; QUATERNARY VEGETATIONAL HISTORY; WESTERN EQUATORIAL PACIFIC; LATE PLEISTOCENE; POLLEN RECORD; NORTHEASTERN AUSTRALIA</t>
  </si>
  <si>
    <t>The tropics are the major source of heat and moisture for the Australasian region. Determining the tropics' response over time to changes in climate forcing mechanisms, such as summer insolation, and the effects of relative sea level on exposed continental shelves during the Last Glacial period, is an ongoing process of re-evaluation. We present a synthesis of climate proxy data from tropical Australasia spanning the last 30,000 years that incorporates deep sea core, coral, speleothem, pollen, charcoal and terrestrial sedimentary records. Today, seasonal variability is governed largely by the annual migration of the inter-tropical convergence zone (ITCZ), influencing this region most strongly during the austral summer. However, the position of the ITCZ has varied through time. Towards the end of Marine Isotope Stage (MIS) 3, conditions were far wetter throughout the region, becoming drier first in the south. Universally cooler land and sea-surface temperature (SST) were characteristic of the Last Glacial Maximum, with drier conditions than previously, although episodic wet periods are noted in the fluvial records of northern Australia. The deglacial period saw warming first in the Coral Sea and then the Indonesian seas, with a pause in this trend around the time of the Antarctic Cold Reversal (c. 14.5 ka), coincident with the flooding of the Sunda Shelf. Wetter conditions occurred first in Indonesia around 17 ka and northern Australia after 14 ka. The early Holocene saw a peak in marine SST to the northwest and northeast of Australia. Modern vegetation was first established on Indonesia, then progressively south and eastward to NE Australia. Flores and the Atherton Tablelands show a dry period around 11.6 ka, steadily becoming wetter through the early Holocene. The mid-late Holocene was punctuated by millennial-scale variability, associated with the El Nino-Southern Oscillation; this is evident in the marine, coral, speleothem and pollen records of the region. Crown Copyright (C) 2012 Published by Elsevier Ltd. All rights reserved.</t>
  </si>
  <si>
    <t>[Reeves, Jessica M.] Univ Ballarat, Ctr Environm Management, Sch Sci Informat Technol &amp; Engn, Ballarat, Vic 3353, Australia; [Bostock, Helen C.] Natl Inst Water &amp; Atmospher Res, Wellington, New Zealand; [Ayliffe, Linda K.; De Deckker, Patrick; Gagan, Michael K.; Krause, Claire; Purcell, Anthony] Australian Natl Univ, Res Sch Earth Sci, Canberra, ACT, Australia; [Barrows, Timothy T.] Univ Exeter, Coll Life &amp; Environm Sci, Exeter EX4 4QJ, Devon, England; [Devriendt, Laurent S.; McGregor, Helen V.; Nanson, Gerald C.] Univ Wollongong, Sch Earth &amp; Environm Sci, Wollongong, NSW 2522, Australia; [Dunbar, Gavin B.] Victoria Univ Wellington, Antarctic Res Ctr, Wellington, New Zealand; [Drysdale, Russell N.] Univ Melbourne, Dept Resource Management &amp; Geog, Melbourne, Vic 3010, Australia; [Fitzsimmons, Kathryn E.] Max Planck Inst Evolutionary Anthropol, Dept Human Evolut, Leipzig, Germany; [Griffiths, Michael L.] William Patterson Univ, Dept Environm Sci, Wayne, NJ USA; [Haberle, Simon G.] Australian Natl Univ, Sch Culture Hist &amp; Language, Canberra, ACT, Australia; [Jansen, John D.] Stockholm Univ, Dept Phys Geog &amp; Quaternary Geol, S-10691 Stockholm, Sweden; [Lewis, Stephen] James Cook Univ, TropWATER, Catchment Reef Res Grp, Townsville, Qld 4811, Australia; [Mooney, Scott D.] Univ New S Wales, Sch Biol Earth &amp; Environm Sci, Sydney, NSW, Australia; [Moss, Patrick] Univ Queensland, Climate Res Grp, Sch Geog Planning &amp; Environm Management, Brisbane, Qld, Australia; [van der Kaars, Sander] Monash Univ, Dept Geog &amp; Environm Sci, Ctr Palynol &amp; Palaeoecol, Clayton, Vic 3800, Australia; [van der Kaars, Sander] Vrije Univ Amsterdam, Cluster Earth &amp; Climate, Dept Earth Sci, Fac Earth &amp; Life Sci, NL-1081 HV Amsterdam, Netherlands</t>
  </si>
  <si>
    <t>Federation University Australia; National Institute of Water &amp; Atmospheric Research (NIWA) - New Zealand; Australian National University; University of Exeter; University of Wollongong; Victoria University Wellington; University of Melbourne; Melbourne Bioinformatics; Max Planck Society; Australian National University; Stockholm University; James Cook University; University of New South Wales Sydney; University of Queensland; Monash University; Vrije Universiteit Amsterdam</t>
  </si>
  <si>
    <t>Mooney, Scott/M-5192-2019; Bostock, Helen/A-6834-2013; Fitzsimmons, Kathryn/P-3471-2014; Gagan, Michael K/L-5014-2018; Moss, Patrick/AFM-9408-2022; Ayliffe, Linda K/C-3627-2009; Griffiths, Michael L/E-9848-2011; Fitzsimmons, Kathryn/U-3565-2018; Drysdale, Russell/AAH-9376-2019; Jansen, John/C-1477-2011; Haberle, Simon/U-4118-2019; van der Kaars, Sander/G-2268-2016; Lewis, Stephen/P-7205-2016; Devriendt, Laurent Stephane/B-6513-2012; McGregor, Helen/I-1479-2013; Barrows, Timothy T/E-8471-2011</t>
  </si>
  <si>
    <t>Mooney, Scott/0000-0003-4449-5060; Bostock, Helen/0000-0002-8903-8958; Fitzsimmons, Kathryn/0000-0002-9337-0793; Fitzsimmons, Kathryn/0000-0002-9337-0793; Jansen, John/0000-0002-0669-5101; Krause, Claire/0000-0002-6794-196X; Haberle, Simon/0000-0001-5802-6535; Moss, Patrick/0000-0003-1546-9242; van der Kaars, Sander/0000-0002-2511-0439; Reeves, Jessica/0000-0003-4996-177X; Lewis, Stephen/0000-0002-6929-6626; Griffiths, Michael/0000-0003-4051-7568; Devriendt, Laurent Stephane/0000-0001-8232-6132; McGregor, Helen/0000-0002-4031-2282; Purcell, Anthony/0000-0001-5289-3902; Barrows, Timothy T/0000-0003-2614-7177; Drysdale, Russell/0000-0001-7867-031X</t>
  </si>
  <si>
    <t>INQUA; AINSE; INQUA PALCOMM project [0806]</t>
  </si>
  <si>
    <t>INQUA; AINSE; INQUA PALCOMM project</t>
  </si>
  <si>
    <t>The authors gratefully acknowledge the financial support of INQUA and AINSE. This work is a contribution to INQUA PALCOMM project #0806: Australasian-INTIMATE. This manuscript has been substantially improved by the comments of Jamie Shulmeister, Geoff Hope and Brent Alloway.</t>
  </si>
  <si>
    <t>10.1016/j.quascirev.2012.11.027</t>
  </si>
  <si>
    <t>WOS:000323188500007</t>
  </si>
  <si>
    <t>Doughty, AM; Anderson, BM; Mackintosh, AN; Kaplan, MR; Vandergoes, MJ; Barrell, DJA; Denton, GH; Schaefer, JM; Chinn, TJH; Putnam, AE</t>
  </si>
  <si>
    <t>Doughty, Alice M.; Anderson, Brian M.; Mackintosh, Andrew N.; Kaplan, Michael R.; Vandergoes, Marcus J.; Barrell, David J. A.; Denton, George H.; Schaefer, Joerg M.; Chinn, Trevor J. H.; Putnam, Aaron E.</t>
  </si>
  <si>
    <t>Evaluation of Lateglacial temperatures in the Southern Alps of New Zealand based on glacier modelling at Irishman Stream, Ben Ohau Range</t>
  </si>
  <si>
    <t>New Zealand; Southern Alps; Palaeoclimate; Glacier modelling; Lateglacial; Antarctic cold reversal</t>
  </si>
  <si>
    <t>ANTARCTIC COLD REVERSAL; ASYNCHRONOUS CLIMATE-CHANGE; EQUILIBRIUM-LINE ALTITUDES; FRANZ-JOSEF-GLACIER; YOUNGER DRYAS; ENERGY-BALANCE; ATMOSPHERIC CIRCULATION; MASS-BALANCE; VEGETATION; MAXIMUM</t>
  </si>
  <si>
    <t>Climate proxy records from the middle to high latitude Southern Hemisphere indicate that a Lateglacial (15,000-11,500 years ago) climate reversal, approximately coeval with the Antarctic Cold Reversal (ACR), interrupted a warming trend during deglaciation. In New Zealand, some palaeoclimate proxy records indicate a cool episode during the ACR (ca 14,500-12,500 years ago), while others do not express a significant change in climate. Recently published moraine maps and ages present an opportunity to improve the palaeoclimate interpretation through numerical modelling of glaciers. We use a coupled energy-balance and ice-flow model to quantify palaeoclimate from past glacier extent constrained by mapped and dated moraines in the headwaters of Irishman Stream, a high-elevation catchment in the Southern Alps. First, a suite of steady-state model runs is used to identify the temperature and precipitation forcing required to fit the modelled glacier to well-dated Lateglacial moraine crests. Second, time-dependent glacier simulations forced by a nearby proxy temperature record derived from chironomids are used to assess the fit with the glacial geomorphic record. Steady-state experiments using an optimal parameter set demonstrate that the conditions under which the 13,000 year old moraine formed were 2.3-3.2 degrees C colder than present with the range in temperature corresponding to a +/-20% variance in precipitation relative to the present-day. This reconstructed climate change relative to the present-day corresponds to an equilibrium-line altitude of ca 2000 +/- 40 m above sea level (asp, which is ca 400 m lower than present. Time-dependent simulations of glacier length produce ice advance to within 100 m of the 13,000 year old terminal moraine, indicating that the chironomid-based temperature forcing and moraine record provide consistent information about past climate. Our results, together with other climate proxy reconstructions from pollen records and marine sediment cores, support the notion that temperatures during the ACR in New Zealand were similar to 2-3 degrees C cooler than today. (C) 2012 Elsevier Ltd. All rights reserved.</t>
  </si>
  <si>
    <t>[Doughty, Alice M.; Anderson, Brian M.; Mackintosh, Andrew N.] Victoria Univ Wellington, Antarctic Res Ctr, Wellington 6140, New Zealand; [Doughty, Alice M.; Mackintosh, Andrew N.] Victoria Univ Wellington, Sch Geog Environm &amp; Earth Sci, Wellington 6140, New Zealand; [Kaplan, Michael R.; Schaefer, Joerg M.; Putnam, Aaron E.] Lamont Doherty Earth Observ, Palisades, NY 10964 USA; [Vandergoes, Marcus J.] GNS Sci, Lower Hutt 5040, New Zealand; [Barrell, David J. A.] GNS Sci, Dunedin 9016, New Zealand; [Denton, George H.; Putnam, Aaron E.] Univ Maine, Dept Earth Sci, Orono, ME 04469 USA; [Denton, George H.; Putnam, Aaron E.] Univ Maine, Climate Change Inst, Orono, ME 04469 USA</t>
  </si>
  <si>
    <t>Victoria University Wellington; Victoria University Wellington; Columbia University; GNS Science - New Zealand; GNS Science - New Zealand; University of Maine System; University of Maine Orono; University of Maine System; University of Maine Orono</t>
  </si>
  <si>
    <t>Doughty, AM (corresponding author), Victoria Univ Wellington, Antarctic Res Ctr, POB 600, Wellington 6140, New Zealand.</t>
  </si>
  <si>
    <t>alice.doughty@vuw.ac.nz</t>
  </si>
  <si>
    <t>Kaplan, Michael R/D-4720-2011</t>
  </si>
  <si>
    <t>Mackintosh, Andrew/0000-0002-6430-4711; Putnam, Aaron/0000-0002-5358-1473</t>
  </si>
  <si>
    <t>New Zealand Government; Comer Science and Education Foundation; Victoria University of Wellington; Antarctic Research Centre; School of Geography, Environment and Earth Sciences; Science Faculty Research Committee; GNS Science's Direct Crown Funded Programme 'Global Change through Time'; Division Of Earth Sciences; Directorate For Geosciences [0823521] Funding Source: National Science Foundation</t>
  </si>
  <si>
    <t>New Zealand Government; Comer Science and Education Foundation; Victoria University of Wellington; Antarctic Research Centre; School of Geography, Environment and Earth Sciences; Science Faculty Research Committee; GNS Science's Direct Crown Funded Programme 'Global Change through Time'; Division Of Earth Sciences; Directorate For Geosciences(National Science Foundation (NSF)NSF - Directorate for Geosciences (GEO))</t>
  </si>
  <si>
    <t>Funding was provided by the New Zealand Government under a New Zealand International Research Doctoral Scholarship, by the Comer Science and Education Foundation and by Victoria University of Wellington, including the Antarctic Research Centre, the School of Geography, Environment and Earth Sciences, and the Science Faculty Research Committee. M. Vandergoes and D. Barrell were supported by GNS Science's Direct Crown Funded Programme 'Global Change through Time'. We thank S. Stuart for providing his Southern Alps precipitation surface and R. Dadic, N. Golledge, H. Horgan, and K. Sattler for helpful discussions during the preparation of this paper. We also appreciate the helpful comments from M. Plummer and an anonymous reviewer. This publication is LDEO contribution number 7618.</t>
  </si>
  <si>
    <t>10.1016/j.quascirev.2012.09.013</t>
  </si>
  <si>
    <t>WOS:000323188500010</t>
  </si>
  <si>
    <t>Lowe, DJ; Blaauw, M; Hogg, AG; Newnham, RM</t>
  </si>
  <si>
    <t>Lowe, David J.; Blaauw, Maarten; Hogg, Alan G.; Newnham, Rewi M.</t>
  </si>
  <si>
    <t>Ages of 24 widespread tephras erupted since 30,000 years ago in New Zealand, with re-evaluation of the timing and palaeoclimatic implications of the Lateglacial cool episode recorded at Kaipo bog</t>
  </si>
  <si>
    <t>Tephras; Tephrochronology; Tephrostratigraphy; Isochron; Age modelling; Bayesian; Bacon; OxCal; Radiocarbon; NZ-INTIMATE; Lateglacial cool episode; Lateglacial reversal; Climate events; Termination 1; Kaipo bog; ACR; GS-1; YD; NZ-CES; NZce-3; Marine reservoir; Palaeoenvironmental reconstruction; Volcanic eruptions; New Zealand; Patagonia</t>
  </si>
  <si>
    <t>LAST GLACIAL MAXIMUM; OKATAINA-VOLCANIC-CENTER; LATE QUATERNARY TEPHRAS; NORTHERN NEW-ZEALAND; LAGUNA POTROK AIKE; ANTARCTIC COLD REVERSAL; MONTANE PEAT BOG; SOUTHERN-HEMISPHERE; LATE PLEISTOCENE; YOUNGER-DRYAS</t>
  </si>
  <si>
    <t>Tephras are important for the NZ-INTIMATE project because they link all three records comprising the composite inter-regional stratotype developed for the New Zealand climate event stratigraphy (NZ-CES). Here we firstly report new calendar ages for 24 widespread marker tephras erupted since 30,000 calendar (cal.) years ago in New Zealand to help facilitate their use as chronostratigraphic dating tools for the NZ-CES and for other palaeoenvironmental and geological applications. The selected tephras comprise 12 rhyolitic tephras from Taupo, nine rhyolitic tephras from Okataina, one peralkaline rhyolitic tephra from Tuhua, and one andesitic tephra each from Tongariro and Egmont/Taranaki volcanic centres. Age models for the tephras were obtained using three methods: (i) C-14-based wiggle-match dating of wood from trees killed by volcanic eruptions (these dates published previously); (ii) flexible depositional modelling of a high-resolution C-14-dated age depth sequence at Kaipo bog using two Bayesian-based modelling programs, Bacon and OxCal's P_Sequence function, and the IntCal09 data set (with SH offset correction -44 +/- 17 yr); and (iii) calibration of C-14 ages using OxCal's Tau_Boundary function and the SHCal04 and IntCal09 data sets. Our preferred dates or calibrated ages for the 24 tephras are as follows (youngest to oldest, all mid-point or mean ages of 95% probability ranges): Kaharoa AD 1314 +/- 12; Taupo (Unit Y) AD 232 +/- 10; Mapara (Unit X) 2059 +/- 118 cal. yr BP; Whakaipo (Unit V) 2800 +/- 60 cal. yr BP; Waimihia (Unit S) 3401 +/- 108 cal. yr BP; Stent (Unit Q) 4322 +/- 112 cal. yr BP; Unit K 5111 +/- 210 cal. yr BP; Whakatane 5526 +/- 145 cal. yr BP; Tuhua 6577 +/- 547 cal. yr BP; Mamaku 7940 +/- 257 cal. yr BP; Rotoma 9423 +/- 120 cal. yr BP; Opepe (Unit E) 9991 +/- 160 cal. yr BP; Poronui (Unit C) 11,170 +/- 115 cal. yr BP; Karapiti (Unit B) 11,460 172 cal. yr BP; Okupata 11,767 192 cal. yr BP; Konini (bed b) 11,880 +/- 183 cal. yr BP; Waiohau 14,009 +/- 155 cal. yr BP; Rotorua 15,635 +/- 412 cal. yr BP; Rerewhakaaitu 17,496 +/- 462 cal. yr BP; Okareka 21,858 +/- 290 cal. yr BP; Te Rere 25,171 +/- 964 cal. yr BP; Kawakawa/Oruanui 25,358 +/- 162 cal. yr BP; Poihipi 28,446 +/- 670 cal. yr BP; and Okaia 28,621 +/- 1428 cal. yr BP. Secondly, we have re-dated the start and end of the Lateglacial cool episode (climate event NZce-3 in the NZ-CES), previously referred to as the Lateglacial climate reversal, as defined at Kaipo bog in eastern North Island, New Zealand, using both Bacon and OxCal P Sequence modelling with the IntCal09 data set. The ca 1200-yr-long cool episode, indicated by a lithostratigraphic change in the Kaipo peat sequence to grey mud with lowered carbon content, and a high-resolution pollen-derived cooling signal, began 13,739 +/- 125 cal. yr BP and ended 12,550 +/- 140 cal. yr BP (mid-point ages of the 95% highest posterior density regions, Bacon modelling). The OxCal modelling, generating almost identical ages, confirmed these ages. The Lateglacial cool episode (ca 13.8-12.6 cal. ka BP) thus overlaps a large part of the entire Antarctic Cold Reversal chronozone (ca 14.1-12.4 cal. lea BP or ca 14.6-12.8 cal. lea BP), and an early part of the Greenland Stadial-1 (Younger Dryas) chronozone (ca 12.9-11.7 cal. ka BP). The timing of the Lateglacial cool episode at Kaipo is broadly consistent with the latitudinal patterns in the Antarctic Cold Reversal signal suggested for the New Zealand archipelago from marine and terrestrial records, and with records from southern South America. (C) 2012 Elsevier Ltd. All rights reserved.</t>
  </si>
  <si>
    <t>[Lowe, David J.] Univ Waikato, Dept Earth &amp; Ocean Sci, Hamilton 3240, New Zealand; [Blaauw, Maarten] Queens Univ Belfast, Sch Geog Archaeol &amp; Palaeoecol, Belfast BT7 1NN, Antrim, North Ireland; [Hogg, Alan G.] Univ Waikato, Radiocarbon Dating Lab, Hamilton 3240, New Zealand; [Newnham, Rewi M.] Victoria Univ Wellington, Sch Geog Environm &amp; Earth Sci, Wellington 6140, New Zealand</t>
  </si>
  <si>
    <t>University of Waikato; Queens University Belfast; University of Waikato; Victoria University Wellington</t>
  </si>
  <si>
    <t>Lowe, DJ (corresponding author), Univ Waikato, Dept Earth &amp; Ocean Sci, Private Bag 3105, Hamilton 3240, New Zealand.</t>
  </si>
  <si>
    <t>d.lowe@waikato.ac.nz</t>
  </si>
  <si>
    <t>Hogg, Alan G/M-8427-2014; Lowe, David James/G-2654-2013; Blaauw, Maarten/E-4539-2011</t>
  </si>
  <si>
    <t>Lowe, David James/0000-0002-2547-6019; Blaauw, Maarten/0000-0002-5680-1515</t>
  </si>
  <si>
    <t>SACCOM Project [0907]; PALCOMM Project [0806]</t>
  </si>
  <si>
    <t>SACCOM Project; PALCOMM Project</t>
  </si>
  <si>
    <t>We acknowledge the leading roles of Brent Alloway and Jamie Shulmeister who, together with Rewi Newnham, initiated and developed the NZ-INTIMATE project, and those of Marcus Vandergoes, Peter Almond, David Barrell, Lionel Carter, Andrew Lorrey, Paul Williams, and others, in helping its continuation. We are most grateful to reviewers Simon Blockley and Andrew Hammond, and especially David Barrell, whose comments improved the paper markedly. We thank Chris Bronk Ramsey, Chris Ward, Vince Neall, Colin Wilson, and Kerri Lanigan for helpful advice or information, and David Palmer for providing climate data for Kaipo bog. Roland Gehrels, Teresa Giles, Chris Ward (who also provided Fig. 2), and Jonathan Palmer, are thanked for help with field work at Kaipo. Roger Sparks, Christine Prior, and Ian Nairn assisted with details relating to 14C ages, Glenn Wigley and Geoff Kilgour allowed us to cite unpublished 14C ages, and Irka Hajdas earlier provided great support in dating Kaipo peats using AMS and insight into OxCal. Rod Wallace identified the tree species represented by sample Wk20724, and Max Oulton prepared five of the figures (Figs. 1, 3, and 8-10). We are grateful to the issue editors, particularly Brent Alloway and Jessica Reeves, for their encouragement and patience, and also to Debbie Barrett (journal manager, Elsevier) for her support during production. INQUA is acknowledged and thanked for the financial support of SACCOM Project 0907 (INTREPID Tephra) Enhancing tephrochronology as a global research tool through improved fingerprinting and correlation techniques and uncertainty modelling, an initiative of the International Focus Group on Tephrochronology and Volcanism (INTAV), and of PALCOMM Project 0806 (Australasian-INTIMATE Phase II). This paper is an output of both the INTREPID and Australasian/NZ-INTIMATE projects. It is also an output of the SUPRAnet project (Studying uncertainty in palaeoenvironmental reconstruction - a net) led by Caitlin Buck whose expertise with Bayesian analysis helped inspire our work. We leave the last word to Francis Bacon (1561-1626) from his discussion about errors: So it is in contemplation; if a man will begin with certainties, he shall end in doubts; but if he will be content to begin with doubts, he shall end in certainties. (Quoted from Spedding et al., 1859, p. 293.)</t>
  </si>
  <si>
    <t>10.1016/j.quascirev.2012.11.022</t>
  </si>
  <si>
    <t>WOS:000323188500011</t>
  </si>
  <si>
    <t>Canard, SL; Newnham, RM; Vandergoes, MJ; Alloway, BV; Smith, C</t>
  </si>
  <si>
    <t>Canard, S. Louise; Newnham, Rewi M.; Vandergoes, Marcus J.; Alloway, Brent V.; Smith, Carol</t>
  </si>
  <si>
    <t>The vegetation and climate during the Last Glacial Cold Period, northern South Island, New Zealand</t>
  </si>
  <si>
    <t>Palaeoenvironmental change; Pollen; Beetles; New Zealand; Last Glacial Cold Period (LGCP); Glacial refugia</t>
  </si>
  <si>
    <t>SEA-LEVEL CHANGE; PALEOENVIRONMENTAL RECONSTRUCTION; PHYTOLITH ANALYSIS; POLLEN RECORD; MAXIMUM; TEPHRA; INSIGHTS; WESTLAND; VALLEY; AGE</t>
  </si>
  <si>
    <t>Pollen assemblages from Howard Valley, South Island, New Zealand, were used to reconstruct the palaeovegetation and infer past climate during the period ca 38-21 cal. ka, which encompasses the Marine Isotope Stage (MIS) 3/2 transition and Last Glacial Cold Period (LGCP). A glacier occupied the upper Howard Valley during the Last Glacial, whilst extensive glaciofluvial outwash surfaces were constructed in the lower valley. Episodic periods of fluvial aggradation and incision have produced a complex sequence of terraces flanking the main Howard River and its tributaries. Sedimentary sequences from three exposed valley fills, sampled for palynological analysis and radiocarbon dating, consist of a complex vertical and lateral arrangement of coarse textured cobbly sandy gravels interbedded with organic-rich silt deposits. Palynology of these organic-rich horizons was directly compared to an existing beetle record from these same horizons. During late MIS 3 the site was dominated by marshy shrubland vegetation interspersed with mixed beech forest, indicating temperatures similar to 2-3 degrees C cooler than present. Climate cooling began as early as 35.7 cal. ka and coincides with evidence of cooling from other sites in New Zealand, South America and with an Antarctic cooling signature. A three phase vegetation and inferred climate pattern occurs at the site during the LGCP beginning with a transition to an alpine/sub-alpine grassland comparable to communities growing near treeline today marking the change to glacial conditions before 31 cal. ka. A small increase in tree abundance between ca 25.8 and 22.7 cal. ka suggests minor climate amelioration during the mid-LGCP. During this phase, a possible volcanically induced vegetation disruption caused by the deposition of the Kawakawa Tephra at 25 cal. ka is evident in the pollen record. This is followed by a further decline in tree pollen and increase in alpine grassland and herb pollen indicating further deterioration of conditions and a period of maximum cooling (similar to 4.5 degrees C) ca 22.5-20.9 cal. ka. This corresponds with the timing of greatest ice advance based on the geomorphic evidence in the region. Contrary to previous studies in New Zealand, the pollen and beetle records are in close agreement. Both indicate the site was forested during late MIS 3, with progressive reduction of trees during the LGCP. The consistent presence of beech pollen nevertheless confirms small refugia of trees persisted in the region. (C) 2013 Elsevier Ltd. All rights reserved.</t>
  </si>
  <si>
    <t>[Canard, S. Louise; Newnham, Rewi M.; Alloway, Brent V.] Victoria Univ Wellington, Sch Geog Environm &amp; Earth Sci, Wellington, New Zealand; [Vandergoes, Marcus J.] GNS Sci, Lower Hutt, New Zealand; [Smith, Carol] Lincoln Univ, Fac Agr &amp; Life Sci, Canterbury, New Zealand</t>
  </si>
  <si>
    <t>Victoria University Wellington; GNS Science - New Zealand; Lincoln University - New Zealand</t>
  </si>
  <si>
    <t>Canard, SL (corresponding author), Victoria Univ Wellington, Sch Geog Environm &amp; Earth Sci, Wellington, New Zealand.</t>
  </si>
  <si>
    <t>callardsl1@gmail.com</t>
  </si>
  <si>
    <t>smith, carol m s/F-3398-2018</t>
  </si>
  <si>
    <t>smith, carol m s/0000-0002-6810-3546</t>
  </si>
  <si>
    <t>Victoria University of Wellington</t>
  </si>
  <si>
    <t>We thank Maureen Marra who showed us the site and provided important sampling advice. We are grateful to Christopher Bronk Ramsey for his advice with the radiocarbon calibration and outlier models, Aidan Allan for microprobing the Kawakawa Tephra and Sam Kelly and Matt Ryan for their help with sample collection. We also like to thank Peter Almond and an anonymous reviewer for useful comments and improvements to the manuscript. This work was completed under a Victoria University of Wellington PhD scholarship to Callard.</t>
  </si>
  <si>
    <t>10.1016/j.quascirev.2012.12.007</t>
  </si>
  <si>
    <t>WOS:000323188500015</t>
  </si>
  <si>
    <t>Salvatore, MR; Mustard, JF; Head, JW; Cooper, RF; Marchant, DR; Wyatt, MB</t>
  </si>
  <si>
    <t>Salvatore, M. R.; Mustard, J. F.; Head, J. W.; Cooper, R. F.; Marchant, D. R.; Wyatt, M. B.</t>
  </si>
  <si>
    <t>Development of alteration rinds by oxidative weathering processes in Beacon Valley, Antarctica, and implications for Mars</t>
  </si>
  <si>
    <t>SOUTHERN VICTORIA LAND; THERMAL EMISSION-SPECTROSCOPY; MIOCENE GLACIER ICE; MCMURDO DRY VALLEYS; SPECTRAL EVIDENCE; MARTIAN SURFACE; GUSEV CRATER; REFLECTANCE SPECTROSCOPY; QUANTITATIVE-ANALYSIS; DYNAMIC OXIDATION</t>
  </si>
  <si>
    <t>Alteration of fresh rock surfaces proceeds very rapidly in most terrestrial environments so that initial stages of modification of newly exposed surfaces are quickly masked by subsequent aqueous weathering processes. The hyper-arid and hypothermal environment of Beacon Valley, Antarctica, is limited in terms of available liquid water and energy available for alteration, which severely slows weathering processes so that the initial stages of alteration can be studied in detail. We report on the nature of initial chemical alteration of the Ferrar Dolerite in Beacon Valley, Antarctica, using a multiplicity of approaches to characterize the process. We suggest that initial chemical alteration is primarily driven by cation migration in response to the oxidizing environment. Morphological studies of altered rock surfaces reveal evidence of small-scale leaching and dissolution patterns as well as physical erosion due to surface weakening. Within the alteration front, mineral structures are largely preserved and alteration is only indicated by discrete zones of discoloration. Mineralogical investigations expose the complexity of the alteration process; visible/ near-infrared reflectance and mid-infrared emission spectroscopy reveal significant variations in mineralogical contributions that are consistent with the introduction of oxide and amorphous phases at the surfaces of the rocks, while X-ray diffraction analyses reveal no definitive changes in mineralogy or material properties. Chemical analyses reveal large-scale trends that are consistent with cation migration and leaching, while small-scale electron microprobe analyses indicate that chemical variations associated with magmatic processes are still largely preserved within the alteration rind. This work confirms the incomplete and immature chemical alteration processes at work in the McMurdo Dry Valleys. Liquid water is not a significant contributor to the alteration process at this early stage of rind development, but assists in the removal of alteration products and their local accumulation in the surrounding sediments. These results also suggest that the McMurdo Dry Valleys (and Beacon Valley, in particular) are relevant terrestrial analogs to hyper-arid and hypo-thermal alteration processes that may be dominant on the martian surface. (C) 2013 Elsevier Ltd. All rights reserved.</t>
  </si>
  <si>
    <t>[Salvatore, M. R.; Mustard, J. F.; Head, J. W.; Cooper, R. F.; Wyatt, M. B.] Brown Univ, Dept Geol Sci, Providence, RI 02912 USA; [Marchant, D. R.] Boston Univ, Dept Earth Sci, Boston, MA 02215 USA</t>
  </si>
  <si>
    <t>Brown University; Boston University</t>
  </si>
  <si>
    <t>Salvatore, MR (corresponding author), Brown Univ, Dept Geol Sci, 324 Brook St,Box 1846, Providence, RI 02912 USA.</t>
  </si>
  <si>
    <t>Mark_Salvatore@brown.edu</t>
  </si>
  <si>
    <t>National Science Foundation [ANT- 0739702]; United States Antarctic Program; Raytheon Polar Services Company; PHI Inc.; Cherie Achilles; Nilanjan Chatterjee; Electron Microprobe Facility at the Massachusetts Institute of Technology; Vibrational Spectroscopy Laboratory at Stony Brook University; Takahiro Hiroi; Brown University RELAB Facility; School of Engineering at Brown University</t>
  </si>
  <si>
    <t>National Science Foundation(National Science Foundation (NSF)); United States Antarctic Program; Raytheon Polar Services Company; PHI Inc.; Cherie Achilles; Nilanjan Chatterjee; Electron Microprobe Facility at the Massachusetts Institute of Technology; Vibrational Spectroscopy Laboratory at Stony Brook University; Takahiro Hiroi; Brown University RELAB Facility; School of Engineering at Brown University</t>
  </si>
  <si>
    <t>This work was supported by the National Science Foundation (ANT- 0739702). The authors would like to thank several people and institutions for their support and assistance with data collection, analyses, and interpretations: The National Science Foundation, the United States Antarctic Program, Raytheon Polar Services Company, the staff of McMurdo Station, PHI Inc., Cherie Achilles, Nilanjan Chatterjee and the Electron Microprobe Facility at the Massachusetts Institute of Technology, M. Darby Dyar, Timothy Glotch and the Vibrational Spectroscopy Laboratory at Stony Brook University, Takahiro Hiroi and the Brown University RELAB Facility, Colin Jackson, the LacCore Facility at the University of Minnesota, Anthony McCormick, Douglas Ming, Richard Morris, David Murray, Joseph Orchardo, Stephen Parman, A. Deanne Rogers, Alberto Saal, and Paul Waltz and the School of Engineering at Brown University. We are also extremely grateful for the helpful reviews from Steve Ruff, Penelope King, and an anonymous reviewer.</t>
  </si>
  <si>
    <t>10.1016/j.gca.2013.04.002</t>
  </si>
  <si>
    <t>152CP</t>
  </si>
  <si>
    <t>WOS:000319507900009</t>
  </si>
  <si>
    <t>Brook, GA; Mancini, MV; Franco, NV; Bamonte, F; Ambrústolo, P</t>
  </si>
  <si>
    <t>Brook, George A.; Virginia Mancini, M.; Franco, Nora V.; Bamonte, Florencia; Ambrustolo, Pablo</t>
  </si>
  <si>
    <t>An examination of possible relationships between paleoenvironmental conditions during the Pleistocene-Holocene transition and human occupation of southern Patagonia (Argentina) east of the Andes, between 46° and 52° S</t>
  </si>
  <si>
    <t>SANTA-CRUZ PROVINCE; YOUNGER DRYAS; CLIMATE-CHANGE; HEMISPHERE WESTERLIES; LAGO-ARGENTINO; AMERICA; RECORD; VEGETATION; CALIBRATION; CARDIEL</t>
  </si>
  <si>
    <t>Spatial and temporal variations in evidence for human occupation of Argentinian south Patagonia closely resemble changes in past vegetation reconstructed from pollen records. The Antarctic Cold Reversal was cold and dry in the Deseado Massif and there is little evidence of humans at this time. In contrast, the Younger Dryas interval was warmer and slightly wetter and this was when humans moved into the Deseado area. Increasing temperatures during the early Holocene brought higher precipitation to much of Patagonia east of the Andes except the northern Deseado Massif, explaining the increase in evidence of human occupation in western areas and the decrease in evidence in the massif. Spatial and temporal variations in the frequency of radiocarbon dates indicating human presence, show that in southern Patagonia humans were not only influenced by the major climate shifts of the Pleistocene Holocene transition but possibly also by distinct short-term changes lasting only a few to several centuries that are apparent in the high-resolution Antarctic Byrd ice core. Water availability may have had the greatest influence on human use of the landscape rather than temperature. However, as temperature is crucial in controlling the latitude of the core of the Southern Westerly Winds, associated with reduced precipitation over most of eastern Patagonia, it is difficult to separate water from temperature in examining impacts on the first humans in southernmost South America. (C) 2012 Elsevier Ltd and INQUA. All rights reserved.</t>
  </si>
  <si>
    <t>[Brook, George A.] Univ Georgia, Dept Geog, Athens, GA 30602 USA; [Virginia Mancini, M.; Bamonte, Florencia] Univ Mar del Plata, CONICET, IIMYC, Lab Paleoecol &amp; Palinol, RA-7600 Mar Del Plata, Argentina; [Franco, Nora V.] Univ Buenos Aires, CONICET, IMHICIHU, RA-1083 Buenos Aires, DF, Argentina; [Ambrustolo, Pablo] Natl Univ La Plata, Fac Ciencias Nat &amp; Museo, CONICET, RA-1900 La Plata, Buenos Aires, Argentina</t>
  </si>
  <si>
    <t>University System of Georgia; University of Georgia; Consejo Nacional de Investigaciones Cientificas y Tecnicas (CONICET); National University of Mar del Plata; University of Buenos Aires; Consejo Nacional de Investigaciones Cientificas y Tecnicas (CONICET); National University of La Plata; Museo La Plata; Consejo Nacional de Investigaciones Cientificas y Tecnicas (CONICET)</t>
  </si>
  <si>
    <t>Brook, GA (corresponding author), Univ Georgia, Dept Geog, Athens, GA 30602 USA.</t>
  </si>
  <si>
    <t>gabrook@uga.edu; mvmancin@mpd.edu.ar; nvfranco2008@gmail.com; bamonte@mdp.edu.ar; pambrustolo@hotmail.com</t>
  </si>
  <si>
    <t>CONICET [PIP 356]; University of Buenos Aires [UBACyT W1/0404]; University of Mar del Plata [EXA 510/10]; Franklin College; Research Foundation of the University of Georgia</t>
  </si>
  <si>
    <t>CONICET(Consejo Nacional de Investigaciones Cientificas y Tecnicas (CONICET)); University of Buenos Aires(University of Buenos Aires); University of Mar del Plata; Franklin College; Research Foundation of the University of Georgia</t>
  </si>
  <si>
    <t>Research was funded by projects PIP 356 (CONICET), UBACyT W1/0404 (University of Buenos Aires), EXA 510/10 University of Mar del Plata, and by the Franklin College, and Research Foundation of the University of Georgia. The Triton S.A. Mining Company, the University of Arizona Radiocarbon Dating Laboratory, and the University of Georgia AMS Radiocarbon Laboratory provided support for AMS radiocarbon ages. We wish to thank Direccion de Cultura, Gobernador Gregores, El Calafate, Comandante Luis Piedra Buena, Puerto Santa Cruz, Dra. A. Aguerre, Dr. T. Jull and Mag. C. Baetti. We also thank Drs L. Borrero and F. Martin for their invitation to the symposium where the first version of this paper was presented.</t>
  </si>
  <si>
    <t>AUG 14</t>
  </si>
  <si>
    <t>10.1016/j.quaint.2012.11.005</t>
  </si>
  <si>
    <t>205UN</t>
  </si>
  <si>
    <t>WOS:000323470400012</t>
  </si>
  <si>
    <t>Boretto, GM; Gordillo, S; Cioccale, M; Colombo, F; Fucks, E</t>
  </si>
  <si>
    <t>Boretto, G. M.; Gordillo, S.; Cioccale, M.; Colombo, F.; Fucks, E.</t>
  </si>
  <si>
    <t>Multi-proxy evidence of Late Quaternary environmental changes in the coastal area of Puerto Lobos (northern Patagonia, Argentina)</t>
  </si>
  <si>
    <t>TIERRA-DEL-FUEGO; BEACH RIDGE SYSTEMS; SEA-LEVEL CHANGES; SAN MATIAS GULF; MARINE TERRACES; ATLANTIC COAST; CLIMATIC FLUCTUATIONS; YOUNGER DRYAS; LATE HOLOCENE; RIO NEGRO</t>
  </si>
  <si>
    <t>A multidisciplinary approach involving geomorphology, taxa composition of mollusks and taphonomy performed on bivalve shells, linked to mineralogical and microstructural analyses, provide evidence of Late Quaternary environmental changes in the coastal area of Puerto Lobos, in northern Patagonia. Digital elevation models (DEMs) showed a beach ridge system developed parallel to the coast, indicating sea level variations during MIS1, MIS5e, and earlier in the Pleistocene. These ridges can be correlated with other marine ridges along the Patagonian coast, showing a similar geomorphological pattern and similar temporal evolution. In relation to faunal composition, when comparing the Pleistocene with the Holocene, the most relevant differences are the presence of Tegula atra and Mactra patagonica in the Pleistocene sediments and a diversification of taxa in the Holocene. During the late Holocene, the coastal area of Puerto Lobos also recorded a faunal shift in which species belonging to the Magellan Province displaced the fauna of the Argentinean Province to the north, probably in coincidence with the Little Ice Age (LIA). Taphonomic analysis on Glycymeris longior and Venus anti qua shells, two common taxa in these beach ridges, indicate greater energy in the depositional environment correlated with the youngest Holocene beach ridge. These shells exhibited taphonomic differences between them in relation to fracturing, explained on the basis of higher elasticity in the G. longior shell than in V. antiqua shell, because of its crossed lamellar microstructure. (C) 2013 Elsevier Ltd and INQUA. All rights reserved.</t>
  </si>
  <si>
    <t>[Boretto, G. M.; Gordillo, S.; Colombo, F.] CONICET UNC, CICTERRA, Consejo Nacl Invest Cient &amp; Tecn, Ctr Invest Ciencias Tierra, Cordoba, Argentina; [Cioccale, M.] Univ Nacl Cordoba, Fac Ciencias Exactas Fis &amp; Nat, RA-5000 Cordoba, Argentina; [Fucks, E.] Univ Nacl La Plata, Fac Ciencias Nat &amp; Museo, RA-1900 La Plata, Buenos Aires, Argentina</t>
  </si>
  <si>
    <t>Consejo Nacional de Investigaciones Cientificas y Tecnicas (CONICET); National University of Cordoba; National University of Cordoba; National University of La Plata; Museo La Plata</t>
  </si>
  <si>
    <t>Boretto, GM (corresponding author), CONICET UNC, CICTERRA, Consejo Nacl Invest Cient &amp; Tecn, Ctr Invest Ciencias Tierra, Av Velez Sarsfield 1611,X5016GCA, Cordoba, Argentina.</t>
  </si>
  <si>
    <t>gmboretto@yahoo.com.ar</t>
  </si>
  <si>
    <t>Colombo, Fernando/ABB-7173-2020</t>
  </si>
  <si>
    <t>Gordillo, Sandra/0000-0002-3937-4865</t>
  </si>
  <si>
    <t>National Research Council, CONICET</t>
  </si>
  <si>
    <t>National Research Council, CONICET(Consejo Nacional de Investigaciones Cientificas y Tecnicas (CONICET))</t>
  </si>
  <si>
    <t>The authors wish to thank Melisa Charo (University of La Plata) for her collaboration in fieldwork and Santiago Druetta (CICTERRA, CONICET-UNC) for his suggestions and collaboration; Jorge Strelin (University of Cordoba, Argentine Antarctic Institute) for comments on the Calibrated Ages section; Raul Carbonio for granting access to the University of Cordoba's diffractometer; anonymous reviewers for their constructive comments and useful suggestions; Aaron Swartz, a strong defender of open access academic journals, who died in the fight for make them freely available to the public. This study is a contribution to Gabriella M. Boretto's Ph.D project, and is supported by a fellowship obtained from the National Research Council, CONICET.</t>
  </si>
  <si>
    <t>10.1016/j.quaint.2013.02.017</t>
  </si>
  <si>
    <t>WOS:000323470400018</t>
  </si>
  <si>
    <t>Yang, SH; Wojnar, JM; Harris, PWR; DeVries, AL; Evans, CW; Brimble, MA</t>
  </si>
  <si>
    <t>Yang, Sung-Hyun; Wojnar, Joanna M.; Harris, Paul W. R.; DeVries, Arthur L.; Evans, Clive W.; Brimble, Margaret A.</t>
  </si>
  <si>
    <t>Chemical synthesis of a masked analogue of the fish antifreeze potentiating protein (AFPP)</t>
  </si>
  <si>
    <t>ORGANIC &amp; BIOMOLECULAR CHEMISTRY</t>
  </si>
  <si>
    <t>PHASE PEPTIDE-SYNTHESIS; METHIONINE SULFOXIDE; LIGATION; REDUCTION; CYSTEINE; GLYCOPROTEINS; RESIDUES; SCOPE</t>
  </si>
  <si>
    <t>A recently identified Antarctic fish protein termed antifreeze potentiating protein (AFPP) is thought to act as an adjunct to the previously characterised antifreeze glycoproteins (AFGPs), the two acting together to inhibit ice crystal growth in vivo. Elucidating the functional properties of the new AFPP requires access to large amounts of pure product, but the paucity of natural material necessitates alternative approaches. We therefore embarked on the total chemical synthesis of the AFPP, through a convergent ligation strategy. After many challenges, mostly due to the solubility issues of the peptide fragments, and several revisions of the original synthetic strategy, we have successfully synthesized a masked analogue of AFPP. The key to the successful synthesis was the use of a solubilising tag attached through a hydrolysable linker.</t>
  </si>
  <si>
    <t>[Yang, Sung-Hyun; Wojnar, Joanna M.; Harris, Paul W. R.; Brimble, Margaret A.] Univ Auckland, Sch Chem Sci, Auckland 1142, New Zealand; [Harris, Paul W. R.; Brimble, Margaret A.] Univ Auckland, Sch Biol Sci, Maurice Wilkins Ctr Mol Biodiscovery, Auckland 1142, New Zealand; [DeVries, Arthur L.] Univ Illinois, Dept Anim Biol, Urbana, IL 61801 USA; [Evans, Clive W.] Univ Auckland, Sch Biol Sci, Auckland 1142, New Zealand</t>
  </si>
  <si>
    <t>University of Auckland; University of Auckland; University of Illinois System; University of Illinois Urbana-Champaign; University of Auckland</t>
  </si>
  <si>
    <t>Brimble, MA (corresponding author), Univ Auckland, Sch Chem Sci, 23 Symonds St, Auckland 1142, New Zealand.</t>
  </si>
  <si>
    <t>m.brimble@auckland.ac.nz</t>
  </si>
  <si>
    <t>Evans, Clive/AAZ-4699-2021</t>
  </si>
  <si>
    <t>Brimble, Margaret/0000-0002-7086-4096; Dowle, Joanna/0000-0002-7319-565X; Evans, Clive/0000-0003-2888-842X</t>
  </si>
  <si>
    <t>Human Frontier Science Programme [RGP003/2009-C]</t>
  </si>
  <si>
    <t>Human Frontier Science Programme(Human Frontier Science Program)</t>
  </si>
  <si>
    <t>This research was supported by the Human Frontier Science Programme (grant RGP003/2009-C).</t>
  </si>
  <si>
    <t>1477-0520</t>
  </si>
  <si>
    <t>1477-0539</t>
  </si>
  <si>
    <t>ORG BIOMOL CHEM</t>
  </si>
  <si>
    <t>Org. Biomol. Chem.</t>
  </si>
  <si>
    <t>10.1039/c3ob41066h</t>
  </si>
  <si>
    <t>Chemistry, Organic</t>
  </si>
  <si>
    <t>193IV</t>
  </si>
  <si>
    <t>WOS:000322554400005</t>
  </si>
  <si>
    <t>Samaran, F; Stafford, KM; Branch, TA; Gedamke, J; Royer, JY; Dziak, RP; Guinet, C</t>
  </si>
  <si>
    <t>Samaran, Flore; Stafford, Kathleen M.; Branch, Trevor A.; Gedamke, Jason; Royer, Jean-Yves; Dziak, Robert P.; Guinet, Christophe</t>
  </si>
  <si>
    <t>Seasonal and Geographic Variation of Southern Blue Whale Subspecies in the Indian Ocean</t>
  </si>
  <si>
    <t>Understanding the seasonal movements and distribution patterns of migratory species over ocean basin scales is vital for appropriate conservation and management measures. However, assessing populations over remote regions is challenging, particularly if they are rare. Blue whales (Balaenoptera musculus spp) are an endangered species found in the Southern and Indian Oceans. Here two recognized subspecies of blue whales and, based on passive acoustic monitoring, four acoustic populations occur. Three of these are pygmy blue whale (B. m. brevicauda) populations while the fourth is the Antarctic blue whale (B. m. intermedia). Past whaling catches have dramatically reduced their numbers but recent acoustic recordings show that these oceans are still important habitat for blue whales. Presently little is known about the seasonal movements and degree of overlap of these four populations, particularly in the central Indian Ocean. We examined the geographic and seasonal occurrence of different blue whale acoustic populations using one year of passive acoustic recording from three sites located at different latitudes in the Indian Ocean. The vocalizations of the different blue whale subspecies and acoustic populations were recorded seasonally in different regions. For some call types and locations, there was spatial and temporal overlap, particularly between Antarctic and different pygmy blue whale acoustic populations. Except on the southernmost hydrophone, all three pygmy blue whale acoustic populations were found at different sites or during different seasons, which further suggests that these populations are generally geographically distinct. This unusual blue whale diversity in sub-Antarctic and sub-tropical waters indicates the importance of the area for blue whales in these former whaling grounds.</t>
  </si>
  <si>
    <t>[Samaran, Flore; Guinet, Christophe] Univ La Rochelle, Observ PELAGIS, CNRS, UMS 3462, La Rochelle, France; [Stafford, Kathleen M.] Univ Washington, Appl Phys Lab, Seattle, WA 98105 USA; [Branch, Trevor A.] Univ Washington, Sch Aquat &amp; Fishery Sci, Seattle, WA 98195 USA; [Gedamke, Jason] NOAA, Ocean Acoust Program, Off Sci &amp; Technol, Natl Marine Fisheries Serv, Silver Spring, MD USA; [Royer, Jean-Yves] Univ Brest, CNRS, Lab Domaines Ocean, UMR 6538, Plouzane, France; [Dziak, Robert P.] NOAA, Pacific Marine Environm Lab, Newport, OR USA; [Samaran, Flore; Guinet, Christophe] CNRS, Ctr Etud Biol Chize, UPR 1934, Villiers En Bois, France</t>
  </si>
  <si>
    <t>Centre National de la Recherche Scientifique (CNRS); CNRS - Institute of Ecology &amp; Environment (INEE); La Rochelle Universite; University of Washington; University of Washington Seattle; University of Washington; University of Washington Seattle; National Oceanic Atmospheric Admin (NOAA) - USA; Universite de Bretagne Occidentale; Centre National de la Recherche Scientifique (CNRS); CNRS - National Institute for Earth Sciences &amp; Astronomy (INSU); National Oceanic Atmospheric Admin (NOAA) - USA; Centre National de la Recherche Scientifique (CNRS)</t>
  </si>
  <si>
    <t>Samaran, F (corresponding author), Univ La Rochelle, Observ PELAGIS, CNRS, UMS 3462, La Rochelle, France.</t>
  </si>
  <si>
    <t>fsamaran@univ-lr.fr</t>
  </si>
  <si>
    <t>Dziak, Robert/AAC-6107-2020; Guinet, Christophe/AAR-8457-2020; Royer, Jean-Yves/B-4312-2010</t>
  </si>
  <si>
    <t>Royer, Jean-Yves/0000-0002-7653-7715; Stafford, Kathleen Mary/0000-0003-0039-5025</t>
  </si>
  <si>
    <t>Conseil Regional de Bretagne; Institut National des Sciences de l'Univers (a department of the Centre National de la Recherche Scientifique, France); Institut Paul Emile Victor; Total Foundation; NOAA's Ocean Exploration and Research program; French Minister of Ecology; Terres Australes et Antarctiques Francaises; University of La Rochelle</t>
  </si>
  <si>
    <t>Conseil Regional de Bretagne(Region Bretagne); Institut National des Sciences de l'Univers (a department of the Centre National de la Recherche Scientifique, France); Institut Paul Emile Victor; Total Foundation(Total SA); NOAA's Ocean Exploration and Research program; French Minister of Ecology; Terres Australes et Antarctiques Francaises; University of La Rochelle</t>
  </si>
  <si>
    <t>Funding for deployment and recovery for the hydrophone array in the Indian Ocean was provided by the Conseil Regional de Bretagne, the Institut National des Sciences de l'Univers (a department of the Centre National de la Recherche Scientifique, France), Institut Paul Emile Victor, Total Foundation and the NOAA's Ocean Exploration and Research program that provided support to the Pacific Marine Environmental Laboratory to build the hydrophones and moorings for the DEFLO experiment. Analysis and writing were supported by French Minister of Ecology, Terres Australes et Antarctiques Francaises, University of La Rochelle. The funders had no role in study design, data collection and analysis, decision to publish, or preparation of the manuscript.</t>
  </si>
  <si>
    <t>AUG 13</t>
  </si>
  <si>
    <t>e71561</t>
  </si>
  <si>
    <t>10.1371/journal.pone.0071561</t>
  </si>
  <si>
    <t>201BN</t>
  </si>
  <si>
    <t>WOS:000323115800064</t>
  </si>
  <si>
    <t>Olivera-Nappa, A; Reyes, F; Andrews, BA; Asenjo, JA</t>
  </si>
  <si>
    <t>Olivera-Nappa, Alvaro; Reyes, Fernando; Andrews, Barbara A.; Asenjo, Juan A.</t>
  </si>
  <si>
    <t>Cold Adaptation, Ca2+ Dependency and Autolytic Stability Are Related Features in a Highly Active Cold-Adapted Trypsin Resistant to Autoproteolysis Engineered for Biotechnological Applications</t>
  </si>
  <si>
    <t>HUMAN CATIONIC TRYPSINOGEN; PSYCHROPHILIC ENZYMES; ANTARCTIC KRILL; CLONING; AUTOACTIVATION; EXTREMOPHILES; PURIFICATION; PROTEINASES; DEBRIDEMENT; ENVIRONMENT</t>
  </si>
  <si>
    <t>Pig trypsin is routinely used as a biotechnological tool, due to its high specificity and ability to be stored as an inactive stable zymogen. However, it is not an optimum enzyme for conditions found in wound debriding for medical uses and trypsinization processes for protein analysis and animal cell culturing, where low Ca2+ dependency, high activity in mild conditions and easy inactivation are crucial. We isolated and thermodynamically characterized a highly active cold-adapted trypsin for medical and laboratory use that is four times more active than pig trypsin at 10 degrees C and at least 50% more active than pig trypsin up to 50 degrees C. Contrary to pig trypsin, this enzyme has a broad optimum pH between 7 and 10 and is very insensitive to Ca2+ concentration. The enzyme is only distantly related to previously described cryophilic trypsins. We built and studied molecular structure models of this trypsin and performed molecular dynamic calculations. Key residues and structures associated with calcium dependency and cryophilicity were identified. Experiments indicated that the protein is unstable and susceptible to autoproteolysis. Correlating experimental results and structural predictions, we designed mutations to improve the resistance to autoproteolysis and conserve activity for longer periods after activation. One single mutation provided around 25 times more proteolytic stability. Due to its cryophilic nature, this trypsin is easily inactivated by mild denaturation conditions, which is ideal for controlled proteolysis processes without requiring inhibitors or dilution. We clearly show that cold adaptation, Ca2+ dependency and autolytic stability in trypsins are related phenomena that are linked to shared structural features and evolve in a concerted fashion. Hence, both structurally and evolutionarily they cannot be interpreted and studied separately as previously done.</t>
  </si>
  <si>
    <t>[Olivera-Nappa, Alvaro; Reyes, Fernando; Andrews, Barbara A.; Asenjo, Juan A.] Univ Chile, Dept Chem Engn &amp; Biotechnol, Ctr Biochem Engn &amp; Biotechnol, Santiago, Chile</t>
  </si>
  <si>
    <t>Universidad de Chile</t>
  </si>
  <si>
    <t>Olivera-Nappa, A (corresponding author), Univ Chile, Dept Chem Engn &amp; Biotechnol, Ctr Biochem Engn &amp; Biotechnol, Santiago, Chile.</t>
  </si>
  <si>
    <t>aolivera@ing.uchile.cl</t>
  </si>
  <si>
    <t>Olivera-Nappa, Alvaro/GPS-5388-2022; Andrews, Barbara/J-5070-2016; Asenjo, Juan/L-8336-2013</t>
  </si>
  <si>
    <t>Olivera-Nappa, Alvaro/0000-0001-6053-7019; Asenjo, Juan/0000-0002-3475-7664</t>
  </si>
  <si>
    <t>Conicyt (FONDEF project, Chile) [D04I-1374]; Institute for Cell Dynamics and Biotechnology (ICM project, Chile) [P05-001-F]</t>
  </si>
  <si>
    <t>Conicyt (FONDEF project, Chile)(Comision Nacional de Investigacion Cientifica y Tecnologica (CONICYT)CONICYT FONDEF); Institute for Cell Dynamics and Biotechnology (ICM project, Chile)</t>
  </si>
  <si>
    <t>This work was supported by Conicyt (FONDEF project # D04I-1374, Chile) and the Institute for Cell Dynamics and Biotechnology (ICM project # P05-001-F, Chile). The funders had no role in study design, data collection and analysis, decision to publish, or preparation of the manuscript.</t>
  </si>
  <si>
    <t>AUG 12</t>
  </si>
  <si>
    <t>e72355</t>
  </si>
  <si>
    <t>10.1371/journal.pone.0072355</t>
  </si>
  <si>
    <t>200UV</t>
  </si>
  <si>
    <t>WOS:000323097300192</t>
  </si>
  <si>
    <t>The biogeography of the yeti crabs (Kiwaidae) with notes on the phylogeny of the Chirostyloidea (Decapoda: Anomura)</t>
  </si>
  <si>
    <t>Kiwaidae; Chirostyloidea; biogeography; phylogenetics; hydrothermal vents; yeti crab</t>
  </si>
  <si>
    <t>GALATHEOIDEA; CRUSTACEA; EVOLUTION; INFERENCE; SELECTION; MODEL; VENTS</t>
  </si>
  <si>
    <t>The phylogeny of the superfamily Chirostyloidea (Decapoda: Anomura) has been poorly understood owing to limited taxon sampling and discordance between different genes. We present a nine-gene dataset across 15 chirostyloids, including all known yeti crabs (Kiwaidae), to improve the resolution of phylogenetic affinities within and between the different families, and to date key divergences using fossil calibrations. This study supports the monophyly of Chirostyloidea and, within this, a basal split between Eumunididae and a Kiwaidae-Chirostylidae clade. All three families originated in the Mid-Cretaceous, but extant kiwaids and most chirostylids radiated from the Eocene onwards. Within Kiwaidae, the basal split between the seep-endemic Kiwa puravida and a vent clade comprising Kiwa hirsuta and Kiwa spp. found on the East Scotia and Southwest Indian ridges is compatible with a hypothesized seep-to-vent evolutionary trajectory. A divergence date estimate of 13.4-25.9 Ma between the Pacific and non-Pacific lineages is consistent with Kiwaidae spreading into the Atlantic sector of the Southern Ocean via the newly opened Drake Passage. The recent radiation of Kiwaidae adds to the list of chemosynthetic fauna that appear to have diversified after the Palaeocene/Eocene Thermal Maximum, a period of possibly widespread anoxia/dysoxia in deep-sea basins.</t>
  </si>
  <si>
    <t>[Roterman, C. N.; Rogers, A. D.] Univ Oxford, Dept Zool, Oxford OX1 3PS, England; [Copley, J. T.; Tyler, P. A.] Univ Southampton, Southampton SO14 3ZH, Hants, England; [Linse, K. T.] British Antarctic Survey, Cambridge CB3 0ET, England</t>
  </si>
  <si>
    <t>University of Oxford; University of Southampton; UK Research &amp; Innovation (UKRI); Natural Environment Research Council (NERC); NERC British Antarctic Survey</t>
  </si>
  <si>
    <t>christopher.roterman@zoo.ox.ac.uk</t>
  </si>
  <si>
    <t>Roterman, Christopher/0000-0002-6636-6078; Roterman, Christopher Nicolai/0000-0002-6636-6078; Copley, Jon/0000-0003-3333-4325; Rogers, Alex David/0000-0002-4864-2980; Linse, Katrin/0000-0003-3477-3047</t>
  </si>
  <si>
    <t>NERC Consortium [NE/DO1249X/1]; NERC [NE/F005504/1, NE/D01429X/1]; Biogeography and Ecology of the First Known Deep-Sea Hydrothermal Vent Site on the Ultraslow-Spreading SWIR [NE/H012087/1]; Natural Environment Research Council [NE/D010470/2, NE/D01249X/1, NE/H012087/1, NE/F005504/1, bas0100026] Funding Source: researchfish; NERC [NE/H012087/1, NE/F005504/1, bas0100026, NE/D010470/2, NE/D01249X/1] Funding Source: UKRI</t>
  </si>
  <si>
    <t>NERC Consortium(UK Research &amp; Innovation (UKRI)Natural Environment Research Council (NERC)); NERC(UK Research &amp; Innovation (UKRI)Natural Environment Research Council (NERC)); Biogeography and Ecology of the First Known Deep-Sea Hydrothermal Vent Site on the Ultraslow-Spreading SWIR; Natural Environment Research Council(UK Research &amp; Innovation (UKRI)Natural Environment Research Council (NERC)); NERC(UK Research &amp; Innovation (UKRI)Natural Environment Research Council (NERC))</t>
  </si>
  <si>
    <t>Fieldwork and analyses were funded by NERC Consortium Grant NE/DO1249X/1, NERC Grant NE/F005504/1, Biogeography and Ecology of the First Known Deep-Sea Hydrothermal Vent Site on the Ultraslow-Spreading SWIR NE/H012087/1 and NERC PhD studentship NE/D01429X/1 (C.N.R., J.T.C., K.T.L., P.A.T. and A.D.R.).</t>
  </si>
  <si>
    <t>AUG 7</t>
  </si>
  <si>
    <t>10.1098/rspb.2013.0718</t>
  </si>
  <si>
    <t>167RA</t>
  </si>
  <si>
    <t>hybrid, Green Accepted, Green Published</t>
  </si>
  <si>
    <t>WOS:000320649400004</t>
  </si>
  <si>
    <t>Cordes, LS; Thompson, PM</t>
  </si>
  <si>
    <t>Cordes, Line S.; Thompson, Paul M.</t>
  </si>
  <si>
    <t>Variation in breeding phenology provides insights into drivers of long-term population change in harbour seals</t>
  </si>
  <si>
    <t>pupping phenology; population dynamics; top predator; individual-based; photo-identification; Phoca vitulina</t>
  </si>
  <si>
    <t>ANTARCTIC FUR SEALS; PHOCA-VITULINA; CLIMATE-CHANGE; RED DEER; ENVIRONMENTAL-CHANGE; NORTHEAST SCOTLAND; PLASTIC RESPONSES; ABUNDANCE; BIRTH; AGE</t>
  </si>
  <si>
    <t>Phenological trends provide important indicators of environmental change and population dynamics. However, the use of untested population-level measures can lead to incorrect conclusions about phenological trends, particularly when changes in population structure or density are ignored. We used individual-based estimates of birth date and lactation duration of harbour seals (Phoca vitulina) to investigate energetic consequences of changes in pupping phenology. Using generalized linear mixed models, we first demonstrate annual variation in pupping phenology. Second, we show a negative relationship between lactation duration and the timing of pupping, indicating that females who pup early nurse their pups longer, thereby highlighting lactation duration as a useful proxy of female condition and resource availability. Third, individual-based data were used to derive a population-level proxy that demonstrated an advance in pupping date over the last 25 years, co-incident with a reduction in population abundance that resulted from fisheries-related shootings. These findings demonstrate that phenological studies examining the impacts of climate change on mammal populations must carefully control for changes in population density and highlight how joint investigations of phenological and demographic change provide insights into the drivers of population declines.</t>
  </si>
  <si>
    <t>[Cordes, Line S.; Thompson, Paul M.] Univ Aberdeen, Inst Biol &amp; Environm Sci, Cromarty IV11 8YJ, Scotland</t>
  </si>
  <si>
    <t>University of Aberdeen</t>
  </si>
  <si>
    <t>Cordes, LS (corresponding author), Univ Aberdeen, Inst Biol &amp; Environm Sci, Lighthouse Field Stn,George St, Cromarty IV11 8YJ, Scotland.</t>
  </si>
  <si>
    <t>line_cordes@hotmail.com</t>
  </si>
  <si>
    <t>Thompson, Paul Michael/AGR-6267-2022</t>
  </si>
  <si>
    <t>Thompson, Paul Michael/0000-0001-6195-3284</t>
  </si>
  <si>
    <t>Mammal Conservation Trust; Talisman Energy (UK) Ltd.; University of Aberdeen College of Life Science and Medicine Postgraduate Studentship</t>
  </si>
  <si>
    <t>The Mammal Conservation Trust and Talisman Energy (UK) Ltd. supported financially. We thank the many funders and colleagues at both the University of Aberdeen and the NERC Sea Mammal Research Unit who have maintained the time series of breeding surveys since 1987. L.C. was partly supported by a University of Aberdeen College of Life Science and Medicine Postgraduate Studentship.</t>
  </si>
  <si>
    <t>10.1098/rspb.2013.0847</t>
  </si>
  <si>
    <t>WOS:000320649400007</t>
  </si>
  <si>
    <t>Bricher, PK; Lucieer, A; Shaw, J; Terauds, A; Bergstrom, DM</t>
  </si>
  <si>
    <t>Bricher, Phillippa K.; Lucieer, Arko; Shaw, Justine; Terauds, Aleks; Bergstrom, Dana M.</t>
  </si>
  <si>
    <t>Mapping Sub-Antarctic Cushion Plants Using Random Forests to Combine Very High Resolution Satellite Imagery and Terrain Modelling</t>
  </si>
  <si>
    <t>VEGETATION; CLASSIFICATION; COVER; VARIABLES; TEXTURE; SCALE</t>
  </si>
  <si>
    <t>Monitoring changes in the distribution and density of plant species often requires accurate and high-resolution baseline maps of those species. Detecting such change at the landscape scale is often problematic, particularly in remote areas. We examine a new technique to improve accuracy and objectivity in mapping vegetation, combining species distribution modelling and satellite image classification on a remote sub-Antarctic island. In this study, we combine spectral data from very high resolution WorldView-2 satellite imagery and terrain variables from a high resolution digital elevation model to improve mapping accuracy, in both pixel- and object-based classifications. Random forest classification was used to explore the effectiveness of these approaches on mapping the distribution of the critically endangered cushion plant Azorella macquariensis Orchard (Apiaceae) on sub-Antarctic Macquarie Island. Both pixel- and object-based classifications of the distribution of Azorella achieved very high overall validation accuracies (91.6-96.3%, kappa = 0.849-0.924). Both two-class and three-class classifications were able to accurately and consistently identify the areas where Azorella was absent, indicating that these maps provide a suitable baseline for monitoring expected change in the distribution of the cushion plants. Detecting such change is critical given the threats this species is currently facing under altering environmental conditions. The method presented here has applications to monitoring a range of species, particularly in remote and isolated environments.</t>
  </si>
  <si>
    <t>[Bricher, Phillippa K.; Lucieer, Arko] Univ Tasmania, Sch Geog &amp; Environm Studies, Hobart, Tas, Australia; [Bricher, Phillippa K.] Univ Queensland, Ctr Mined Land Rehabil, Sustainable Minerals Inst, St Lucia, Qld, Australia; [Shaw, Justine; Terauds, Aleks; Bergstrom, Dana M.] Australian Antarctic Div, Dept Environm Water Heritage &amp; Arts, Kingston, Tas, Australia; [Shaw, Justine; Terauds, Aleks] Univ Queensland, Sch Biol Sci, Environm Decis Grp, St Lucia, Qld, Australia</t>
  </si>
  <si>
    <t>University of Tasmania; University of Queensland; Australian Antarctic Division; University of Queensland</t>
  </si>
  <si>
    <t>Bricher, PK (corresponding author), Univ Queensland, Sustainable Minerals Inst, Ctr Mined Land Rehabil, Brisbane, Qld, Australia.</t>
  </si>
  <si>
    <t>p.bricher@uq.edu.au</t>
  </si>
  <si>
    <t>Terauds, Aleks/A-4991-2010; Lucieer, Arko/F-1247-2013; Bergstrom, Dana/AAC-2837-2022</t>
  </si>
  <si>
    <t>Lucieer, Arko/0000-0002-9468-4516; Bergstrom, Dana/0000-0001-8484-8954; Shaw, Justine/0000-0002-9603-2271; Terauds, Aleks/0000-0001-7804-6648</t>
  </si>
  <si>
    <t>Australian Antarctic Division [ASAC 3095]; Tasmanian Postgraduate Research Award</t>
  </si>
  <si>
    <t>Australian Antarctic Division; Tasmanian Postgraduate Research Award</t>
  </si>
  <si>
    <t>This work was supported by the Australian Antarctic Division (ASAC 3095), www.aad.gov.au, and a Tasmanian Postgraduate Research Award. The funders had no role in study design, data collection and analysis, decision to publish, or preparation of the manuscript.</t>
  </si>
  <si>
    <t>AUG 5</t>
  </si>
  <si>
    <t>e72093</t>
  </si>
  <si>
    <t>10.1371/journal.pone.0072093</t>
  </si>
  <si>
    <t>218XC</t>
  </si>
  <si>
    <t>WOS:000324465000243</t>
  </si>
  <si>
    <t>Slater, BJ; McLoughlin, S; Hilton, J</t>
  </si>
  <si>
    <t>Slater, Ben J.; McLoughlin, Stephen; Hilton, Jason</t>
  </si>
  <si>
    <t>Peronosporomycetes (Oomycota) from a Middle Permian Permineralised Peat within the Bainmedart Coal Measures, Prince Charles Mountains, Antarctica</t>
  </si>
  <si>
    <t>REVISED STRATIGRAPHY; FOSSIL RECORD; SP NOV.; EXTINCTION; RECOVERY; PLANT; GEN.; SAPROLEGNIACEAE; LEPIDODENDRON; VEGETATION</t>
  </si>
  <si>
    <t>The fossil record of Peronosporomycetes (water moulds) is rather sparse, though their distinctive ornamentation means they are probably better reported than some true fungal groups. Here we describe a rare Palaeozoic occurrence of this group from a Guadalupian (Middle Permian) silicified peat deposit in the Bainmedart Coal Measures, Prince Charles Mountains, Antarctica. Specimens are numerous and comprise two morphologically distinct kinds of ornamented oogonia, of which some are attached to hyphae by a septum. Combresomyces caespitosus sp. nov. consists of spherical oogonia bearing densely spaced, long, hollow, slender, conical papillae with multiple sharply pointed, strongly divergent, apical branches that commonly form a pseudoreticulate pattern under optical microscopy. The oogonia are attached to a parental hypha by a short truncated stalk with a single septum. Combresomyces rarus sp. nov. consists of spherical oogonia bearing widely spaced, hollow, broad, conical papillae that terminate in a single bifurcation producing a pair of acutely divergent sharply pointed branches. The oogonium bears a short truncate extension where it attaches to the parental hypha. We propose that similarities in oogonium shape, size, spine morphology and hyphal attachment between the Permian forms from the Prince Charles Mountains and other reported Peronosporomycetes from Devonian to Triassic strata at widely separated localities elsewhere in the world delimit an extinct but once cosmopolitan Palaeozoic to early Mesozoic branch of the peronosporomycete clade. We name this order Combresomycetales and note that it played an important role in late Palaeozoic and early Mesozoic peatland ecosystems worldwide.</t>
  </si>
  <si>
    <t>[Slater, Ben J.; Hilton, Jason] Univ Birmingham, Sch Geog Earth &amp; Environm Sci, Birmingham, W Midlands, England; [McLoughlin, Stephen] Swedish Museum Nat Hist, Dept Paleobiol, S-10405 Stockholm, Sweden</t>
  </si>
  <si>
    <t>University of Birmingham; Swedish Museum of Natural History</t>
  </si>
  <si>
    <t>Slater, BJ (corresponding author), Univ Birmingham, Sch Geog Earth &amp; Environm Sci, Birmingham, W Midlands, England.</t>
  </si>
  <si>
    <t>bxs574@bham.ac.uk</t>
  </si>
  <si>
    <t>Hilton, Jason/F-5830-2012; Hilton, Jason/JCE-0756-2023</t>
  </si>
  <si>
    <t>Hilton, Jason/0000-0003-0286-8236; Hilton, Jason/0000-0003-0286-8236; Slater, Ben/0000-0002-5774-9114</t>
  </si>
  <si>
    <t>Australian Antarctic Division via Antarctic Science Advisory Council [509]; Natural Environment Research Council [NE/H5250381/1]; EU [SE-TAF-4827]; Swedish Research Council (VR); Australian Research Council</t>
  </si>
  <si>
    <t>Australian Antarctic Division via Antarctic Science Advisory Council; Natural Environment Research Council(UK Research &amp; Innovation (UKRI)Natural Environment Research Council (NERC)); EU(European Union (EU)); Swedish Research Council (VR)(Swedish Research Council); Australian Research Council(Australian Research Council)</t>
  </si>
  <si>
    <t>The Australian Antarctic Division provided financial and logistical support for collection of the specimens via Antarctic Science Advisory Council Project 509. This research forms part of a doctoral investigation by BJS supported by the Natural Environment Research Council (NE/H5250381/1 to BJS) and the Synthesys program of the EU to support research on museum collections (SE-TAF-4827 to BJS). SM acknowledges funding support from the Swedish Research Council (VR) and the Australian Research Council (Linkage) grants. The funders had no role in study design, data collection and analysis, decision to publish, or preparation of the manuscript. (http://www.nerc.ac.uk/; http://www.synthesys.info/; http://www.vr.se/inenglish.4.12fff4451215cbd83e4800015152.html; http://www.arc.gov.au/)</t>
  </si>
  <si>
    <t>AUG 2</t>
  </si>
  <si>
    <t>e70707</t>
  </si>
  <si>
    <t>10.1371/journal.pone.0070707</t>
  </si>
  <si>
    <t>219XU</t>
  </si>
  <si>
    <t>WOS:000324545800049</t>
  </si>
  <si>
    <t>Marr, JP; Bostock, HC; Carter, L; Bolton, A; Smith, E</t>
  </si>
  <si>
    <t>Marr, Julene P.; Bostock, Helen C.; Carter, Lionel; Bolton, Annette; Smith, Euan</t>
  </si>
  <si>
    <t>Differential effects of cleaning procedures on the trace element chemistry of planktonic foraminifera</t>
  </si>
  <si>
    <t>Mg/Ca; Trace metals; Cleaning; Analytical technique; Foraminifera; G. bulloides</t>
  </si>
  <si>
    <t>MG/CA PALEOTHERMOMETRY; GLOBIGERINOIDES-SACCULIFER; ART.; DISSOLUTION; OCEAN; CALIBRATION; TESTS; CALCIFICATION; TEMPERATURE; CIRCULATION</t>
  </si>
  <si>
    <t>We have investigated the effects of different sample cleaning procedures on six trace element/Ca ratios in Globigerina bulloides, a planktonic species widely used in palaeoenvironmental reconstructions. Foraminifera from core-top and down-core sediments were cleaned using seven different methods. Individual foraminifera were analysed before and after cleaning using laser ablation inductively coupled plasma mass spectrometry (LA-ICPMS). We present a comparison between oxidative and reductive cleaning, and an analysis of the effect of using laser ablation versus solution-based ICPMS methods. Measurements of Mg/Ca and Sr/Ca values were identical whether samples were subjected to oxidative, reductive treatments, two-four acid leach treatments or a combination thereof. However, ultra trace element ratios Al/Ca, Mn/Ca, Zn/Ca and Ba/Ca are much more sensitive to the cleaning method, with up to an order of magnitude difference between techniques. Al/Ca was progressively removed with more intensive cleaning, but six or more acid leach treatments were required for full removal of this contaminant phase. Mn/Ca and Ba/Ca required a combination of oxidative and reductive and/or acid leaching for contaminant phase removal. By contrast, Zn/Ca values increased after acid leaching cleaning procedures. This may be a reflection of preferential dissolution of low-Zn calcite. Accurate measurement of Zn/Ca in planktonic foraminifera by solution methods requires oxidative and reductive treatment without acid leaching or alternatively, the use of an in situ method such as laser ablation ICPMS. Careful data processing following laser ablation ICPMS analysis appears to be the most effective method to ensure elimination of ultra trace metal TE/Ca contaminant phases. (c) 2013 Elsevier B.V. All rights reserved.</t>
  </si>
  <si>
    <t>[Marr, Julene P.; Smith, Euan] Victoria Univ Wellington, Sch Geog Environm &amp; Earth Sci, Wellington, New Zealand; [Marr, Julene P.; Carter, Lionel] Victoria Univ Wellington, Antarctic Res Ctr, Sch Geog Environm &amp; Earth Sci, Wellington, New Zealand; [Bostock, Helen C.] Natl Inst Water &amp; Atmospher Res, Wellington, New Zealand; [Bolton, Annette] Nanyang Technol Univ, Earth Observ Singapore, Singapore 639798, Singapore</t>
  </si>
  <si>
    <t>Victoria University Wellington; Victoria University Wellington; National Institute of Water &amp; Atmospheric Research (NIWA) - New Zealand; Nanyang Technological University</t>
  </si>
  <si>
    <t>Bostock, HC (corresponding author), Natl Inst Water &amp; Atmospher Res, POB 14-901, Wellington, New Zealand.</t>
  </si>
  <si>
    <t>Marr, Julene/O-2382-2013; Bostock, Helen/A-6834-2013; Bolton, Annette/C-6520-2013</t>
  </si>
  <si>
    <t>Marr, Julene/0000-0001-6441-2838; Bostock, Helen/0000-0002-8903-8958; Bolton, Annette/0000-0002-7252-2049</t>
  </si>
  <si>
    <t>10.1016/j.chemgeo.2013.05.019</t>
  </si>
  <si>
    <t>197NI</t>
  </si>
  <si>
    <t>WOS:000322857500025</t>
  </si>
  <si>
    <t>Lecointre, G; Améziane, N; Boisselier, MC; Bonillo, C; Busson, F; Causse, R; Chenuil, A; Couloux, A; Coutanceau, JP; Cruaud, C; d'Acoz, CD; De Ridder, C; Denys, G; Dettaï, A; Duhamel, G; Eléaume, M; Féral, JP; Gallut, C; Havermans, C; Held, C; Hemery, L; Lautrédou, AC; Martin, P; Ozouf-Costaz, C; Pierrat, B; Pruvost, P; Puillandre, N; Samadi, S; Saucède, T; Schubart, C; David, B</t>
  </si>
  <si>
    <t>Lecointre, Guillaume; Ameziane, Nadia; Boisselier, Marie-Catherine; Bonillo, Celine; Busson, Frederic; Causse, Romain; Chenuil, Anne; Couloux, Arnaud; Coutanceau, Jean-Pierre; Cruaud, Corinne; d'Acoz, Cedric d'Udekem; De Ridder, Chantal; Denys, Gael; Dettai, Agnes; Duhamel, Guy; Eleaume, Marc; Feral, Jean-Pierre; Gallut, Cyril; Havermans, Charlotte; Held, Christoph; Hemery, Lenaig; Lautredou, Anne-Claire; Martin, Patrick; Ozouf-Costaz, Catherine; Pierrat, Benjamin; Pruvost, Patrice; Puillandre, Nicolas; Samadi, Sarah; Saucede, Thomas; Schubart, Christoph; David, Bruno</t>
  </si>
  <si>
    <t>Is the Species Flock Concept Operational? The Antarctic Shelf Case</t>
  </si>
  <si>
    <t>SOUTHERN-OCEAN; MITOCHONDRIAL LINEAGES; PROMACHOCRINUS-KERGUELENSIS; FISHES PERCIFORMES; CLIMATE-CHANGE; NOTOTHENIOIDEI; DIVERSITY; TELEOSTEI; CRUSTACEA; AMPHIPODA</t>
  </si>
  <si>
    <t>There has been a significant body of literature on species flock definition but not so much about practical means to appraise them. We here apply the five criteria of Eastman and McCune for detecting species flocks in four taxonomic components of the benthic fauna of the Antarctic shelf: teleost fishes, crinoids (feather stars), echinoids (sea urchins) and crustacean arthropods. Practical limitations led us to prioritize the three historical criteria (endemicity, monophyly, species richness) over the two ecological ones (ecological diversity and habitat dominance). We propose a new protocol which includes an iterative fine-tuning of the monophyly and endemicity criteria in order to discover unsuspected flocks. As a result nine full species flocks (fulfilling the five criteria) are briefly described. Eight other flocks fit the three historical criteria but need to be further investigated from the ecological point of view (here called core flocks). The approach also shows that some candidate taxonomic components are no species flocks at all. The present study contradicts the paradigm that marine species flocks are rare. The hypothesis according to which the Antarctic shelf acts as a species flocks generator is supported, and the approach indicates paths for further ecological studies and may serve as a starting point to investigate the processes leading to flock-like patterning of biodiversity.</t>
  </si>
  <si>
    <t>[Lecointre, Guillaume; Boisselier, Marie-Catherine; Coutanceau, Jean-Pierre; Dettai, Agnes; Gallut, Cyril; Lautredou, Anne-Claire; Ozouf-Costaz, Catherine; Puillandre, Nicolas; Samadi, Sarah] Museum Natl Hist Nat, UMR UPMC MNHN CNRS IRD Systemat Adaptat Evolut 71, Dept Systemat &amp; Evolut, F-75231 Paris, France; [Ameziane, Nadia; Busson, Frederic; Causse, Romain; Denys, Gael; Duhamel, Guy; Eleaume, Marc; Hemery, Lenaig; Pruvost, Patrice] Museum Natl Hist Nat, UMR UPMC MNHN CNRS IRD BOREA 7208, Dept Milieux &amp; Peuplements Aquat, F-75231 Paris, France; [Bonillo, Celine] Museum Natl Hist Nat, UMS MNHN CNRS Outils &amp; Methodes Systemat Integrat, F-75231 Paris, France; [Chenuil, Anne; Feral, Jean-Pierre] Univ Aix Marseille 2, UMR CNRS DIMAR Diversite Evolut &amp; Ecol Fonct Mari, F-13284 Marseille 07, France; [Couloux, Arnaud; Cruaud, Corinne] Genoscope, Ctr Natl Sequencage, Evry, France; [d'Acoz, Cedric d'Udekem; Havermans, Charlotte; Martin, Patrick] Royal Belgian Inst Nat Sci, Brussels, Belgium; [De Ridder, Chantal] Univ Libre Bruxelles, Biol Marine Lab, Brussels, Belgium; [Held, Christoph] Alfred Wegener Inst Polar &amp; Marine Res, Bremerhaven, Germany; [Pierrat, Benjamin; Saucede, Thomas; David, Bruno] Univ Bourgogne, UMR BIOGEOSCI 6282, CNRS, Dijon, France; [Schubart, Christoph] Univ Regensburg, Inst Zool, D-93053 Regensburg, Germany</t>
  </si>
  <si>
    <t>Museum National d'Histoire Naturelle (MNHN); Sorbonne Universite; Sorbonne Universite; Museum National d'Histoire Naturelle (MNHN); Museum National d'Histoire Naturelle (MNHN); Aix-Marseille Universite; Universite Paris Saclay; CEA; Royal Belgian Institute of Natural Sciences; Universite Libre de Bruxelles; Helmholtz Association; Alfred Wegener Institute, Helmholtz Centre for Polar &amp; Marine Research; Centre National de la Recherche Scientifique (CNRS); Universite de Bourgogne; University of Regensburg</t>
  </si>
  <si>
    <t>Lecointre, G (corresponding author), Museum Natl Hist Nat, UMR UPMC MNHN CNRS IRD Systemat Adaptat Evolut 71, Dept Systemat &amp; Evolut, CP 39, F-75231 Paris, France.</t>
  </si>
  <si>
    <t>lecointr@mnhn.fr</t>
  </si>
  <si>
    <t>Hemery, Lenaïg/AAA-5799-2021; FERAL, Jean-Pierre/M-9608-2019; FERAL, Jean-Pierre/A-8199-2008; Puillandre, Nicolas/C-9208-2012; DAVID, Bruno/N-8798-2013; Martin, Patrick/V-9708-2019; Villsen, Kurt/C-7965-2015; Pruvost, Patrice/E-5690-2011; Dettai, Agnes/Q-6743-2019; samadi, sarah/G-5011-2010; CHENUIL, Anne/E-3902-2012</t>
  </si>
  <si>
    <t>Hemery, Lenaïg/0000-0001-5337-4514; FERAL, Jean-Pierre/0000-0001-7627-0160; FERAL, Jean-Pierre/0000-0001-7627-0160; Martin, Patrick/0000-0002-6033-8412; samadi, sarah/0000-0003-0725-9368; Gallut, Cyril/0000-0002-6486-0179; Cruaud, Corinne/0000-0002-4752-7278; Havermans, Charlotte/0000-0002-1126-4074; CHENUIL, Anne/0000-0001-8141-7147; Couloux, Arnaud/0000-0003-2356-0062; Ameziane, Nadia/0000-0002-8546-9961</t>
  </si>
  <si>
    <t>Centre national pour la Recherche scientifique (CNRS); Museum national d'Histoire naturelle (MNHN); Agence nationale pour la Recherche (ANR) [USAR 07-BLAN-0213-01]; Service de Systematique Moleculaire'' of the Museum national d'Histoire naturelle [UMS 2700 CNRS]; Genoscope [2005/67]; Museum national d'Histoire naturelle [2005/67]; DFG [SCHU-1460-8]; Belgian Science Policy [MO/36/022, WI/36/H04, SD/BA/02B]</t>
  </si>
  <si>
    <t>Centre national pour la Recherche scientifique (CNRS)(Centre National de la Recherche Scientifique (CNRS)); Museum national d'Histoire naturelle (MNHN); Agence nationale pour la Recherche (ANR)(Agence Nationale de la Recherche (ANR)); Service de Systematique Moleculaire'' of the Museum national d'Histoire naturelle(Centre National de la Recherche Scientifique (CNRS)); Genoscope; Museum national d'Histoire naturelle; DFG(German Research Foundation (DFG)); Belgian Science Policy(Belgian Federal Science Policy Office)</t>
  </si>
  <si>
    <t>This work was supported by the Centre national pour la Recherche scientifique (CNRS), the Museum national d'Histoire naturelle (MNHN) and the Agence nationale pour la Recherche (ANR, grant number ANTFLOCKS'', USAR 07-BLAN-0213-01 to G. L.), the Service de Systematique Moleculaire'' of the Museum national d'Histoire naturelle (UMS 2700 CNRS), the Consortium national de Recherche en Genomique'': it is part of the agreement number 2005/67 between the Genoscope and the Museum national d'Histoire naturelle on the project 'Macrophylogeny of life' directed by G. L. This work was further supported by DFG project SCHU-1460-8 to C. S. and C. He., the Belgian Science Policy (Action I'' grant number MO/36/022 to C. U. A., Action II'' grant number WI/36/H04 to C. Ha., PADDII'' grant number SD/BA/02B to C. D. R.). This project is a contribution to the EBA-SCAR program. The funders had no role in study design, data collection and analysis, decision to publish, or preparation of the manuscript.</t>
  </si>
  <si>
    <t>e68787</t>
  </si>
  <si>
    <t>10.1371/journal.pone.0068787</t>
  </si>
  <si>
    <t>WOS:000324545800006</t>
  </si>
  <si>
    <t>Thiebot, JB; Cherel, Y; Crawford, RJM; Makhado, AB; Trathan, PN; Pinaud, D; Bost, CA</t>
  </si>
  <si>
    <t>Thiebot, Jean-Baptiste; Cherel, Yves; Crawford, Robert J. M.; Makhado, Azwianewi B.; Trathan, Philip N.; Pinaud, David; Bost, Charles-Andre</t>
  </si>
  <si>
    <t>A Space Oddity: Geographic and Specific Modulation of Migration in Eudyptes Penguins</t>
  </si>
  <si>
    <t>ROCKHOPPER PENGUINS; MARION ISLAND; KING PENGUINS; CHRYSOCOME PENGUINS; WINTERING AREAS; FORAGING RANGE; MACARONI; POPULATION; BEHAVIOR; HABITAT</t>
  </si>
  <si>
    <t>Post-breeding migration in land-based marine animals is thought to offset seasonal deterioration in foraging or other important environmental conditions at the breeding site. However the inter-breeding distribution of such animals may reflect not only their optimal habitat, but more subtle influences on an individual's migration path, including such factors as the intrinsic influence of each locality's paleoenvironment, thereby influencing animals' wintering distribution. In this study we investigated the influence of the regional marine environment on the migration patterns of a poorly known, but important seabird group. We studied the inter-breeding migration patterns in three species of Eudyptes penguins (E. chrysolophus, E. filholi and E. moseleyi), the main marine prey consumers amongst the World's seabirds. Using ultra-miniaturized logging devices (light-based geolocators) and satellite tags, we tracked 87 migrating individuals originating from 4 sites in the southern Indian Ocean (Marion, Crozet, Kerguelen and Amsterdam Islands) and modelled their wintering habitat using the MADIFA niche modelling technique. For each site, sympatric species followed a similar compass bearing during migration with consistent species-specific latitudinal shifts. Within each species, individuals breeding on different islands showed contrasting migration patterns but similar winter habitat preferences driven by sea-surface temperatures. Our results show that inter-breeding migration patterns in sibling penguin species depend primarily on the site of origin and secondly on the species. Such site-specific migration bearings, together with similar wintering habitat used by parapatrics, support the hypothesis that migration behaviour is affected by the intrinsic characteristics of each site. The paleo-oceanographic conditions (primarily, sea-surface temperatures) when the populations first colonized each of these sites may have been an important determinant of subsequent migration patterns. Based on previous chronological schemes of taxonomic radiation and geographical expansion of the genus Eudyptes, we propose a simple scenario to depict the chronological onset of contrasting migration patterns within this penguin group.</t>
  </si>
  <si>
    <t>[Thiebot, Jean-Baptiste; Cherel, Yves; Pinaud, David; Bost, Charles-Andre] CNRS, Unite Propre Rech 1934, Ctr Etud Biol Chize, Villiers En Bois, France; [Crawford, Robert J. M.; Makhado, Azwianewi B.] Branch Oceans &amp; Coasts, Dept Environm Affairs, Cape Town, South Africa; [Crawford, Robert J. M.; Makhado, Azwianewi B.] Univ Cape Town, Anim Demog Unit, ZA-7700 Rondebosch, South Africa; [Trathan, Philip N.] British Antarctic Survey, NERC, Cambridge CB3 0ET, England</t>
  </si>
  <si>
    <t>Centre National de la Recherche Scientifique (CNRS); Department of Environment, Forestry &amp; Fisheries; University of Cape Town; UK Research &amp; Innovation (UKRI); Natural Environment Research Council (NERC); NERC British Antarctic Survey</t>
  </si>
  <si>
    <t>Thiebot, JB (corresponding author), Natl Inst Polar Res, Tachikawa, Tokyo, Japan.</t>
  </si>
  <si>
    <t>Pinaud, David/B-6326-2008</t>
  </si>
  <si>
    <t>Pinaud, David/0000-0003-0815-9668</t>
  </si>
  <si>
    <t>France's Agence Nationale de la Recherche; Zone Atelier Antarctique (INSU-CNRS); Institut Polaire Francais Paul-Emile Victor (IPEV) [394, 109]; South Africa's National Research Foundation (South African National Antarctic Programme)(SANAP programme); NERC [bas0100025] Funding Source: UKRI; Natural Environment Research Council [bas0100025] Funding Source: researchfish</t>
  </si>
  <si>
    <t>France's Agence Nationale de la Recherche(Agence Nationale de la Recherche (ANR)); Zone Atelier Antarctique (INSU-CNRS); Institut Polaire Francais Paul-Emile Victor (IPEV); South Africa's National Research Foundation (South African National Antarctic Programme)(SANAP programme); NERC(UK Research &amp; Innovation (UKRI)Natural Environment Research Council (NERC)); Natural Environment Research Council(UK Research &amp; Innovation (UKRI)Natural Environment Research Council (NERC))</t>
  </si>
  <si>
    <t>This study was funded by France's Agence Nationale de la Recherche programme Biodiv 07 'GLIDES' (2008-2011), the Zone Atelier Antarctique (INSU-CNRS), the Institut Polaire Francais Paul-Emile Victor (IPEV, programmes no. 394 resp. C.-A. Bost and 109 resp. H. Weimeskirch) and the South Africa's National Research Foundation (South African National Antarctic Programme)(SANAP programme). The funders had no role in study design, data collection and analysis, decision to publish, or preparation of the manuscript.</t>
  </si>
  <si>
    <t>e71429</t>
  </si>
  <si>
    <t>10.1371/journal.pone.0071429</t>
  </si>
  <si>
    <t>WOS:000324545800064</t>
  </si>
  <si>
    <t>Srinivas, TNR; Manasa, P; Begum, Z; Sunil, B; Sailaja, B; Singh, SK; Prasad, S; Shivaji, S</t>
  </si>
  <si>
    <t>Srinivas, T. N. R.; Manasa, P.; Begum, Z.; Sunil, B.; Sailaja, B.; Singh, S. K.; Prasad, S.; Shivaji, S.</t>
  </si>
  <si>
    <t>Iodobacter arcticus sp nov., a psychrotolerant bacterium isolated from meltwater stream sediment of an Arctic glacier</t>
  </si>
  <si>
    <t>IDENTIFICATION; SYSTEMATICS; CHROMOBACTERIUM; MICROORGANISMS; ANTARCTICA; TAXONOMY; WATER; SOIL; DNA</t>
  </si>
  <si>
    <t>Two novel violet-pigmented, Gram-negative, rod-shaped, non-motile bacteria, designated strains M4-16(T) and M4-9, were isolated from sediment from an Arctic glacier. The predominant fatty acids of both strains were C-16:1 omega 7c and/or C-16:1 omega 6c (summed feature 3), C-16:0, C-14:0 and C-18:1 omega 7c and/or C-18:1 omega 6c (summed feature 8) and both strains contained ubiquinone-8 as the respiratory quinone. The polar lipids consisted of phosphatidylethanolamine, two unidentified phospholipids and one unidentified aminolipid. 16S rRNA gene sequence analysis indicated that strains M4-16(T) and M4-9 were members of the genus Iodobacter and closely related to Iodobacter fluviatilis ATCC 33051(T) with pairwise sequence similarity of 98.9%. The DNA-DNA relatedness between strains M4-9 and M4-16(T) was 92.5 %, while strains M4-9 and M4-16(T) had DNA-DNA relatedness values of 21.5 and 18.2%, respectively, with Iodobacter fluviatilis JCM 9044(T). The RAPD-PCR banding patterns of strains M4-9 and M4-16(T) were similar but differed from that of Iodobacter fluviatilis JCM 9044(T). Based on data from the current polyphasic study, strains M4-16(T) and M4-9 represent a novel species of the genus Iodobacter, for which the name Iodobacter arcticus sp. nov. is proposed. The type strain of Iodobacter arcticus is M4-16(T) (=CIP 1103011(T)= MTCC 11351(T)).</t>
  </si>
  <si>
    <t>[Srinivas, T. N. R.; Manasa, P.; Begum, Z.; Sunil, B.; Sailaja, B.; Singh, S. K.; Prasad, S.; Shivaji, S.] CSIR Ctr Cellular &amp; Mol Biol, Hyderabad 500007, Andhra Pradesh, India</t>
  </si>
  <si>
    <t>Council of Scientific &amp; Industrial Research (CSIR) - India; CSIR - Centre for Cellular &amp; Molecular Biology (CCMB)</t>
  </si>
  <si>
    <t>Shivaji, S (corresponding author), CSIR Ctr Cellular &amp; Mol Biol, Uppal Rd, Hyderabad 500007, Andhra Pradesh, India.</t>
  </si>
  <si>
    <t>shivas@ccmb.res.in</t>
  </si>
  <si>
    <t>Prasad, Sathish/AAH-5305-2020; TANUKU, SRINIVAS N R/F-1029-2013</t>
  </si>
  <si>
    <t>shivaji, sisinthy/0000-0003-0376-4658; Singh, Sanjay Kumar/0000-0002-5547-9122; Bhamidimarri, Poorna Manasa/0000-0002-7418-0492</t>
  </si>
  <si>
    <t>National Centre for Antarctic and Ocean Research, Goa; CSIR Network Project on Exploitation of India's rich microbial diversity [NWP0006]; CSIR, Government of India</t>
  </si>
  <si>
    <t>National Centre for Antarctic and Ocean Research, Goa; CSIR Network Project on Exploitation of India's rich microbial diversity; CSIR, Government of India(Council of Scientific &amp; Industrial Research (CSIR) - India)</t>
  </si>
  <si>
    <t>S.S. is thankful to the National Centre for Antarctic and Ocean Research, Goa, and the CSIR Network Project on Exploitation of India's rich microbial diversity (NWP0006) for funding. T.N.R.S. acknowledges the CSIR, Government of India for the award of a Research Associateship.</t>
  </si>
  <si>
    <t>AUG</t>
  </si>
  <si>
    <t>10.1099/ijs.0.044776-0</t>
  </si>
  <si>
    <t>297RA</t>
  </si>
  <si>
    <t>WOS:000330271400008</t>
  </si>
  <si>
    <t>Barker, JD; Dubnick, A; Lyons, WB; Chin, YP</t>
  </si>
  <si>
    <t>Barker, J. D.; Dubnick, A.; Lyons, W. B.; Chin, Y. -P.</t>
  </si>
  <si>
    <t>Changes in Dissolved Organic Matter (DOM) Fluorescence in Proglacial Antarctic Streams</t>
  </si>
  <si>
    <t>ELECTRONIC-ENERGY TRANSFER; AQUATIC HUMIC SUBSTANCES; TAYLOR VALLEY; MELTWATER STREAM; DYNAMICS; SPECTROSCOPY; BACTERIAL; GEOCHEMISTRY; TRYPTOPHAN; CHEMISTRY</t>
  </si>
  <si>
    <t>Dissolved organic matter (DOM) exported in glacier meltwater influences downstream biogeochemical processes, and climate warming may increase the meltwater DOM flux. In this study, we quantify and use fluorescence spectroscopy and parallel factor analysis (PARAFAC) to characterize DOM exported in glacier meltwater in Taylor and Wright Valleys, McMurdo Dry Valleys, Antarctica. Andersen Creek, a proglacial stream draining Canada Glacier meltwater, exported similar to 20 kg of DOM as dissolved organic carbon (DOC) to Lake Hoare during the melt season. Supraglacial snowpack DOM from all of the Dry Valley glaciers sampled exhibits protein-like fluorescence indicating that it contains potentially labile moieties that might be a favorable substrate supporting downstream microbial metabolism. However, this protein-like fluorescence does not persist in any of the meltwater streams surveyed, suggesting that it is quickly transformed by resident microbial populations and/or mixed with other DOM pools within stream channels or along its margins. Given the seemingly ubiquitous protein-like fluorescent characteristic of glacier-derived DOM and the immediate change to the bulk DOM in glacier streams, a more thorough characterization of the bulk DOM pool from glacial sources and through downstream ecosystems would yield valuable information about the potential contribution of glacier melt to the global carbon cycle.</t>
  </si>
  <si>
    <t>[Barker, J. D.; Lyons, W. B.; Chin, Y. -P.] Ohio State Univ, Byrd Polar Res Ctr, Sch Earth Sci, Mendenhall Lab 275, Columbus, OH 43210 USA; [Dubnick, A.] Univ Alberta, Dept Earth &amp; Atmospher Sci, Edmonton, AB T6G 2E3, Canada</t>
  </si>
  <si>
    <t>University System of Ohio; Ohio State University; University of Alberta</t>
  </si>
  <si>
    <t>Barker, JD (corresponding author), Ohio State Univ, Byrd Polar Res Ctr, Sch Earth Sci, Mendenhall Lab 275, Columbus, OH 43210 USA.</t>
  </si>
  <si>
    <t>barker.246@osu.edu</t>
  </si>
  <si>
    <t>Barker, Joel/0000-0003-1661-2709</t>
  </si>
  <si>
    <t>10.1657/1938-4246-45.3.305</t>
  </si>
  <si>
    <t>287HR</t>
  </si>
  <si>
    <t>WOS:000329533200001</t>
  </si>
  <si>
    <t>Lane, CS; Horn, SP</t>
  </si>
  <si>
    <t>Lane, Chad S.; Horn, Sally P.</t>
  </si>
  <si>
    <t>Terrestrially Derived n-Alkane δD Evidence of Shifting Holocene Paleohydrology in Highland Costa Rica</t>
  </si>
  <si>
    <t>MONTANE CLOUD FORESTS; RADIOCARBON AGE; ISOTOPE RATIOS; CLIMATE-CHANGE; D VALUES; CALIBRATION; VEGETATION; RECORD; CHIRRIPO; ATLANTIC</t>
  </si>
  <si>
    <t>A previous study of carbon isotopes in the sediments of a glacial lake in Costa Rica led to the hypothesis that changes in the migration of the intertropical convergence zone (ITCZ) over the course of the Holocene significantly affected the hydrology of the surrounding high-elevation paramo ecosystem. This hypothesis was based on millennial-scale changes in terrestrial n-alkane carbon isotope (delta C-13) values in a sediment core from Lago de las Morrenas 1, a tarn on the Chirripo massif of the Cordillera de Talamanca. Here we present terrestrial n-alkane hydrogen isotope (delta D) data, a more direct proxy of ecosystem drought stress, from the same core. These new data support the previous hypothesis and confirm that the effects of millennial-scale ITCZ dynamics in the circum-Caribbean region were not restricted to tropical lowlands. In southern Central America, these dynamics may have played a fundamental role in millennial-scale fire dynamics in high-elevation paramo ecosystems.</t>
  </si>
  <si>
    <t>[Lane, Chad S.] Univ N Carolina, Dept Geog &amp; Geol, Wilmington, NC 28403 USA; [Horn, Sally P.] Univ Tennessee, Dept Geog, Knoxville, TN 37996 USA</t>
  </si>
  <si>
    <t>University of North Carolina; University of North Carolina Wilmington; University of Tennessee System; University of Tennessee Knoxville</t>
  </si>
  <si>
    <t>Lane, CS (corresponding author), Univ N Carolina, Dept Geog &amp; Geol, Wilmington, NC 28403 USA.</t>
  </si>
  <si>
    <t>lanec@uncw.edu</t>
  </si>
  <si>
    <t>Horn, Sally P./B-1918-2013</t>
  </si>
  <si>
    <t>Lane, Chad/0000-0001-8934-5379; Horn, Sally/0000-0002-0575-3664</t>
  </si>
  <si>
    <t>Global Environmental Change Research Group at the University of Tennessee; National Geographic Society; A. W. Mellon Foundation</t>
  </si>
  <si>
    <t>Global Environmental Change Research Group at the University of Tennessee; National Geographic Society(National Geographic Society); A. W. Mellon Foundation</t>
  </si>
  <si>
    <t>Laboratory analyses were supported by the University of North Carolina Wilmington College of Arts and Sciences and Center for Marine Science. Field work was supported by the Global Environmental Change Research Group at the University of Tennessee and grants to S. Horn from the National Geographic Society and the A. W. Mellon Foundation. We thank the Costa Rican Ministry of Environment and Energy and the La Amistad-Pacifico Conservation Area for allowing us to conduct research in Chirripo National Park, and Ken Orvis, Maureen Sanchez, Jose Luis Garita, and Daniel Lewis for field assistance. We also thank Zheng-Hua Li for assistance with isotopic analyses at the University of Tennessee, and anonymous reviewers for suggestions that improved the manuscript.</t>
  </si>
  <si>
    <t>10.1657/1938-4246-45.3.342</t>
  </si>
  <si>
    <t>WOS:000329533200004</t>
  </si>
  <si>
    <t>Moore, JR; Egloff, J; Nagelisen, J; Hunziker, M; Aerne, U; Christen, M</t>
  </si>
  <si>
    <t>Moore, Jeffrey R.; Egloff, Jonas; Nagelisen, Jan; Hunziker, Michael; Aerne, Ulrich; Christen, Marc</t>
  </si>
  <si>
    <t>Sediment Transport and Bedrock Erosion by Wet Snow Avalanches in the Guggigraben, Matter Valley, Switzerland</t>
  </si>
  <si>
    <t>DEBRIS TRANSPORT; ALPS; MOUNTAINS; SCOTLAND</t>
  </si>
  <si>
    <t>Wet snow avalanches breaking through to the base of the snowpack or overriding snowfree surfaces can entrain basal material and act as important agents of sediment transport in steep alpine catchments. Here we present results from 4 years of measurements at the Guggigraben catchment (Matter Valley, Canton Valais), quantifying the volume of sediment transported by avalanches each winter season. Sediment load was estimated by measuring the debris content within representative areas and then extrapolating the cumulative volume. Results reveal a total transported sediment volume of 70 m(3) in 2009, 23 m(3) in 2010, 15 m(3) in 2011, and 35 m(3) in 2012, which correspond to catchment-wide erosion rates of approximately 0.05, 0.02, 0.01, and 0.03 mm/a, respectively. Sediment appears to be sourced predominantly from within the main channel or one its tributaries, originating first from rockfall or landslides. Avalanches thus play an important role at the Guggigraben in transporting loose sediment from temporary storage sites to the fan and main river system. Within the bedrock gully and in the avalanche source region above, signs of abrasive wear were evident on exposed bedrock surfaces. These included rounded and scoured bedrock, fresh boulder impacts, and scratch marks on the gully walls.</t>
  </si>
  <si>
    <t>[Moore, Jeffrey R.; Egloff, Jonas; Nagelisen, Jan; Hunziker, Michael; Aerne, Ulrich] Swiss Fed Inst Technol, Dept Earth Sci, CH-8092 Zurich, Switzerland; [Christen, Marc] WSL Inst Snow &amp; Avalanche Res SLF, CH-7260 Davos, Switzerland</t>
  </si>
  <si>
    <t>Swiss Federal Institutes of Technology Domain; ETH Zurich; Swiss Federal Institutes of Technology Domain; Swiss Federal Institute for Forest, Snow &amp; Landscape Research</t>
  </si>
  <si>
    <t>Moore, JR (corresponding author), Univ Utah, Dept Geol &amp; Geophys, 115 South 1460 East,Room 383, Salt Lake City, UT 84112 USA.</t>
  </si>
  <si>
    <t>jeff.moore@utah.edu</t>
  </si>
  <si>
    <t>Moore, Jeffrey/0000-0001-5831-2048</t>
  </si>
  <si>
    <t>10.1657/1938-4246-45.3.350</t>
  </si>
  <si>
    <t>WOS:000329533200005</t>
  </si>
  <si>
    <t>Östlund, L; Liedgren, L; Josefsson, T</t>
  </si>
  <si>
    <t>Ostlund, Lars; Liedgren, Lars; Josefsson, Torbjorn</t>
  </si>
  <si>
    <t>Surviving the Winter in Northern Forests: an Experimental Study of Fuelwood Consumption and Living Space in a Sami Tent Hut</t>
  </si>
  <si>
    <t>SWEDISH BOREAL FOREST; VIENANSALO WILDERNESS; EASTERN FENNOSCANDIA; NATURAL DISTURBANCE; PINUS-SYLVESTRIS; LANDSCAPE; PATTERNS; DYNAMICS; HISTORY; FIRES</t>
  </si>
  <si>
    <t>Subsistence in northern regions with cold climate and long winters relies to a large extent on fuelwood access and logistics. The preferred sources of fuelwood in pre-industrial times in northern Scandinavia were dead standing Scots pine trees. To assess historical impacts of Sami settlement sites on surrounding forests, and effects of burning wood on living conditions inside their huts, we burned pine wood in a Sami tent hut during winter, as realistically as possible, then analyzed fuelwood consumption, temperatures, and CO levels inside it. Hourly wood consumption rates ranged from 5.0 to 7.4 kg, corresponding to an estimated average annual consumption of ca. 22,000 kg or 42 m(3) per hut. The smoke created by the fire and the low indoor temperature at the periphery of the hut limited the comfortable living space to approximately a third of the total space. We estimate that areas up to 300 m from settlements were used for fuelwood collection, but deliberate, recurring tree girdling to produce snags suitable for fuelwood might have reduced this area. Overall, the landscape impact of settlements was low, affecting less than 2.2% of the utilized lands. We conclude that experimental simulations of historical resource uses can provide valuable quantitative data for verifying or challenging qualitative interpretations and thoroughly modeling human effects on ecosystems over time.</t>
  </si>
  <si>
    <t>[Ostlund, Lars; Josefsson, Torbjorn] Swedish Univ Agr Sci, Dept Forest Ecol &amp; Management, SE-90183 Umea, Sweden; [Liedgren, Lars; Josefsson, Torbjorn] Inst Subarctic Landscape Res, SE-93831 Arjeplog, Sweden</t>
  </si>
  <si>
    <t>Swedish University of Agricultural Sciences</t>
  </si>
  <si>
    <t>Josefsson, T (corresponding author), Swedish Univ Agr Sci, Dept Forest Ecol &amp; Management, SE-90183 Umea, Sweden.</t>
  </si>
  <si>
    <t>torbjorn.josefsson@slu.se</t>
  </si>
  <si>
    <t>Ostlund, Lars/0000-0002-7902-3672; Josefsson, Torbjorn/0000-0002-8734-5778</t>
  </si>
  <si>
    <t>Bank of Sweden Tercentenary Fund</t>
  </si>
  <si>
    <t>This study was financed by the Bank of Sweden Tercentenary Fund.</t>
  </si>
  <si>
    <t>10.1657/1938-4246-45.3.372</t>
  </si>
  <si>
    <t>WOS:000329533200007</t>
  </si>
  <si>
    <t>Schläppy, R; Jomelli, V; Grancher, D; Stoffel, M; Corona, C; Brunstein, D; Eckert, N; Deschatres, M</t>
  </si>
  <si>
    <t>Schlappy, Romain; Jomelli, Vincent; Grancher, Delphine; Stoffel, Markus; Corona, Christophe; Brunstein, Daniel; Eckert, Nicolas; Deschatres, Michael</t>
  </si>
  <si>
    <t>A New Tree-Ring-Based, Semi-quantitative Approach for the Determination of Snow Avalanche Events: Use of Classification Trees for Validation</t>
  </si>
  <si>
    <t>NORTHERN GASPE PENINSULA; GLACIER-NATIONAL-PARK; TANGENTIAL ROWS; LARIX-DECIDUA; RESIN DUCTS; RECONSTRUCTION; QUEBEC; ROCKFALL; MONTANA</t>
  </si>
  <si>
    <t>On forested paths, dendrogeomorphology has been demonstrated to represent a powerful tool to reconstruct past activity of avalanches, an indispensable step in avalanche hazard assessment. Several quantitative and qualitative approaches have been shown to yield reasonable event chronologies but the question of the completeness of tree-ring records remains debatable. Here, we present an alternative semi-quantitative approach for the determination of past snow avalanche events. The approach relies on the assessment of the number and position of disturbed trees within avalanche paths as well as on the intensity of reactions in trees. In order to demonstrate that no bias was induced by the dendrogeomorphic expert, we cany out a statistical evaluation (Classification and Regression Trees, or CART) of the approach. Results point to the consistency and replicability of the procedure and to the fact that the approach is not restricted to the identification of high-magnitude avalanches. Evaluation of the semi-quantitative approach is illustrated on a well-documented path in Chamonix, French Alps. For the period 1905-2010, comparison between the avalanche years recorded in a substantial database (Enquete Permanente sur les Avalanches, or EPA) and those defined with dendrogeomorphic techniques shows that the avalanche record reconstructed from tree-ring series contains 38% of the observed events.</t>
  </si>
  <si>
    <t>[Schlappy, Romain; Jomelli, Vincent; Grancher, Delphine; Brunstein, Daniel; Eckert, Nicolas] Univ Pantheon Sorbonne, Lab Geograph Phys, UMR CNRS8591, F-92195 Meudon, France; [Corona, Christophe] Univ Bern, Dendrolab CH, Inst Geol, CH-3012 Bern, Switzerland; [Stoffel, Markus] Univ Geneva, Inst Environm Sci, CH-1227 Carouge, Switzerland; [Eckert, Nicolas; Deschatres, Michael] UR ETGR, IRSTEA, F-38402 St Martin Dheres, France</t>
  </si>
  <si>
    <t>Universite Paris-Est-Creteil-Val-de-Marne (UPEC); University of Bern; University of Geneva; INRAE</t>
  </si>
  <si>
    <t>Schläppy, R (corresponding author), Univ Pantheon Sorbonne, Lab Geograph Phys, UMR CNRS8591, l Pl Aristide Briand, F-92195 Meudon, France.</t>
  </si>
  <si>
    <t>romain.schlappy@cnrs-bellevue.fr</t>
  </si>
  <si>
    <t>jomelli, vincent/AAO-9488-2020; Stoffel, Markus/A-1793-2017; CORONA, Christophe/I-2095-2012</t>
  </si>
  <si>
    <t>jomelli, vincent/0000-0002-4512-5216; Stoffel, Markus/0000-0003-0816-1303; CORONA, Christophe/0000-0002-7645-6157; brunstein, daniel/0000-0001-5496-8349; Eckert, Nicolas/0000-0002-1880-8820</t>
  </si>
  <si>
    <t>French National Research Agency [ANR-09-RISK-007-01]</t>
  </si>
  <si>
    <t>French National Research Agency(Agence Nationale de la Recherche (ANR))</t>
  </si>
  <si>
    <t>The authors gratefully acknowledge Jonathan Dumani, Matthieu Schlappy, and Louis Maniere for their assistance in the field. We also want to thank the Office National des Forets (ONF) for sampling permissions. This work was realized within the framework of the MOPERA project funded by the French National Research Agency (ANR-09-RISK-007-01).</t>
  </si>
  <si>
    <t>10.1657/1938-4246-45.3.383</t>
  </si>
  <si>
    <t>Green Submitted, Bronze, Green Published</t>
  </si>
  <si>
    <t>WOS:000329533200008</t>
  </si>
  <si>
    <t>Smith, JA; Erb, LP</t>
  </si>
  <si>
    <t>Smith, Justine A.; Erb, Liesl P.</t>
  </si>
  <si>
    <t>Patterns of Selective Caching Behavior of a Generalist Herbivore, the American Pika (Ochotona princeps)</t>
  </si>
  <si>
    <t>PERIGLACIAL LANDFORMS; SIERRA-NEVADA; LONG-TERM; PERISHABILITY; INVENTORY; SQUIRRELS; TREELINE; STRATEGY; USA</t>
  </si>
  <si>
    <t>Caching decisions have been studied for many species, but large-scale variation of selective preferences due to environmental heterogeneity has rarely been examined. We investigated large-scale patterns of selective caching behavior in the American pika (Ochotona princeps), a non-hibernating generalist herbivore that caches vegetation in haypiles to serve as winter food. At 13 sites throughout the southern Rocky Mountains, we identified the three most common available and cached plant species and analyzed them for dietary quality. Selectivity at each site was measured as the difference between average quality of the most common cached and available vegetation. Pikas consistently cached materials of higher quality than the most common available vegetation. Selectivity for high nitrogen corresponded to quality of available plants and site summer temperature, whereas selectivity for high water content was negatively correlated with elevation. Our results indicate that pikas cache a variety of plant materials while using different selectivity cues, illustrating the complexity of pika caching behavior across a range of environmental conditions and forage values. Future studies on caching behavior should take into account differential selectivity due to environmental heterogeneity.</t>
  </si>
  <si>
    <t>[Smith, Justine A.] Univ Calif Santa Cruz, Dept Environm Studies, Santa Cruz, CA 95064 USA; [Erb, Liesl P.] Univ Colorado, Dept Ecol &amp; Evolutionary Biol, Boulder, CO 80309 USA</t>
  </si>
  <si>
    <t>University of California System; University of California Santa Cruz; University of Colorado System; University of Colorado Boulder</t>
  </si>
  <si>
    <t>Smith, JA (corresponding author), Univ Calif Santa Cruz, Dept Environm Studies, 1156 High St, Santa Cruz, CA 95064 USA.</t>
  </si>
  <si>
    <t>Jsmith5@ucsc.edu</t>
  </si>
  <si>
    <t>Smith, Justine A/AAY-2879-2021</t>
  </si>
  <si>
    <t>Smith, Justine A/0000-0001-8753-4061</t>
  </si>
  <si>
    <t>University of Colorado at Boulder; Indian Peaks Wilderness Alliance</t>
  </si>
  <si>
    <t>This project was funded by the University of Colorado at Boulder and the Indian Peaks Wilderness Alliance. We thank two anonymous reviewers for their constructive feedback on our manuscript. Sincere thanks to C. Ray and R. Guralnick for their invaluable contribution in providing statistical, editorial, and intellectual guidance. We thank to B. Bowman and N. Barger for providing laboratory facilities and A. Darrouzet-Nardi and S. Castle for assisting in plant sample processing and chemical analyses. We thank A. Smith and J. Benson for their editorial contributions. Finally, thanks to A. Stecker and N. Kleist for assisting in data collection.</t>
  </si>
  <si>
    <t>10.1657/1938-4246-45.3.396</t>
  </si>
  <si>
    <t>WOS:000329533200009</t>
  </si>
  <si>
    <t>Wódkiewicz, M; Galera, H; Chwedorzewska, KJ; Gielwanowska, I; Olech, M</t>
  </si>
  <si>
    <t>Wodkiewicz, Maciej; Galera, Halina; Chwedorzewska, Katarzyna J.; Gielwanowska, Irena; Olech, Maria</t>
  </si>
  <si>
    <t>Diaspores of the Introduced Species Poa annua L. in Soil Samples from King George Island (South Shetlands, Antarctica)</t>
  </si>
  <si>
    <t>SEED BANK; VASCULAR PLANTS; POPULATION; SIZE; KERGUELEN; CROZET</t>
  </si>
  <si>
    <t>The soil seed bank and seed germination capacity of Poa annua in the vicinity of the Polish Antarctic Station (South Shetlands, Antarctica) were investigated. It was documented that annual bluegrass can reproduce sexually and produce a functional seed bank of close to 5000 seeds/m(2) under maritime Antarctic conditions. Comparison of germination between Poa annua and two native plant species revealed that Poa annua seeds can germinate as fast or even faster than native species, and are more vigorous. Our studies show that in the Antarctic Poa annua can successfully reproduce sexually and produce fully developed, viable caryopses that are able to survive the maritime Antarctic winter, not only in a soil bank, but also directly in the previous year's inflorescences.</t>
  </si>
  <si>
    <t>[Wodkiewicz, Maciej; Galera, Halina] Univ Warsaw, Fac Biol, Dept Plant Ecol &amp; Environm Conservat, PL-00478 Warsaw, Poland; [Chwedorzewska, Katarzyna J.] Inst Biochem &amp; Biophys PAS, Dept Antarctic Biol, PL-02106 Warsaw, Poland; [Gielwanowska, Irena] Univ Warmia &amp; Mazury, Dept Plant Physiol &amp; Biotechnol, PL-10719 Olsztyn, Poland; [Olech, Maria] Jagiellonian Univ, Inst Bot, PL-31501 Krakow, Poland</t>
  </si>
  <si>
    <t>University of Warsaw; Polish Academy of Sciences; Institute of Biochemistry &amp; Biophysics - Polish Academy of Sciences; University of Warmia &amp; Mazury; Jagiellonian University</t>
  </si>
  <si>
    <t>Chwedorzewska, KJ (corresponding author), Inst Biochem &amp; Biophys PAS, Dept Antarctic Biol, Pawinskiego 5A, PL-02106 Warsaw, Poland.</t>
  </si>
  <si>
    <t>kchwedorzewska@go2.pl</t>
  </si>
  <si>
    <t>Galera, Halina/IUQ-1030-2023; Galera, Halina/V-5347-2018; Chwedorzewska, Katarzyna/M-9721-2019; Chwedorzewska, Katarzyna J/A-9480-2008</t>
  </si>
  <si>
    <t>Galera, Halina/0000-0001-6983-0908; Chwedorzewska, Katarzyna/0000-0001-6860-3666; Wodkiewicz, Maciej/0000-0002-7358-126X; Gielwanowska, Irena/0000-0002-9001-1285</t>
  </si>
  <si>
    <t>Ministry of Scientific Research and Higher Education [N N304 000236]</t>
  </si>
  <si>
    <t>Ministry of Scientific Research and Higher Education</t>
  </si>
  <si>
    <t>This research was supported by the Ministry of Scientific Research and Higher Education grant N N304 000236. The authors would like to thank Ms. Anna Gasek from the Botanical Garden CZRB PAS in Warsaw-Powsin for providing assistance with the field work. We would like to thank reviewers for constructive advice, which has improved our paper.</t>
  </si>
  <si>
    <t>10.1657/1938-4246-45.3.415</t>
  </si>
  <si>
    <t>WOS:000329533200011</t>
  </si>
  <si>
    <t>Hassrick, JL; Crocker, DE; Costa, DP</t>
  </si>
  <si>
    <t>Hassrick, Jason L.; Crocker, Daniel E.; Costa, Daniel P.</t>
  </si>
  <si>
    <t>Effects of maternal age and mass on foraging behaviour and foraging success in the northern elephant seal</t>
  </si>
  <si>
    <t>FUNCTIONAL ECOLOGY</t>
  </si>
  <si>
    <t>age; body mass; diving behaviour; foraging efficiency; foraging success; northern elephant seal; pinniped</t>
  </si>
  <si>
    <t>ZONE CHLOROPHYLL FRONT; ANTARCTIC FUR SEALS; DIVING BEHAVIOR; MARINE PREDATOR; ENERGETICS; REPRODUCTION; MIGRATION; HABITAT; WHALES; IMPACT</t>
  </si>
  <si>
    <t>1. Animals that show indeterminate growth and put relatively constant proportions of stored body reserves towards annual reproductive effort are confronted with a problem of meeting ever-increasing energetic demands in unpredictable environments. 2. We examined how intrinsic traits, mass and age, as well as extrinsic environmental features impact diving and movement behaviour in a marine capital breeder, the northern elephant seal, Mirounga angustirostris. We assessed the impact of this behavioural variation on foraging success, measured as energy gained at sea. 3. We used principal component analysis to reduce behavioural variables into three principal components that described time in foraging zones (PC1), foraging distance (PC2) and bout structure of dive shapes (PC3). 4. Both intrinsic traits and extrinsic environmental features influenced behaviour and foraging success. Body mass was the sole predictor of residence time in foraging zones (PC1), which, in turn, was the strongest behavioural predictor of foraging efficiency and success over the short postbreeding season. Foraging distance (PC2) significantly varied with year. Since foraging distance is an index of the horizontal and vertical distances seals travel while foraging, we suggest that it was impacted by inter-annual variation in marine prey distribution. Age had a negligible impact on most aspects of behaviour, except for the structure of dive shapes on the postmoult foraging trip. 5. All principal components significantly impacted rates of energy gain for postbreeding foraging trips when maternal body stores must be recovered quickly before returning to shore to moult. Age impacted the bout structure of dives in pregnant females in a way that influenced success, suggesting a role for previous experience during the long postmoult foraging migration. 6. Strong impacts of body mass on diving ability, foraging success and reproductive effort suggest a proximate mechanism for trade-offs in the cost of reproduction. Mass lost to current investment in offspring impacts a mother's ability to accrue resources for future offspring.</t>
  </si>
  <si>
    <t>[Hassrick, Jason L.; Costa, Daniel P.] Univ Calif Santa Cruz, Santa Cruz, CA 95064 USA; [Crocker, Daniel E.] Sonoma State Univ, Dept Biol, Rohnert Pk, CA 94928 USA</t>
  </si>
  <si>
    <t>University of California System; University of California Santa Cruz; California State University System; Sonoma State University</t>
  </si>
  <si>
    <t>Hassrick, JL (corresponding author), Univ Calif Santa Cruz, Santa Cruz, CA 95064 USA.</t>
  </si>
  <si>
    <t>hassrick@ucsc.edu</t>
  </si>
  <si>
    <t>Hassrick, Jason/AAE-4905-2020; Costa, Daniel Paul/E-2616-2013</t>
  </si>
  <si>
    <t>Costa, Daniel Paul/0000-0002-0233-5782</t>
  </si>
  <si>
    <t>Tagging of Pacific Pelagics programme; National Ocean Partnership Programme [N00014-02-1-1012]; Office of Naval Research [N00014-00-1-0880, N00014-03-1-0651, N00014-08-1-1195]; Moore foundation; Packard foundation; Sloan foundation; National Oceanic and Atmospheric Administration Ocean (NOAA) Exploration Programme; E&amp;P Sound and Marine Life Joint Industry Project of the International Association of Oil and Gas Producers [JIP2207-23]; Ida Benson Lynn Endowed Chair in Ocean Health and Steve Blank; National Science Foundation; Steve and Rebecca Sooy and the Friends of Long Marine Laboratory</t>
  </si>
  <si>
    <t>Tagging of Pacific Pelagics programme; National Ocean Partnership Programme; Office of Naval Research(Office of Naval Research); Moore foundation(Gordon and Betty Moore Foundation); Packard foundation(The David &amp; Lucile Packard Foundation); Sloan foundation(Alfred P. Sloan Foundation); National Oceanic and Atmospheric Administration Ocean (NOAA) Exploration Programme; E&amp;P Sound and Marine Life Joint Industry Project of the International Association of Oil and Gas Producers; Ida Benson Lynn Endowed Chair in Ocean Health and Steve Blank; National Science Foundation(National Science Foundation (NSF)); Steve and Rebecca Sooy and the Friends of Long Marine Laboratory</t>
  </si>
  <si>
    <t>We thank A. Allen, K. Yoda, Y. Mitani, S. Maxwell, A. Harrison, S. Villegas, L. Huckstadt, N. Teutschel, C. Orsini, B. Cook, E. Pickett and Y. Tremblay for help in the field and Clairol Corporation for providing animal marking solutions. We thank the California State Parks and the Ano Nuevo Rangers for logistical support. This research was supported by the Tagging of Pacific Pelagics programme with grants from the National Ocean Partnership Programme (N00014-02-1-1012), the Office of Naval Research (N00014-00-1-0880, N00014-03-1-0651 and N00014-08-1-1195) and the Moore, Packard and Sloan foundations; the National Oceanic and Atmospheric Administration Ocean (NOAA) Exploration Programme; the E&amp;P Sound and Marine Life Joint Industry Project of the International Association of Oil and Gas Producers (JIP2207-23); the Ida Benson Lynn Endowed Chair in Ocean Health and Steve Blank. J.L.H. was supported in part by a National Science Foundation predoctoral fellowship along with fellowship support by Steve and Rebecca Sooy and the Friends of Long Marine Laboratory. The animal use protocol for this research followed guidelines established by the Canadian Council on Animal Care, the ethics committee of the Society of Marine Mammalogy and was reviewed and approved by the University of California at Santa Cruz Institutional Animal Care and Use Committee. Research was carried out under the National Marine Fisheries Service permit #87-1743.</t>
  </si>
  <si>
    <t>0269-8463</t>
  </si>
  <si>
    <t>1365-2435</t>
  </si>
  <si>
    <t>FUNCT ECOL</t>
  </si>
  <si>
    <t>Funct. Ecol.</t>
  </si>
  <si>
    <t>10.1111/1365-2435.12108</t>
  </si>
  <si>
    <t>284GK</t>
  </si>
  <si>
    <t>WOS:000329303900022</t>
  </si>
  <si>
    <t>Couto, AB; Holbrook, NJ; Maharaj, AM</t>
  </si>
  <si>
    <t>Couto, Andre B.; Holbrook, Neil J.; Maharaj, Angela M.</t>
  </si>
  <si>
    <t>Unravelling Eastern Pacific and Central Pacific ENSO Contributions in South Pacific Chlorophyll-a Variability through Remote Sensing</t>
  </si>
  <si>
    <t>Chl-a; phytoplankton; ENSO; CP ENSO; EP ENSO; Modoki; El Nino; La Nina; primary productivity; SeaWiFS; MODIS</t>
  </si>
  <si>
    <t>SEA-SURFACE TEMPERATURE; EL-NINO; TROPICAL PACIFIC; OCEAN; PRESSURE; WIND; ICE</t>
  </si>
  <si>
    <t>El NinoSouthern Oscillation (ENSO) is regarded as the main driver of phytoplankton inter-annual variability. Remotely sensed surface chlorophyll-a (Chl-a), has made it possible to examine phytoplankton variability at a resolution and scale that allows for the investigation of climate signals such as ENSO. We provide empirical evidence of an immediate and lagged influence of ENSO on SeaWiFS and MODIS-Aqua derived global Chl-a concentrations. We use 13 years of Chl-a remotely sensed observations along with sea surface temperature (SST) observations across the Tropical and South Pacific to isolate and examine the spatial development of Chl-a anomalies during ENSO: its canonical or eastern Pacific (EP) mode, and El Nino Modoki or central Pacific (CP) mode, using the extended empirical orthogonal function (EEOF) technique. We describe how an EP ENSO phase transition affects Chl-a, and identify an interannual CP mode of variability induced spatial pattern. We argue that when ENSO is analysed as a propagating signal by the EEOF, CP ENSO is found to be more influential on Chl-a interannual to decadal variability than the canonical EP ENSO. Our results cannot confirm the independence of the two ENSO modes but clearly demonstrate that both ENSO flavors manifest a distinct biological response.</t>
  </si>
  <si>
    <t>[Couto, Andre B.] Macquarie Univ, Dept Geog &amp; Environm, Sydney, NSW 2109, Australia; [Couto, Andre B.; Holbrook, Neil J.] Univ Tasmania, Inst Marine &amp; Antarctic Studies, Hobart, Tas 7001, Australia; [Maharaj, Angela M.] Univ New S Wales, Climate Change Res Ctr, Sydney, NSW 2052, Australia</t>
  </si>
  <si>
    <t>Macquarie University; University of Tasmania; University of New South Wales Sydney</t>
  </si>
  <si>
    <t>Maharaj, AM (corresponding author), Univ New S Wales, Climate Change Res Ctr, Sydney, NSW 2052, Australia.</t>
  </si>
  <si>
    <t>belocouto@gmail.com; Neil.Holbrook@utas.edu.au; a.maharaj@unsw.edu.au</t>
  </si>
  <si>
    <t>; Holbrook, Neil/M-7544-2013; Maharaj, Angela/H-2436-2012</t>
  </si>
  <si>
    <t>Belo Couto, Andre/0000-0002-2066-2277; Holbrook, Neil/0000-0002-3523-6254; Maharaj, Angela/0000-0001-5993-1326</t>
  </si>
  <si>
    <t>Macquarie University, Sydney, Australia; CCRC, Australia [SPF02, IR001]; Australian Research Council's Centre of Excellence for Climate System Science [CE110001028]</t>
  </si>
  <si>
    <t>Macquarie University, Sydney, Australia; CCRC, Australia(Australian GovernmentDepartment of Industry, Innovation and ScienceCooperative Research Centres (CRC) Programme); Australian Research Council's Centre of Excellence for Climate System Science(Australian Research Council)</t>
  </si>
  <si>
    <t>This study was supported by an MQRes scholarship from Macquarie University, Sydney, Australia and internal grants (SPF02, IR001) from the CCRC, Australia. We would like to thank Mauro Vargas for his insights in discussions of this work and the three anonymous reviewers whose suggestions greatly improved this paper. This study contributes to the goals of the Australian Research Council's Centre of Excellence for Climate System Science (grant CE110001028), the Southwest Pacific Ocean Circulation and Climate Experiment (SPICE), and the South Pacific Integrated Ecosystem Studies Program (SPICES).</t>
  </si>
  <si>
    <t>10.3390/rs5084067</t>
  </si>
  <si>
    <t>274SI</t>
  </si>
  <si>
    <t>WOS:000328626100019</t>
  </si>
  <si>
    <t>Ball, P; Eagles, G; Ebinger, C; McClay, K; Totterdell, J</t>
  </si>
  <si>
    <t>Ball, Philip; Eagles, Graeme; Ebinger, Cynthia; McClay, Ken; Totterdell, Jennifer</t>
  </si>
  <si>
    <t>The spatial and temporal evolution of strain during the separation of Australia and Antarctica</t>
  </si>
  <si>
    <t>Australia; Antarctica; rift; evolution; tectonics; margins</t>
  </si>
  <si>
    <t>LOWER CONTINENTAL-CRUST; WILKES LAND; MAGNETIC-ANOMALIES; NE ATLANTIC; BREAK-UP; EXTENSION DISCREPANCY; LITHOSPHERIC MANTLE; RIFTED MARGINS; DEEP-STRUCTURE; EAST-AFRICAN</t>
  </si>
  <si>
    <t>A re-evaluation of existing onshore and offshore gravity, magnetic, seismic reflection, and well data from the Australo-Antarctic margins suggests that magmatism and along-strike lithospheric heterogeneities have influenced the localization of initial rifting. The 3-D crustal architecture of the Australian and Antarctic margins, which formed during multiple rifting episodes spanning approximate to 80 Myr, reveal local asymmetries along strike. Rift structures from the broad, late Jurassic (165-145 Ma) rift zone are partially overprinted by a narrower, mid-to-late Cretaceous rift zone (approximate to 100 Ma), which evolved in highly extended crust. This late-stage rift zone is located within a region of heterogeneous crust with faults that cut late syn-rift strata, interpreted as a continent ocean transition zone. This late stage transitional rift is populated by seismically identified rift-parallel basement highs and intracrustal bodies with corresponding positive Bouguer gravity and magnetic anomalies. These undrilled features can be interpreted as exposures of exhumed mantle rocks, lower crustal rocks and/or as discrete magmatic bodies. Our results suggest that strain across an initially broad Australo-Antarctic rift system (165-145 Ma) migrated to a narrow rift zone with some magmatism at 100-83 Ma. Breakup did not occur until approximate to 53 Ma within the eastern Bight-Wilkes and Otway-Adelie margin sectors, suggesting a west to east propagation of seafloor spreading. The prolonged eastward propagation of seafloor spreading processes and the increased asymmetry of the Australian-Antarctic margins coincides with a change from rift-perpendicular to oblique rifting processes, which in turn coincide with along-strike variations in cratonic to Palaeozoic lithosphere.</t>
  </si>
  <si>
    <t>[Ball, Philip; Eagles, Graeme; Ebinger, Cynthia; McClay, Ken] Univ London, Dept Earth Sci, Fault Dynam Res Grp, Egham, Surrey, England; [Totterdell, Jennifer] Geosci Australia, Petr &amp; Marine Div, Canberra, ACT, Australia</t>
  </si>
  <si>
    <t>University of London; Royal Holloway University London; Geoscience Australia</t>
  </si>
  <si>
    <t>Ball, P (corresponding author), Conoco Phillips, 600 North Dairy Ashford,OF3064, Houston, TX 77079 USA.</t>
  </si>
  <si>
    <t>Philip.j.ball@conocophillips.com</t>
  </si>
  <si>
    <t>Eagles, Graeme/0000-0001-5325-0810; Ebinger, Cynthia/0000-0002-6211-3399; Ball, Philip/0000-0001-5896-6447</t>
  </si>
  <si>
    <t>Royal Holloway University of London, UK; ConocoPhillips; Royal Holloway University of London; Geoscience Australia</t>
  </si>
  <si>
    <t>Royal Holloway University of London for provision of the Thomas Holloway Scholarship and Geoscience Australia for funding and data. The original work that forms the basis of this paper was accepted by the University of London in 2005, supervised by C. Ebinger and K. McClay. Matthew J. Harvey is thanked for his critical proof reading of an earlier version of this manuscript. Comments gained by Tim Minshull, anonymous reviewers, and the editor greatly improved the original manuscript. J. Totterdell publishes with the permission of the Chief Executive Officer, Geoscience Australia. Australian seismic images are published with the permission of Fugro MCS. The Antarctic seismic images are published and available thanks to http://www.scar-sdls.org, the principal Antarctic library for seismic data, and the National Geophysical Data Center, NESDIS, NOAA, http://maps.ngdc.noaa.gov/viewers/geophysics/. Publication of the manuscript was supported by the Fault Dynamics Research Group, Royal Holloway University of London, UK, and ConocoPhillips.</t>
  </si>
  <si>
    <t>10.1002/ggge.20160</t>
  </si>
  <si>
    <t>242LF</t>
  </si>
  <si>
    <t>WOS:000326242700013</t>
  </si>
  <si>
    <t>Hatha, AAM; Rahiman, KMM; Krishnan, KP; Saramma, AV; Saritha, G; Lal, D</t>
  </si>
  <si>
    <t>Hatha, A. A. Mohamed; Rahiman, Mujeeb K. M.; Krishnan, K. P.; Saramma, A., V; Saritha, G.; Lal, Deepu</t>
  </si>
  <si>
    <t>Characterisation and bioprospecting of cold adapted yeast from water samples of Kongsfjord, Norwegian Arctic</t>
  </si>
  <si>
    <t>INDIAN JOURNAL OF GEO-MARINE SCIENCES</t>
  </si>
  <si>
    <t>Kongsfjord; Arctic; Marine yeast; Hydrolytic enzymes</t>
  </si>
  <si>
    <t>LOW-TEMPERATURE; MARINE; PATAGONIA; ENZYMES</t>
  </si>
  <si>
    <t>A total of 34 yeast isolates were characterized from 4 water samples collected from Kongsfjord at Ny Alesund region (79 degrees N, 12 degrees E) of Norwegian Arctic during the Indian Arctic Summer Expedition of 2009. They were studied for the effect of temperature and salt concentration on growth as well as for their ability to produce various hydrolytic enzymes at two different temperatures. Result showed that 5 out of 8 genera were common to all the stations. Cryptococcus was the predominant genera (&gt;30%) followed by Trichosporon and Rhodotorula. Eighty two percentages of the yeast isolates were oxidative in nature and except Filobasidium, all the isolates used nitrate as a nitrogen source for growth. Yeast isolates from all the stations showed growth at 4 degrees C and 20 degrees C. These temperatures were chosen as most of the bacterial and yeast isolates showed psychrotrophic than true psychrophilic nature. Ninety four percentage of the yeast isolates showed growth at 2.0 M concentration of NaCl. While all the isolates were capable of producing gelatinase and lipase at 20 degrees C, gelatinolytic (88%) and lipolytic activity (97%) were marginally less at 4 degrees C. None of the isolates produced amylase enzyme when incubated at 4 degrees C and 20 degrees C. The present study highlights the wide tolerance of the psychrotrophic yeast isolates to temperature and salinity as well as their potential in biotechnology.</t>
  </si>
  <si>
    <t>[Hatha, A. A. Mohamed; Rahiman, Mujeeb K. M.; Saramma, A., V; Saritha, G.] Cochin Univ Sci &amp; Technol, Dept Marine Biol Microbiol &amp; Biochem, Cochin 682016, Kerala, India; [Krishnan, K. P.] Natl Ctr Antarctic &amp; Ocean Res, Vasco Da Gama, Goa, India; [Lal, Deepu] Cochin Univ Sci &amp; Technol, Dept Chem Oceanog, Cochin 682016, Kerala, India</t>
  </si>
  <si>
    <t>Cochin University Science &amp; Technology; Ministry of Earth Sciences (MoES) - India; National Centre for Polar and Ocean Research (NCPOR); Cochin University Science &amp; Technology</t>
  </si>
  <si>
    <t>Hatha, AAM (corresponding author), Cochin Univ Sci &amp; Technol, Dept Marine Biol Microbiol &amp; Biochem, Lakeside Campus, Cochin 682016, Kerala, India.</t>
  </si>
  <si>
    <t>mohamedhatha@gmail.com</t>
  </si>
  <si>
    <t>P, Krishnan K/ABF-8783-2020</t>
  </si>
  <si>
    <t>Ministry of Earth Sciences (MoES), Govt. of India</t>
  </si>
  <si>
    <t>Ministry of Earth Sciences (MoES), Govt. of India(Ministry of Earth Science (MoES), Government of India)</t>
  </si>
  <si>
    <t>Authors wish to thank Director, National Centre for Antarctic and Ocean Research (NCAOR) for arranging logistic facilities and Ministry of Earth Sciences (MoES), Govt. of India for financial support.</t>
  </si>
  <si>
    <t>NATL INST SCIENCE COMMUNICATION-NISCAIR</t>
  </si>
  <si>
    <t>DR K S KRISHNAN MARG, PUSA CAMPUS, NEW DELHI 110 012, INDIA</t>
  </si>
  <si>
    <t>0379-5136</t>
  </si>
  <si>
    <t>0975-1033</t>
  </si>
  <si>
    <t>INDIAN J GEO-MAR SCI</t>
  </si>
  <si>
    <t>Indian J. Geo-Mar. Sci.</t>
  </si>
  <si>
    <t>233VE</t>
  </si>
  <si>
    <t>WOS:000325596800007</t>
  </si>
  <si>
    <t>Park, J; Park, T; Yang, EJ; Kim, D; Gorbunov, MY; Kim, HC; Kang, SH; Shin, HC; Lee, S; Yoo, S</t>
  </si>
  <si>
    <t>Park, Jisoo; Park, Taewook; Yang, Eun Jin; Kim, Dongseon; Gorbunov, Maxim Y.; Kim, Hyun-Cheol; Kang, Sung Ho; Shin, Hyoung Chul; Lee, SangHoon; Yoo, Sinjae</t>
  </si>
  <si>
    <t>Early summer iron limitation of phytoplankton photosynthesis in the Scotia Sea as inferred from fast repetition rate fluorometry</t>
  </si>
  <si>
    <t>phytoplankton physiology; variable fluorescence; iron limitation; Scotia Sea; Southern Ocean</t>
  </si>
  <si>
    <t>SURFACE TEMPERATURE DATA; ANTARCTIC POLAR FRONT; WESTERN ROSS SEA; SOUTHERN-OCEAN; PRIMARY PRODUCTIVITY; ATLANTIC SECTOR; IN-SITU; ACTIVE FLUORESCENCE; ENERGY-CONVERSION; PHOTOSYSTEM-II</t>
  </si>
  <si>
    <t>We describe variability in the phytoplankton physiological status in the west Scotia Sea of the Southern Ocean in the early austral summer prior to and at the beginning of a phytoplankton bloom. This area is characterized by high concentrations of major nutrients (such as nitrate, phosphate, and silicate), but exhibit chronically low concentrations of dissolved iron and deep vertical mixing. Using a fast repetition rate fluorometry, we measured photosynthetic characteristics of phytoplankton in the euphotic zone. These measurements provide an express diagnostic of the effects of environmental factors, including iron limitation, on photosynthetic processes. The quantum yields of photochemistry in Photosystem II (F-v/F-m) in subsurface phytoplankton were, on average, 40% lower than the maximum values for nutrient-replete communities. Higher values of F-v/F-m were observed in the frontal mixing zone that may have been caused by the induction of iron into the euphotic layer. Our results suggest physiological signatures of iron limitation of photosynthesis in the western Scotia Sea in the early austral summer. The data imply that, together with light conditions and grazing pressure, iron availability may be important for phytoplankton growth in the Scotia Sea even in the early summer.</t>
  </si>
  <si>
    <t>[Park, Jisoo; Yang, Eun Jin; Kim, Hyun-Cheol; Kang, Sung Ho; Shin, Hyoung Chul; Lee, SangHoon] Korea Polar Res Inst, Inchon, South Korea; [Park, Taewook; Kim, Dongseon; Yoo, Sinjae] Korea Inst Ocean Sci &amp; Technol, Seoul, South Korea; [Gorbunov, Maxim Y.] Rutgers State Univ, Inst Marine &amp; Coastal Sci, New Brunswick, NJ 08901 USA</t>
  </si>
  <si>
    <t>Korea Polar Research Institute (KOPRI); Korea Institute of Ocean Science &amp; Technology (KIOST); Korea Institute of Ocean Science &amp; Technology (KIOST); Rutgers University System; Rutgers University New Brunswick</t>
  </si>
  <si>
    <t>Gorbunov, MY (corresponding author), Rutgers State Univ, Inst Marine &amp; Coastal Sci, 71 Dudley Rd, New Brunswick, NJ 08901 USA.</t>
  </si>
  <si>
    <t>gorbunov@marine.rutgers.edu</t>
  </si>
  <si>
    <t>Kim, Hyun-Cheol/AAP-1250-2020</t>
  </si>
  <si>
    <t>Kim, Hyun-Cheol/0000-0002-6831-9291; Yang, Eun Jin/0000-0002-8639-5968</t>
  </si>
  <si>
    <t>KOPRI [PP13020]; NASA Ocean Biology and Biogeochemistry Program</t>
  </si>
  <si>
    <t>KOPRI(Korea Polar Research Institute of Marine Research Placement (KOPRI)); NASA Ocean Biology and Biogeochemistry Program(National Aeronautics &amp; Space Administration (NASA))</t>
  </si>
  <si>
    <t>We thank the members of 15th Korean Antarctic Research Program onboard the R/V Yuzhmorgeologiya who collaborated on this research. This study was supported by KOPRI project PP13020. MYG was, in part, supported by the NASA Ocean Biology and Biogeochemistry Program. We also thank two anonymous reviewers and the Editor for their help in strengthening the manuscript.</t>
  </si>
  <si>
    <t>10.1002/jgrc.20281</t>
  </si>
  <si>
    <t>224XX</t>
  </si>
  <si>
    <t>WOS:000324927000005</t>
  </si>
  <si>
    <t>Muto, A; Christianson, K; Horgan, HJ; Anandakrishnan, S; Alley, RB</t>
  </si>
  <si>
    <t>Muto, Atsuhiro; Christianson, Knut; Horgan, Huw J.; Anandakrishnan, Sridhar; Alley, Richard B.</t>
  </si>
  <si>
    <t>Bathymetry and geological structures beneath the Ross Ice Shelf at the mouth of Whillans Ice Stream, West Antarctica, modeled from ground-based gravity measurements</t>
  </si>
  <si>
    <t>JOURNAL OF GEOPHYSICAL RESEARCH-SOLID EARTH</t>
  </si>
  <si>
    <t>subglacial conditions; gravity anomalies; ice streams; grounding zone; West Antarctic Ice Sheet; subglacial conditions; gravity anomalies; ice streams; grounding zone; West Antarctic Ice Sheet</t>
  </si>
  <si>
    <t>OCEAN CIRCULATION BENEATH; ACTIVE RESERVOIR BENEATH; SUBGLACIAL LAKE WHILLANS; SHEET; LINE; INVERSION; SEA; SEDIMENTATION; VARIABILITY; EXTENSION</t>
  </si>
  <si>
    <t>New gravity data reveal important geologic controls on the location and behavior of the grounding zone of Whillans Ice Stream (WIS), West Antarctica. Grounding zones of ice sheets and contiguous ice shelves are important for understanding ice sheet dynamics, as key processes that influence the grounded ice and its discharge into the ocean occur in these regions. Here, we model the bathymetry and shallow geological structures beneath the Ross Ice Shelf in an embayment of the WIS grounding zone using gravity data collected on the ground, in conjunction with seismic and radar data. We find that the region of shallow ocean water (</t>
  </si>
  <si>
    <t>[Muto, Atsuhiro; Anandakrishnan, Sridhar; Alley, Richard B.] Penn State Univ, Dept Geosci, University Pk, PA 16802 USA; [Muto, Atsuhiro; Anandakrishnan, Sridhar; Alley, Richard B.] Penn State Univ, Earth &amp; Environm Syst Inst, University Pk, PA 16802 USA; [Christianson, Knut] St Olaf Coll, Dept Phys, Northfield, MN 55057 USA; [Horgan, Huw J.] Victoria Univ Wellington, Antarctic Res Ctr, Wellington, New Zealand</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</si>
  <si>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 Saint Olaf College; Victoria University Wellington</t>
  </si>
  <si>
    <t>Muto, A (corresponding author), Penn State Univ, Dept Geosci, Deike Bldg, University Pk, PA 16802 USA.</t>
  </si>
  <si>
    <t>aum34@psu.edu</t>
  </si>
  <si>
    <t>Horgan, Huw/I-5847-2019; Anandakrishnan, Sridhar/JCN-5026-2023; Muto, Atsuhiro/AAJ-9558-2020</t>
  </si>
  <si>
    <t>NSF [0424589, 0131487, 0838763, 0838764, 0909335]; Directorate For Geosciences; Office of Polar Programs (OPP) [0838763, 0909335] Funding Source: National Science Foundation</t>
  </si>
  <si>
    <t>We thank Ken Jezek and Chris Jekeli of Ohio State University for the loan of the gravimeter, and Yves Rogister for providing the absolute gravity measurement at McMurdo Station. We also thank members of WISSARD 2011-12 field team (Lucas Beem, Rory Hart, Matthew Hill, Benjamin Peterson, and Matthew Siegfried) who assisted in data collection. Field logistics support was provided by Raytheon Polar Services Co. and New York Air National Guard. We thank the editor and two anonymous reviewers whose comments improved the text. This research was supported in part by NSF through 0424589, 0131487, 0838763, 0838764, and 0909335.</t>
  </si>
  <si>
    <t>2169-9313</t>
  </si>
  <si>
    <t>2169-9356</t>
  </si>
  <si>
    <t>J GEOPHYS RES-SOL EA</t>
  </si>
  <si>
    <t>J. Geophys. Res.-Solid Earth</t>
  </si>
  <si>
    <t>10.1002/jgrb.50315</t>
  </si>
  <si>
    <t>225VH</t>
  </si>
  <si>
    <t>WOS:000324991900041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</si>
</sst>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75</v>
      </c>
      <c r="G2" t="s">
        <v>74</v>
      </c>
      <c r="H2" t="s">
        <v>74</v>
      </c>
      <c r="I2" t="s">
        <v>76</v>
      </c>
      <c r="J2" t="s">
        <v>77</v>
      </c>
      <c r="K2" t="s">
        <v>74</v>
      </c>
      <c r="L2" t="s">
        <v>74</v>
      </c>
      <c r="M2" t="s">
        <v>78</v>
      </c>
      <c r="N2" t="s">
        <v>79</v>
      </c>
      <c r="O2" t="s">
        <v>74</v>
      </c>
      <c r="P2" t="s">
        <v>74</v>
      </c>
      <c r="Q2" t="s">
        <v>74</v>
      </c>
      <c r="R2" t="s">
        <v>74</v>
      </c>
      <c r="S2" t="s">
        <v>74</v>
      </c>
      <c r="T2" t="s">
        <v>74</v>
      </c>
      <c r="U2" t="s">
        <v>80</v>
      </c>
      <c r="V2" t="s">
        <v>81</v>
      </c>
      <c r="W2" t="s">
        <v>82</v>
      </c>
      <c r="X2" t="s">
        <v>83</v>
      </c>
      <c r="Y2" t="s">
        <v>84</v>
      </c>
      <c r="Z2" t="s">
        <v>85</v>
      </c>
      <c r="AA2" t="s">
        <v>86</v>
      </c>
      <c r="AB2" t="s">
        <v>87</v>
      </c>
      <c r="AC2" t="s">
        <v>88</v>
      </c>
      <c r="AD2" t="s">
        <v>89</v>
      </c>
      <c r="AE2" t="s">
        <v>90</v>
      </c>
      <c r="AF2" t="s">
        <v>74</v>
      </c>
      <c r="AG2">
        <v>53</v>
      </c>
      <c r="AH2">
        <v>14</v>
      </c>
      <c r="AI2">
        <v>14</v>
      </c>
      <c r="AJ2">
        <v>0</v>
      </c>
      <c r="AK2">
        <v>8</v>
      </c>
      <c r="AL2" t="s">
        <v>91</v>
      </c>
      <c r="AM2" t="s">
        <v>92</v>
      </c>
      <c r="AN2" t="s">
        <v>93</v>
      </c>
      <c r="AO2" t="s">
        <v>94</v>
      </c>
      <c r="AP2" t="s">
        <v>95</v>
      </c>
      <c r="AQ2" t="s">
        <v>74</v>
      </c>
      <c r="AR2" t="s">
        <v>77</v>
      </c>
      <c r="AS2" t="s">
        <v>96</v>
      </c>
      <c r="AT2" t="s">
        <v>74</v>
      </c>
      <c r="AU2">
        <v>2014</v>
      </c>
      <c r="AV2">
        <v>8</v>
      </c>
      <c r="AW2">
        <v>4</v>
      </c>
      <c r="AX2" t="s">
        <v>74</v>
      </c>
      <c r="AY2" t="s">
        <v>74</v>
      </c>
      <c r="AZ2" t="s">
        <v>74</v>
      </c>
      <c r="BA2" t="s">
        <v>74</v>
      </c>
      <c r="BB2">
        <v>1519</v>
      </c>
      <c r="BC2">
        <v>1538</v>
      </c>
      <c r="BD2" t="s">
        <v>74</v>
      </c>
      <c r="BE2" t="s">
        <v>97</v>
      </c>
      <c r="BF2" t="str">
        <f>HYPERLINK("http://dx.doi.org/10.5194/tc-8-1519-2014","http://dx.doi.org/10.5194/tc-8-1519-2014")</f>
        <v>http://dx.doi.org/10.5194/tc-8-1519-2014</v>
      </c>
      <c r="BG2" t="s">
        <v>74</v>
      </c>
      <c r="BH2" t="s">
        <v>74</v>
      </c>
      <c r="BI2">
        <v>20</v>
      </c>
      <c r="BJ2" t="s">
        <v>98</v>
      </c>
      <c r="BK2" t="s">
        <v>99</v>
      </c>
      <c r="BL2" t="s">
        <v>100</v>
      </c>
      <c r="BM2" t="s">
        <v>101</v>
      </c>
      <c r="BN2" t="s">
        <v>74</v>
      </c>
      <c r="BO2" t="s">
        <v>102</v>
      </c>
      <c r="BP2" t="s">
        <v>74</v>
      </c>
      <c r="BQ2" t="s">
        <v>74</v>
      </c>
      <c r="BR2" t="s">
        <v>103</v>
      </c>
      <c r="BS2" t="s">
        <v>104</v>
      </c>
      <c r="BT2" t="str">
        <f>HYPERLINK("https%3A%2F%2Fwww.webofscience.com%2Fwos%2Fwoscc%2Ffull-record%2FWOS:000341622700029","View Full Record in Web of Science")</f>
        <v>View Full Record in Web of Science</v>
      </c>
    </row>
    <row r="3" spans="1:72" x14ac:dyDescent="0.15">
      <c r="A3" t="s">
        <v>72</v>
      </c>
      <c r="B3" t="s">
        <v>105</v>
      </c>
      <c r="C3" t="s">
        <v>74</v>
      </c>
      <c r="D3" t="s">
        <v>74</v>
      </c>
      <c r="E3" t="s">
        <v>74</v>
      </c>
      <c r="F3" t="s">
        <v>106</v>
      </c>
      <c r="G3" t="s">
        <v>74</v>
      </c>
      <c r="H3" t="s">
        <v>74</v>
      </c>
      <c r="I3" t="s">
        <v>107</v>
      </c>
      <c r="J3" t="s">
        <v>77</v>
      </c>
      <c r="K3" t="s">
        <v>74</v>
      </c>
      <c r="L3" t="s">
        <v>74</v>
      </c>
      <c r="M3" t="s">
        <v>78</v>
      </c>
      <c r="N3" t="s">
        <v>79</v>
      </c>
      <c r="O3" t="s">
        <v>74</v>
      </c>
      <c r="P3" t="s">
        <v>74</v>
      </c>
      <c r="Q3" t="s">
        <v>74</v>
      </c>
      <c r="R3" t="s">
        <v>74</v>
      </c>
      <c r="S3" t="s">
        <v>74</v>
      </c>
      <c r="T3" t="s">
        <v>74</v>
      </c>
      <c r="U3" t="s">
        <v>108</v>
      </c>
      <c r="V3" t="s">
        <v>109</v>
      </c>
      <c r="W3" t="s">
        <v>110</v>
      </c>
      <c r="X3" t="s">
        <v>111</v>
      </c>
      <c r="Y3" t="s">
        <v>112</v>
      </c>
      <c r="Z3" t="s">
        <v>113</v>
      </c>
      <c r="AA3" t="s">
        <v>74</v>
      </c>
      <c r="AB3" t="s">
        <v>114</v>
      </c>
      <c r="AC3" t="s">
        <v>115</v>
      </c>
      <c r="AD3" t="s">
        <v>116</v>
      </c>
      <c r="AE3" t="s">
        <v>117</v>
      </c>
      <c r="AF3" t="s">
        <v>74</v>
      </c>
      <c r="AG3">
        <v>74</v>
      </c>
      <c r="AH3">
        <v>294</v>
      </c>
      <c r="AI3">
        <v>335</v>
      </c>
      <c r="AJ3">
        <v>6</v>
      </c>
      <c r="AK3">
        <v>97</v>
      </c>
      <c r="AL3" t="s">
        <v>91</v>
      </c>
      <c r="AM3" t="s">
        <v>92</v>
      </c>
      <c r="AN3" t="s">
        <v>93</v>
      </c>
      <c r="AO3" t="s">
        <v>94</v>
      </c>
      <c r="AP3" t="s">
        <v>95</v>
      </c>
      <c r="AQ3" t="s">
        <v>74</v>
      </c>
      <c r="AR3" t="s">
        <v>77</v>
      </c>
      <c r="AS3" t="s">
        <v>96</v>
      </c>
      <c r="AT3" t="s">
        <v>74</v>
      </c>
      <c r="AU3">
        <v>2014</v>
      </c>
      <c r="AV3">
        <v>8</v>
      </c>
      <c r="AW3">
        <v>4</v>
      </c>
      <c r="AX3" t="s">
        <v>74</v>
      </c>
      <c r="AY3" t="s">
        <v>74</v>
      </c>
      <c r="AZ3" t="s">
        <v>74</v>
      </c>
      <c r="BA3" t="s">
        <v>74</v>
      </c>
      <c r="BB3">
        <v>1539</v>
      </c>
      <c r="BC3">
        <v>1559</v>
      </c>
      <c r="BD3" t="s">
        <v>74</v>
      </c>
      <c r="BE3" t="s">
        <v>118</v>
      </c>
      <c r="BF3" t="str">
        <f>HYPERLINK("http://dx.doi.org/10.5194/tc-8-1539-2014","http://dx.doi.org/10.5194/tc-8-1539-2014")</f>
        <v>http://dx.doi.org/10.5194/tc-8-1539-2014</v>
      </c>
      <c r="BG3" t="s">
        <v>74</v>
      </c>
      <c r="BH3" t="s">
        <v>74</v>
      </c>
      <c r="BI3">
        <v>21</v>
      </c>
      <c r="BJ3" t="s">
        <v>98</v>
      </c>
      <c r="BK3" t="s">
        <v>99</v>
      </c>
      <c r="BL3" t="s">
        <v>100</v>
      </c>
      <c r="BM3" t="s">
        <v>101</v>
      </c>
      <c r="BN3" t="s">
        <v>74</v>
      </c>
      <c r="BO3" t="s">
        <v>119</v>
      </c>
      <c r="BP3" t="s">
        <v>120</v>
      </c>
      <c r="BQ3" t="s">
        <v>121</v>
      </c>
      <c r="BR3" t="s">
        <v>103</v>
      </c>
      <c r="BS3" t="s">
        <v>122</v>
      </c>
      <c r="BT3" t="str">
        <f>HYPERLINK("https%3A%2F%2Fwww.webofscience.com%2Fwos%2Fwoscc%2Ffull-record%2FWOS:000341622700030","View Full Record in Web of Science")</f>
        <v>View Full Record in Web of Science</v>
      </c>
    </row>
    <row r="4" spans="1:72" x14ac:dyDescent="0.15">
      <c r="A4" t="s">
        <v>72</v>
      </c>
      <c r="B4" t="s">
        <v>123</v>
      </c>
      <c r="C4" t="s">
        <v>74</v>
      </c>
      <c r="D4" t="s">
        <v>74</v>
      </c>
      <c r="E4" t="s">
        <v>74</v>
      </c>
      <c r="F4" t="s">
        <v>124</v>
      </c>
      <c r="G4" t="s">
        <v>74</v>
      </c>
      <c r="H4" t="s">
        <v>74</v>
      </c>
      <c r="I4" t="s">
        <v>125</v>
      </c>
      <c r="J4" t="s">
        <v>77</v>
      </c>
      <c r="K4" t="s">
        <v>74</v>
      </c>
      <c r="L4" t="s">
        <v>74</v>
      </c>
      <c r="M4" t="s">
        <v>78</v>
      </c>
      <c r="N4" t="s">
        <v>79</v>
      </c>
      <c r="O4" t="s">
        <v>74</v>
      </c>
      <c r="P4" t="s">
        <v>74</v>
      </c>
      <c r="Q4" t="s">
        <v>74</v>
      </c>
      <c r="R4" t="s">
        <v>74</v>
      </c>
      <c r="S4" t="s">
        <v>74</v>
      </c>
      <c r="T4" t="s">
        <v>74</v>
      </c>
      <c r="U4" t="s">
        <v>126</v>
      </c>
      <c r="V4" t="s">
        <v>127</v>
      </c>
      <c r="W4" t="s">
        <v>128</v>
      </c>
      <c r="X4" t="s">
        <v>129</v>
      </c>
      <c r="Y4" t="s">
        <v>130</v>
      </c>
      <c r="Z4" t="s">
        <v>131</v>
      </c>
      <c r="AA4" t="s">
        <v>132</v>
      </c>
      <c r="AB4" t="s">
        <v>133</v>
      </c>
      <c r="AC4" t="s">
        <v>134</v>
      </c>
      <c r="AD4" t="s">
        <v>135</v>
      </c>
      <c r="AE4" t="s">
        <v>136</v>
      </c>
      <c r="AF4" t="s">
        <v>74</v>
      </c>
      <c r="AG4">
        <v>35</v>
      </c>
      <c r="AH4">
        <v>110</v>
      </c>
      <c r="AI4">
        <v>114</v>
      </c>
      <c r="AJ4">
        <v>2</v>
      </c>
      <c r="AK4">
        <v>35</v>
      </c>
      <c r="AL4" t="s">
        <v>91</v>
      </c>
      <c r="AM4" t="s">
        <v>92</v>
      </c>
      <c r="AN4" t="s">
        <v>93</v>
      </c>
      <c r="AO4" t="s">
        <v>94</v>
      </c>
      <c r="AP4" t="s">
        <v>95</v>
      </c>
      <c r="AQ4" t="s">
        <v>74</v>
      </c>
      <c r="AR4" t="s">
        <v>77</v>
      </c>
      <c r="AS4" t="s">
        <v>96</v>
      </c>
      <c r="AT4" t="s">
        <v>74</v>
      </c>
      <c r="AU4">
        <v>2014</v>
      </c>
      <c r="AV4">
        <v>8</v>
      </c>
      <c r="AW4">
        <v>4</v>
      </c>
      <c r="AX4" t="s">
        <v>74</v>
      </c>
      <c r="AY4" t="s">
        <v>74</v>
      </c>
      <c r="AZ4" t="s">
        <v>74</v>
      </c>
      <c r="BA4" t="s">
        <v>74</v>
      </c>
      <c r="BB4">
        <v>1577</v>
      </c>
      <c r="BC4">
        <v>1587</v>
      </c>
      <c r="BD4" t="s">
        <v>74</v>
      </c>
      <c r="BE4" t="s">
        <v>137</v>
      </c>
      <c r="BF4" t="str">
        <f>HYPERLINK("http://dx.doi.org/10.5194/tc-8-1577-2014","http://dx.doi.org/10.5194/tc-8-1577-2014")</f>
        <v>http://dx.doi.org/10.5194/tc-8-1577-2014</v>
      </c>
      <c r="BG4" t="s">
        <v>74</v>
      </c>
      <c r="BH4" t="s">
        <v>74</v>
      </c>
      <c r="BI4">
        <v>11</v>
      </c>
      <c r="BJ4" t="s">
        <v>98</v>
      </c>
      <c r="BK4" t="s">
        <v>99</v>
      </c>
      <c r="BL4" t="s">
        <v>100</v>
      </c>
      <c r="BM4" t="s">
        <v>101</v>
      </c>
      <c r="BN4" t="s">
        <v>74</v>
      </c>
      <c r="BO4" t="s">
        <v>138</v>
      </c>
      <c r="BP4" t="s">
        <v>74</v>
      </c>
      <c r="BQ4" t="s">
        <v>74</v>
      </c>
      <c r="BR4" t="s">
        <v>103</v>
      </c>
      <c r="BS4" t="s">
        <v>139</v>
      </c>
      <c r="BT4" t="str">
        <f>HYPERLINK("https%3A%2F%2Fwww.webofscience.com%2Fwos%2Fwoscc%2Ffull-record%2FWOS:000341622700032","View Full Record in Web of Science")</f>
        <v>View Full Record in Web of Science</v>
      </c>
    </row>
    <row r="5" spans="1:72" x14ac:dyDescent="0.15">
      <c r="A5" t="s">
        <v>72</v>
      </c>
      <c r="B5" t="s">
        <v>140</v>
      </c>
      <c r="C5" t="s">
        <v>74</v>
      </c>
      <c r="D5" t="s">
        <v>74</v>
      </c>
      <c r="E5" t="s">
        <v>74</v>
      </c>
      <c r="F5" t="s">
        <v>141</v>
      </c>
      <c r="G5" t="s">
        <v>74</v>
      </c>
      <c r="H5" t="s">
        <v>74</v>
      </c>
      <c r="I5" t="s">
        <v>142</v>
      </c>
      <c r="J5" t="s">
        <v>77</v>
      </c>
      <c r="K5" t="s">
        <v>74</v>
      </c>
      <c r="L5" t="s">
        <v>74</v>
      </c>
      <c r="M5" t="s">
        <v>78</v>
      </c>
      <c r="N5" t="s">
        <v>79</v>
      </c>
      <c r="O5" t="s">
        <v>74</v>
      </c>
      <c r="P5" t="s">
        <v>74</v>
      </c>
      <c r="Q5" t="s">
        <v>74</v>
      </c>
      <c r="R5" t="s">
        <v>74</v>
      </c>
      <c r="S5" t="s">
        <v>74</v>
      </c>
      <c r="T5" t="s">
        <v>74</v>
      </c>
      <c r="U5" t="s">
        <v>143</v>
      </c>
      <c r="V5" t="s">
        <v>144</v>
      </c>
      <c r="W5" t="s">
        <v>145</v>
      </c>
      <c r="X5" t="s">
        <v>146</v>
      </c>
      <c r="Y5" t="s">
        <v>147</v>
      </c>
      <c r="Z5" t="s">
        <v>148</v>
      </c>
      <c r="AA5" t="s">
        <v>149</v>
      </c>
      <c r="AB5" t="s">
        <v>150</v>
      </c>
      <c r="AC5" t="s">
        <v>151</v>
      </c>
      <c r="AD5" t="s">
        <v>152</v>
      </c>
      <c r="AE5" t="s">
        <v>153</v>
      </c>
      <c r="AF5" t="s">
        <v>74</v>
      </c>
      <c r="AG5">
        <v>44</v>
      </c>
      <c r="AH5">
        <v>49</v>
      </c>
      <c r="AI5">
        <v>51</v>
      </c>
      <c r="AJ5">
        <v>2</v>
      </c>
      <c r="AK5">
        <v>16</v>
      </c>
      <c r="AL5" t="s">
        <v>91</v>
      </c>
      <c r="AM5" t="s">
        <v>92</v>
      </c>
      <c r="AN5" t="s">
        <v>93</v>
      </c>
      <c r="AO5" t="s">
        <v>94</v>
      </c>
      <c r="AP5" t="s">
        <v>95</v>
      </c>
      <c r="AQ5" t="s">
        <v>74</v>
      </c>
      <c r="AR5" t="s">
        <v>77</v>
      </c>
      <c r="AS5" t="s">
        <v>96</v>
      </c>
      <c r="AT5" t="s">
        <v>74</v>
      </c>
      <c r="AU5">
        <v>2014</v>
      </c>
      <c r="AV5">
        <v>8</v>
      </c>
      <c r="AW5">
        <v>5</v>
      </c>
      <c r="AX5" t="s">
        <v>74</v>
      </c>
      <c r="AY5" t="s">
        <v>74</v>
      </c>
      <c r="AZ5" t="s">
        <v>74</v>
      </c>
      <c r="BA5" t="s">
        <v>74</v>
      </c>
      <c r="BB5">
        <v>1711</v>
      </c>
      <c r="BC5">
        <v>1723</v>
      </c>
      <c r="BD5" t="s">
        <v>74</v>
      </c>
      <c r="BE5" t="s">
        <v>154</v>
      </c>
      <c r="BF5" t="str">
        <f>HYPERLINK("http://dx.doi.org/10.5194/tc-8-1711-2014","http://dx.doi.org/10.5194/tc-8-1711-2014")</f>
        <v>http://dx.doi.org/10.5194/tc-8-1711-2014</v>
      </c>
      <c r="BG5" t="s">
        <v>74</v>
      </c>
      <c r="BH5" t="s">
        <v>74</v>
      </c>
      <c r="BI5">
        <v>13</v>
      </c>
      <c r="BJ5" t="s">
        <v>98</v>
      </c>
      <c r="BK5" t="s">
        <v>99</v>
      </c>
      <c r="BL5" t="s">
        <v>100</v>
      </c>
      <c r="BM5" t="s">
        <v>155</v>
      </c>
      <c r="BN5" t="s">
        <v>74</v>
      </c>
      <c r="BO5" t="s">
        <v>138</v>
      </c>
      <c r="BP5" t="s">
        <v>74</v>
      </c>
      <c r="BQ5" t="s">
        <v>74</v>
      </c>
      <c r="BR5" t="s">
        <v>103</v>
      </c>
      <c r="BS5" t="s">
        <v>156</v>
      </c>
      <c r="BT5" t="str">
        <f>HYPERLINK("https%3A%2F%2Fwww.webofscience.com%2Fwos%2Fwoscc%2Ffull-record%2FWOS:000344728900007","View Full Record in Web of Science")</f>
        <v>View Full Record in Web of Science</v>
      </c>
    </row>
    <row r="6" spans="1:72" x14ac:dyDescent="0.15">
      <c r="A6" t="s">
        <v>72</v>
      </c>
      <c r="B6" t="s">
        <v>157</v>
      </c>
      <c r="C6" t="s">
        <v>74</v>
      </c>
      <c r="D6" t="s">
        <v>74</v>
      </c>
      <c r="E6" t="s">
        <v>74</v>
      </c>
      <c r="F6" t="s">
        <v>158</v>
      </c>
      <c r="G6" t="s">
        <v>74</v>
      </c>
      <c r="H6" t="s">
        <v>74</v>
      </c>
      <c r="I6" t="s">
        <v>159</v>
      </c>
      <c r="J6" t="s">
        <v>77</v>
      </c>
      <c r="K6" t="s">
        <v>74</v>
      </c>
      <c r="L6" t="s">
        <v>74</v>
      </c>
      <c r="M6" t="s">
        <v>78</v>
      </c>
      <c r="N6" t="s">
        <v>79</v>
      </c>
      <c r="O6" t="s">
        <v>74</v>
      </c>
      <c r="P6" t="s">
        <v>74</v>
      </c>
      <c r="Q6" t="s">
        <v>74</v>
      </c>
      <c r="R6" t="s">
        <v>74</v>
      </c>
      <c r="S6" t="s">
        <v>74</v>
      </c>
      <c r="T6" t="s">
        <v>74</v>
      </c>
      <c r="U6" t="s">
        <v>160</v>
      </c>
      <c r="V6" t="s">
        <v>161</v>
      </c>
      <c r="W6" t="s">
        <v>162</v>
      </c>
      <c r="X6" t="s">
        <v>163</v>
      </c>
      <c r="Y6" t="s">
        <v>164</v>
      </c>
      <c r="Z6" t="s">
        <v>165</v>
      </c>
      <c r="AA6" t="s">
        <v>166</v>
      </c>
      <c r="AB6" t="s">
        <v>167</v>
      </c>
      <c r="AC6" t="s">
        <v>168</v>
      </c>
      <c r="AD6" t="s">
        <v>169</v>
      </c>
      <c r="AE6" t="s">
        <v>170</v>
      </c>
      <c r="AF6" t="s">
        <v>74</v>
      </c>
      <c r="AG6">
        <v>52</v>
      </c>
      <c r="AH6">
        <v>28</v>
      </c>
      <c r="AI6">
        <v>30</v>
      </c>
      <c r="AJ6">
        <v>0</v>
      </c>
      <c r="AK6">
        <v>5</v>
      </c>
      <c r="AL6" t="s">
        <v>91</v>
      </c>
      <c r="AM6" t="s">
        <v>92</v>
      </c>
      <c r="AN6" t="s">
        <v>93</v>
      </c>
      <c r="AO6" t="s">
        <v>94</v>
      </c>
      <c r="AP6" t="s">
        <v>95</v>
      </c>
      <c r="AQ6" t="s">
        <v>74</v>
      </c>
      <c r="AR6" t="s">
        <v>77</v>
      </c>
      <c r="AS6" t="s">
        <v>96</v>
      </c>
      <c r="AT6" t="s">
        <v>74</v>
      </c>
      <c r="AU6">
        <v>2014</v>
      </c>
      <c r="AV6">
        <v>8</v>
      </c>
      <c r="AW6">
        <v>5</v>
      </c>
      <c r="AX6" t="s">
        <v>74</v>
      </c>
      <c r="AY6" t="s">
        <v>74</v>
      </c>
      <c r="AZ6" t="s">
        <v>74</v>
      </c>
      <c r="BA6" t="s">
        <v>74</v>
      </c>
      <c r="BB6">
        <v>1763</v>
      </c>
      <c r="BC6">
        <v>1775</v>
      </c>
      <c r="BD6" t="s">
        <v>74</v>
      </c>
      <c r="BE6" t="s">
        <v>171</v>
      </c>
      <c r="BF6" t="str">
        <f>HYPERLINK("http://dx.doi.org/10.5194/tc-8-1763-2014","http://dx.doi.org/10.5194/tc-8-1763-2014")</f>
        <v>http://dx.doi.org/10.5194/tc-8-1763-2014</v>
      </c>
      <c r="BG6" t="s">
        <v>74</v>
      </c>
      <c r="BH6" t="s">
        <v>74</v>
      </c>
      <c r="BI6">
        <v>13</v>
      </c>
      <c r="BJ6" t="s">
        <v>98</v>
      </c>
      <c r="BK6" t="s">
        <v>99</v>
      </c>
      <c r="BL6" t="s">
        <v>100</v>
      </c>
      <c r="BM6" t="s">
        <v>155</v>
      </c>
      <c r="BN6" t="s">
        <v>74</v>
      </c>
      <c r="BO6" t="s">
        <v>172</v>
      </c>
      <c r="BP6" t="s">
        <v>74</v>
      </c>
      <c r="BQ6" t="s">
        <v>74</v>
      </c>
      <c r="BR6" t="s">
        <v>103</v>
      </c>
      <c r="BS6" t="s">
        <v>173</v>
      </c>
      <c r="BT6" t="str">
        <f>HYPERLINK("https%3A%2F%2Fwww.webofscience.com%2Fwos%2Fwoscc%2Ffull-record%2FWOS:000344728900011","View Full Record in Web of Science")</f>
        <v>View Full Record in Web of Science</v>
      </c>
    </row>
    <row r="7" spans="1:72" x14ac:dyDescent="0.15">
      <c r="A7" t="s">
        <v>72</v>
      </c>
      <c r="B7" t="s">
        <v>174</v>
      </c>
      <c r="C7" t="s">
        <v>74</v>
      </c>
      <c r="D7" t="s">
        <v>74</v>
      </c>
      <c r="E7" t="s">
        <v>74</v>
      </c>
      <c r="F7" t="s">
        <v>175</v>
      </c>
      <c r="G7" t="s">
        <v>74</v>
      </c>
      <c r="H7" t="s">
        <v>74</v>
      </c>
      <c r="I7" t="s">
        <v>176</v>
      </c>
      <c r="J7" t="s">
        <v>77</v>
      </c>
      <c r="K7" t="s">
        <v>74</v>
      </c>
      <c r="L7" t="s">
        <v>74</v>
      </c>
      <c r="M7" t="s">
        <v>78</v>
      </c>
      <c r="N7" t="s">
        <v>79</v>
      </c>
      <c r="O7" t="s">
        <v>74</v>
      </c>
      <c r="P7" t="s">
        <v>74</v>
      </c>
      <c r="Q7" t="s">
        <v>74</v>
      </c>
      <c r="R7" t="s">
        <v>74</v>
      </c>
      <c r="S7" t="s">
        <v>74</v>
      </c>
      <c r="T7" t="s">
        <v>74</v>
      </c>
      <c r="U7" t="s">
        <v>177</v>
      </c>
      <c r="V7" t="s">
        <v>178</v>
      </c>
      <c r="W7" t="s">
        <v>179</v>
      </c>
      <c r="X7" t="s">
        <v>180</v>
      </c>
      <c r="Y7" t="s">
        <v>181</v>
      </c>
      <c r="Z7" t="s">
        <v>182</v>
      </c>
      <c r="AA7" t="s">
        <v>183</v>
      </c>
      <c r="AB7" t="s">
        <v>184</v>
      </c>
      <c r="AC7" t="s">
        <v>185</v>
      </c>
      <c r="AD7" t="s">
        <v>186</v>
      </c>
      <c r="AE7" t="s">
        <v>187</v>
      </c>
      <c r="AF7" t="s">
        <v>74</v>
      </c>
      <c r="AG7">
        <v>48</v>
      </c>
      <c r="AH7">
        <v>32</v>
      </c>
      <c r="AI7">
        <v>32</v>
      </c>
      <c r="AJ7">
        <v>1</v>
      </c>
      <c r="AK7">
        <v>20</v>
      </c>
      <c r="AL7" t="s">
        <v>91</v>
      </c>
      <c r="AM7" t="s">
        <v>92</v>
      </c>
      <c r="AN7" t="s">
        <v>93</v>
      </c>
      <c r="AO7" t="s">
        <v>94</v>
      </c>
      <c r="AP7" t="s">
        <v>95</v>
      </c>
      <c r="AQ7" t="s">
        <v>74</v>
      </c>
      <c r="AR7" t="s">
        <v>77</v>
      </c>
      <c r="AS7" t="s">
        <v>96</v>
      </c>
      <c r="AT7" t="s">
        <v>74</v>
      </c>
      <c r="AU7">
        <v>2014</v>
      </c>
      <c r="AV7">
        <v>8</v>
      </c>
      <c r="AW7">
        <v>6</v>
      </c>
      <c r="AX7" t="s">
        <v>74</v>
      </c>
      <c r="AY7" t="s">
        <v>74</v>
      </c>
      <c r="AZ7" t="s">
        <v>74</v>
      </c>
      <c r="BA7" t="s">
        <v>74</v>
      </c>
      <c r="BB7">
        <v>2119</v>
      </c>
      <c r="BC7">
        <v>2134</v>
      </c>
      <c r="BD7" t="s">
        <v>74</v>
      </c>
      <c r="BE7" t="s">
        <v>188</v>
      </c>
      <c r="BF7" t="str">
        <f>HYPERLINK("http://dx.doi.org/10.5194/tc-8-2119-2014","http://dx.doi.org/10.5194/tc-8-2119-2014")</f>
        <v>http://dx.doi.org/10.5194/tc-8-2119-2014</v>
      </c>
      <c r="BG7" t="s">
        <v>74</v>
      </c>
      <c r="BH7" t="s">
        <v>74</v>
      </c>
      <c r="BI7">
        <v>16</v>
      </c>
      <c r="BJ7" t="s">
        <v>98</v>
      </c>
      <c r="BK7" t="s">
        <v>99</v>
      </c>
      <c r="BL7" t="s">
        <v>100</v>
      </c>
      <c r="BM7" t="s">
        <v>189</v>
      </c>
      <c r="BN7" t="s">
        <v>74</v>
      </c>
      <c r="BO7" t="s">
        <v>190</v>
      </c>
      <c r="BP7" t="s">
        <v>74</v>
      </c>
      <c r="BQ7" t="s">
        <v>74</v>
      </c>
      <c r="BR7" t="s">
        <v>103</v>
      </c>
      <c r="BS7" t="s">
        <v>191</v>
      </c>
      <c r="BT7" t="str">
        <f>HYPERLINK("https%3A%2F%2Fwww.webofscience.com%2Fwos%2Fwoscc%2Ffull-record%2FWOS:000347468000008","View Full Record in Web of Science")</f>
        <v>View Full Record in Web of Science</v>
      </c>
    </row>
    <row r="8" spans="1:72" x14ac:dyDescent="0.15">
      <c r="A8" t="s">
        <v>72</v>
      </c>
      <c r="B8" t="s">
        <v>192</v>
      </c>
      <c r="C8" t="s">
        <v>74</v>
      </c>
      <c r="D8" t="s">
        <v>74</v>
      </c>
      <c r="E8" t="s">
        <v>74</v>
      </c>
      <c r="F8" t="s">
        <v>193</v>
      </c>
      <c r="G8" t="s">
        <v>74</v>
      </c>
      <c r="H8" t="s">
        <v>74</v>
      </c>
      <c r="I8" t="s">
        <v>194</v>
      </c>
      <c r="J8" t="s">
        <v>77</v>
      </c>
      <c r="K8" t="s">
        <v>74</v>
      </c>
      <c r="L8" t="s">
        <v>74</v>
      </c>
      <c r="M8" t="s">
        <v>78</v>
      </c>
      <c r="N8" t="s">
        <v>79</v>
      </c>
      <c r="O8" t="s">
        <v>74</v>
      </c>
      <c r="P8" t="s">
        <v>74</v>
      </c>
      <c r="Q8" t="s">
        <v>74</v>
      </c>
      <c r="R8" t="s">
        <v>74</v>
      </c>
      <c r="S8" t="s">
        <v>74</v>
      </c>
      <c r="T8" t="s">
        <v>74</v>
      </c>
      <c r="U8" t="s">
        <v>195</v>
      </c>
      <c r="V8" t="s">
        <v>196</v>
      </c>
      <c r="W8" t="s">
        <v>197</v>
      </c>
      <c r="X8" t="s">
        <v>198</v>
      </c>
      <c r="Y8" t="s">
        <v>199</v>
      </c>
      <c r="Z8" t="s">
        <v>200</v>
      </c>
      <c r="AA8" t="s">
        <v>201</v>
      </c>
      <c r="AB8" t="s">
        <v>202</v>
      </c>
      <c r="AC8" t="s">
        <v>203</v>
      </c>
      <c r="AD8" t="s">
        <v>204</v>
      </c>
      <c r="AE8" t="s">
        <v>205</v>
      </c>
      <c r="AF8" t="s">
        <v>74</v>
      </c>
      <c r="AG8">
        <v>72</v>
      </c>
      <c r="AH8">
        <v>82</v>
      </c>
      <c r="AI8">
        <v>86</v>
      </c>
      <c r="AJ8">
        <v>2</v>
      </c>
      <c r="AK8">
        <v>31</v>
      </c>
      <c r="AL8" t="s">
        <v>91</v>
      </c>
      <c r="AM8" t="s">
        <v>92</v>
      </c>
      <c r="AN8" t="s">
        <v>93</v>
      </c>
      <c r="AO8" t="s">
        <v>94</v>
      </c>
      <c r="AP8" t="s">
        <v>95</v>
      </c>
      <c r="AQ8" t="s">
        <v>74</v>
      </c>
      <c r="AR8" t="s">
        <v>77</v>
      </c>
      <c r="AS8" t="s">
        <v>96</v>
      </c>
      <c r="AT8" t="s">
        <v>74</v>
      </c>
      <c r="AU8">
        <v>2014</v>
      </c>
      <c r="AV8">
        <v>8</v>
      </c>
      <c r="AW8">
        <v>6</v>
      </c>
      <c r="AX8" t="s">
        <v>74</v>
      </c>
      <c r="AY8" t="s">
        <v>74</v>
      </c>
      <c r="AZ8" t="s">
        <v>74</v>
      </c>
      <c r="BA8" t="s">
        <v>74</v>
      </c>
      <c r="BB8">
        <v>2381</v>
      </c>
      <c r="BC8">
        <v>2394</v>
      </c>
      <c r="BD8" t="s">
        <v>74</v>
      </c>
      <c r="BE8" t="s">
        <v>206</v>
      </c>
      <c r="BF8" t="str">
        <f>HYPERLINK("http://dx.doi.org/10.5194/tc-8-2381-2014","http://dx.doi.org/10.5194/tc-8-2381-2014")</f>
        <v>http://dx.doi.org/10.5194/tc-8-2381-2014</v>
      </c>
      <c r="BG8" t="s">
        <v>74</v>
      </c>
      <c r="BH8" t="s">
        <v>74</v>
      </c>
      <c r="BI8">
        <v>14</v>
      </c>
      <c r="BJ8" t="s">
        <v>98</v>
      </c>
      <c r="BK8" t="s">
        <v>99</v>
      </c>
      <c r="BL8" t="s">
        <v>100</v>
      </c>
      <c r="BM8" t="s">
        <v>189</v>
      </c>
      <c r="BN8" t="s">
        <v>74</v>
      </c>
      <c r="BO8" t="s">
        <v>207</v>
      </c>
      <c r="BP8" t="s">
        <v>74</v>
      </c>
      <c r="BQ8" t="s">
        <v>74</v>
      </c>
      <c r="BR8" t="s">
        <v>103</v>
      </c>
      <c r="BS8" t="s">
        <v>208</v>
      </c>
      <c r="BT8" t="str">
        <f>HYPERLINK("https%3A%2F%2Fwww.webofscience.com%2Fwos%2Fwoscc%2Ffull-record%2FWOS:000347468000024","View Full Record in Web of Science")</f>
        <v>View Full Record in Web of Science</v>
      </c>
    </row>
    <row r="9" spans="1:72" x14ac:dyDescent="0.15">
      <c r="A9" t="s">
        <v>72</v>
      </c>
      <c r="B9" t="s">
        <v>209</v>
      </c>
      <c r="C9" t="s">
        <v>74</v>
      </c>
      <c r="D9" t="s">
        <v>74</v>
      </c>
      <c r="E9" t="s">
        <v>74</v>
      </c>
      <c r="F9" t="s">
        <v>210</v>
      </c>
      <c r="G9" t="s">
        <v>74</v>
      </c>
      <c r="H9" t="s">
        <v>74</v>
      </c>
      <c r="I9" t="s">
        <v>211</v>
      </c>
      <c r="J9" t="s">
        <v>212</v>
      </c>
      <c r="K9" t="s">
        <v>74</v>
      </c>
      <c r="L9" t="s">
        <v>74</v>
      </c>
      <c r="M9" t="s">
        <v>78</v>
      </c>
      <c r="N9" t="s">
        <v>213</v>
      </c>
      <c r="O9" t="s">
        <v>74</v>
      </c>
      <c r="P9" t="s">
        <v>74</v>
      </c>
      <c r="Q9" t="s">
        <v>74</v>
      </c>
      <c r="R9" t="s">
        <v>74</v>
      </c>
      <c r="S9" t="s">
        <v>74</v>
      </c>
      <c r="T9" t="s">
        <v>214</v>
      </c>
      <c r="U9" t="s">
        <v>215</v>
      </c>
      <c r="V9" t="s">
        <v>216</v>
      </c>
      <c r="W9" t="s">
        <v>217</v>
      </c>
      <c r="X9" t="s">
        <v>218</v>
      </c>
      <c r="Y9" t="s">
        <v>219</v>
      </c>
      <c r="Z9" t="s">
        <v>220</v>
      </c>
      <c r="AA9" t="s">
        <v>221</v>
      </c>
      <c r="AB9" t="s">
        <v>222</v>
      </c>
      <c r="AC9" t="s">
        <v>223</v>
      </c>
      <c r="AD9" t="s">
        <v>224</v>
      </c>
      <c r="AE9" t="s">
        <v>225</v>
      </c>
      <c r="AF9" t="s">
        <v>74</v>
      </c>
      <c r="AG9">
        <v>75</v>
      </c>
      <c r="AH9">
        <v>79</v>
      </c>
      <c r="AI9">
        <v>82</v>
      </c>
      <c r="AJ9">
        <v>7</v>
      </c>
      <c r="AK9">
        <v>131</v>
      </c>
      <c r="AL9" t="s">
        <v>226</v>
      </c>
      <c r="AM9" t="s">
        <v>227</v>
      </c>
      <c r="AN9" t="s">
        <v>228</v>
      </c>
      <c r="AO9" t="s">
        <v>229</v>
      </c>
      <c r="AP9" t="s">
        <v>230</v>
      </c>
      <c r="AQ9" t="s">
        <v>74</v>
      </c>
      <c r="AR9" t="s">
        <v>231</v>
      </c>
      <c r="AS9" t="s">
        <v>232</v>
      </c>
      <c r="AT9" t="s">
        <v>74</v>
      </c>
      <c r="AU9">
        <v>2014</v>
      </c>
      <c r="AV9">
        <v>15</v>
      </c>
      <c r="AW9">
        <v>5</v>
      </c>
      <c r="AX9" t="s">
        <v>74</v>
      </c>
      <c r="AY9" t="s">
        <v>74</v>
      </c>
      <c r="AZ9" t="s">
        <v>74</v>
      </c>
      <c r="BA9" t="s">
        <v>74</v>
      </c>
      <c r="BB9">
        <v>445</v>
      </c>
      <c r="BC9">
        <v>455</v>
      </c>
      <c r="BD9" t="s">
        <v>74</v>
      </c>
      <c r="BE9" t="s">
        <v>233</v>
      </c>
      <c r="BF9" t="str">
        <f>HYPERLINK("http://dx.doi.org/10.2174/1389203715666140228153801","http://dx.doi.org/10.2174/1389203715666140228153801")</f>
        <v>http://dx.doi.org/10.2174/1389203715666140228153801</v>
      </c>
      <c r="BG9" t="s">
        <v>74</v>
      </c>
      <c r="BH9" t="s">
        <v>74</v>
      </c>
      <c r="BI9">
        <v>11</v>
      </c>
      <c r="BJ9" t="s">
        <v>234</v>
      </c>
      <c r="BK9" t="s">
        <v>99</v>
      </c>
      <c r="BL9" t="s">
        <v>234</v>
      </c>
      <c r="BM9" t="s">
        <v>235</v>
      </c>
      <c r="BN9" t="s">
        <v>74</v>
      </c>
      <c r="BO9" t="s">
        <v>236</v>
      </c>
      <c r="BP9" t="s">
        <v>74</v>
      </c>
      <c r="BQ9" t="s">
        <v>74</v>
      </c>
      <c r="BR9" t="s">
        <v>103</v>
      </c>
      <c r="BS9" t="s">
        <v>237</v>
      </c>
      <c r="BT9" t="str">
        <f>HYPERLINK("https%3A%2F%2Fwww.webofscience.com%2Fwos%2Fwoscc%2Ffull-record%2FWOS:000341235800006","View Full Record in Web of Science")</f>
        <v>View Full Record in Web of Science</v>
      </c>
    </row>
    <row r="10" spans="1:72" x14ac:dyDescent="0.15">
      <c r="A10" t="s">
        <v>238</v>
      </c>
      <c r="B10" t="s">
        <v>239</v>
      </c>
      <c r="C10" t="s">
        <v>74</v>
      </c>
      <c r="D10" t="s">
        <v>240</v>
      </c>
      <c r="E10" t="s">
        <v>74</v>
      </c>
      <c r="F10" t="s">
        <v>241</v>
      </c>
      <c r="G10" t="s">
        <v>74</v>
      </c>
      <c r="H10" t="s">
        <v>74</v>
      </c>
      <c r="I10" t="s">
        <v>242</v>
      </c>
      <c r="J10" t="s">
        <v>243</v>
      </c>
      <c r="K10" t="s">
        <v>74</v>
      </c>
      <c r="L10" t="s">
        <v>74</v>
      </c>
      <c r="M10" t="s">
        <v>78</v>
      </c>
      <c r="N10" t="s">
        <v>244</v>
      </c>
      <c r="O10" t="s">
        <v>74</v>
      </c>
      <c r="P10" t="s">
        <v>74</v>
      </c>
      <c r="Q10" t="s">
        <v>74</v>
      </c>
      <c r="R10" t="s">
        <v>74</v>
      </c>
      <c r="S10" t="s">
        <v>74</v>
      </c>
      <c r="T10" t="s">
        <v>74</v>
      </c>
      <c r="U10" t="s">
        <v>245</v>
      </c>
      <c r="V10" t="s">
        <v>74</v>
      </c>
      <c r="W10" t="s">
        <v>246</v>
      </c>
      <c r="X10" t="s">
        <v>247</v>
      </c>
      <c r="Y10" t="s">
        <v>248</v>
      </c>
      <c r="Z10" t="s">
        <v>74</v>
      </c>
      <c r="AA10" t="s">
        <v>249</v>
      </c>
      <c r="AB10" t="s">
        <v>250</v>
      </c>
      <c r="AC10" t="s">
        <v>74</v>
      </c>
      <c r="AD10" t="s">
        <v>74</v>
      </c>
      <c r="AE10" t="s">
        <v>74</v>
      </c>
      <c r="AF10" t="s">
        <v>74</v>
      </c>
      <c r="AG10">
        <v>264</v>
      </c>
      <c r="AH10">
        <v>15</v>
      </c>
      <c r="AI10">
        <v>17</v>
      </c>
      <c r="AJ10">
        <v>1</v>
      </c>
      <c r="AK10">
        <v>5</v>
      </c>
      <c r="AL10" t="s">
        <v>251</v>
      </c>
      <c r="AM10" t="s">
        <v>252</v>
      </c>
      <c r="AN10" t="s">
        <v>253</v>
      </c>
      <c r="AO10" t="s">
        <v>74</v>
      </c>
      <c r="AP10" t="s">
        <v>74</v>
      </c>
      <c r="AQ10" t="s">
        <v>254</v>
      </c>
      <c r="AR10" t="s">
        <v>74</v>
      </c>
      <c r="AS10" t="s">
        <v>74</v>
      </c>
      <c r="AT10" t="s">
        <v>74</v>
      </c>
      <c r="AU10">
        <v>2014</v>
      </c>
      <c r="AV10" t="s">
        <v>74</v>
      </c>
      <c r="AW10" t="s">
        <v>74</v>
      </c>
      <c r="AX10" t="s">
        <v>74</v>
      </c>
      <c r="AY10" t="s">
        <v>74</v>
      </c>
      <c r="AZ10" t="s">
        <v>74</v>
      </c>
      <c r="BA10" t="s">
        <v>74</v>
      </c>
      <c r="BB10">
        <v>43</v>
      </c>
      <c r="BC10">
        <v>63</v>
      </c>
      <c r="BD10" t="s">
        <v>74</v>
      </c>
      <c r="BE10" t="s">
        <v>74</v>
      </c>
      <c r="BF10" t="s">
        <v>74</v>
      </c>
      <c r="BG10" t="s">
        <v>255</v>
      </c>
      <c r="BH10" t="s">
        <v>74</v>
      </c>
      <c r="BI10">
        <v>21</v>
      </c>
      <c r="BJ10" t="s">
        <v>256</v>
      </c>
      <c r="BK10" t="s">
        <v>257</v>
      </c>
      <c r="BL10" t="s">
        <v>258</v>
      </c>
      <c r="BM10" t="s">
        <v>259</v>
      </c>
      <c r="BN10" t="s">
        <v>74</v>
      </c>
      <c r="BO10" t="s">
        <v>74</v>
      </c>
      <c r="BP10" t="s">
        <v>74</v>
      </c>
      <c r="BQ10" t="s">
        <v>74</v>
      </c>
      <c r="BR10" t="s">
        <v>103</v>
      </c>
      <c r="BS10" t="s">
        <v>260</v>
      </c>
      <c r="BT10" t="str">
        <f>HYPERLINK("https%3A%2F%2Fwww.webofscience.com%2Fwos%2Fwoscc%2Ffull-record%2FWOS:000450750800005","View Full Record in Web of Science")</f>
        <v>View Full Record in Web of Science</v>
      </c>
    </row>
    <row r="11" spans="1:72" x14ac:dyDescent="0.15">
      <c r="A11" t="s">
        <v>72</v>
      </c>
      <c r="B11" t="s">
        <v>261</v>
      </c>
      <c r="C11" t="s">
        <v>74</v>
      </c>
      <c r="D11" t="s">
        <v>74</v>
      </c>
      <c r="E11" t="s">
        <v>74</v>
      </c>
      <c r="F11" t="s">
        <v>262</v>
      </c>
      <c r="G11" t="s">
        <v>74</v>
      </c>
      <c r="H11" t="s">
        <v>74</v>
      </c>
      <c r="I11" t="s">
        <v>263</v>
      </c>
      <c r="J11" t="s">
        <v>264</v>
      </c>
      <c r="K11" t="s">
        <v>74</v>
      </c>
      <c r="L11" t="s">
        <v>74</v>
      </c>
      <c r="M11" t="s">
        <v>78</v>
      </c>
      <c r="N11" t="s">
        <v>79</v>
      </c>
      <c r="O11" t="s">
        <v>74</v>
      </c>
      <c r="P11" t="s">
        <v>74</v>
      </c>
      <c r="Q11" t="s">
        <v>74</v>
      </c>
      <c r="R11" t="s">
        <v>74</v>
      </c>
      <c r="S11" t="s">
        <v>74</v>
      </c>
      <c r="T11" t="s">
        <v>265</v>
      </c>
      <c r="U11" t="s">
        <v>266</v>
      </c>
      <c r="V11" t="s">
        <v>267</v>
      </c>
      <c r="W11" t="s">
        <v>268</v>
      </c>
      <c r="X11" t="s">
        <v>269</v>
      </c>
      <c r="Y11" t="s">
        <v>270</v>
      </c>
      <c r="Z11" t="s">
        <v>271</v>
      </c>
      <c r="AA11" t="s">
        <v>272</v>
      </c>
      <c r="AB11" t="s">
        <v>74</v>
      </c>
      <c r="AC11" t="s">
        <v>273</v>
      </c>
      <c r="AD11" t="s">
        <v>274</v>
      </c>
      <c r="AE11" t="s">
        <v>275</v>
      </c>
      <c r="AF11" t="s">
        <v>74</v>
      </c>
      <c r="AG11">
        <v>44</v>
      </c>
      <c r="AH11">
        <v>19</v>
      </c>
      <c r="AI11">
        <v>25</v>
      </c>
      <c r="AJ11">
        <v>2</v>
      </c>
      <c r="AK11">
        <v>32</v>
      </c>
      <c r="AL11" t="s">
        <v>276</v>
      </c>
      <c r="AM11" t="s">
        <v>277</v>
      </c>
      <c r="AN11" t="s">
        <v>278</v>
      </c>
      <c r="AO11" t="s">
        <v>279</v>
      </c>
      <c r="AP11" t="s">
        <v>280</v>
      </c>
      <c r="AQ11" t="s">
        <v>74</v>
      </c>
      <c r="AR11" t="s">
        <v>281</v>
      </c>
      <c r="AS11" t="s">
        <v>282</v>
      </c>
      <c r="AT11" t="s">
        <v>74</v>
      </c>
      <c r="AU11">
        <v>2014</v>
      </c>
      <c r="AV11">
        <v>29</v>
      </c>
      <c r="AW11">
        <v>3</v>
      </c>
      <c r="AX11" t="s">
        <v>74</v>
      </c>
      <c r="AY11" t="s">
        <v>74</v>
      </c>
      <c r="AZ11" t="s">
        <v>283</v>
      </c>
      <c r="BA11" t="s">
        <v>74</v>
      </c>
      <c r="BB11">
        <v>237</v>
      </c>
      <c r="BC11">
        <v>248</v>
      </c>
      <c r="BD11" t="s">
        <v>74</v>
      </c>
      <c r="BE11" t="s">
        <v>284</v>
      </c>
      <c r="BF11" t="str">
        <f>HYPERLINK("http://dx.doi.org/10.1080/0269249X.2014.889043","http://dx.doi.org/10.1080/0269249X.2014.889043")</f>
        <v>http://dx.doi.org/10.1080/0269249X.2014.889043</v>
      </c>
      <c r="BG11" t="s">
        <v>74</v>
      </c>
      <c r="BH11" t="s">
        <v>74</v>
      </c>
      <c r="BI11">
        <v>12</v>
      </c>
      <c r="BJ11" t="s">
        <v>285</v>
      </c>
      <c r="BK11" t="s">
        <v>99</v>
      </c>
      <c r="BL11" t="s">
        <v>285</v>
      </c>
      <c r="BM11" t="s">
        <v>286</v>
      </c>
      <c r="BN11" t="s">
        <v>74</v>
      </c>
      <c r="BO11" t="s">
        <v>74</v>
      </c>
      <c r="BP11" t="s">
        <v>74</v>
      </c>
      <c r="BQ11" t="s">
        <v>74</v>
      </c>
      <c r="BR11" t="s">
        <v>103</v>
      </c>
      <c r="BS11" t="s">
        <v>287</v>
      </c>
      <c r="BT11" t="str">
        <f>HYPERLINK("https%3A%2F%2Fwww.webofscience.com%2Fwos%2Fwoscc%2Ffull-record%2FWOS:000339399400003","View Full Record in Web of Science")</f>
        <v>View Full Record in Web of Science</v>
      </c>
    </row>
    <row r="12" spans="1:72" x14ac:dyDescent="0.15">
      <c r="A12" t="s">
        <v>72</v>
      </c>
      <c r="B12" t="s">
        <v>288</v>
      </c>
      <c r="C12" t="s">
        <v>74</v>
      </c>
      <c r="D12" t="s">
        <v>74</v>
      </c>
      <c r="E12" t="s">
        <v>74</v>
      </c>
      <c r="F12" t="s">
        <v>289</v>
      </c>
      <c r="G12" t="s">
        <v>74</v>
      </c>
      <c r="H12" t="s">
        <v>74</v>
      </c>
      <c r="I12" t="s">
        <v>290</v>
      </c>
      <c r="J12" t="s">
        <v>291</v>
      </c>
      <c r="K12" t="s">
        <v>74</v>
      </c>
      <c r="L12" t="s">
        <v>74</v>
      </c>
      <c r="M12" t="s">
        <v>78</v>
      </c>
      <c r="N12" t="s">
        <v>79</v>
      </c>
      <c r="O12" t="s">
        <v>74</v>
      </c>
      <c r="P12" t="s">
        <v>74</v>
      </c>
      <c r="Q12" t="s">
        <v>74</v>
      </c>
      <c r="R12" t="s">
        <v>74</v>
      </c>
      <c r="S12" t="s">
        <v>74</v>
      </c>
      <c r="T12" t="s">
        <v>292</v>
      </c>
      <c r="U12" t="s">
        <v>293</v>
      </c>
      <c r="V12" t="s">
        <v>294</v>
      </c>
      <c r="W12" t="s">
        <v>295</v>
      </c>
      <c r="X12" t="s">
        <v>296</v>
      </c>
      <c r="Y12" t="s">
        <v>297</v>
      </c>
      <c r="Z12" t="s">
        <v>298</v>
      </c>
      <c r="AA12" t="s">
        <v>299</v>
      </c>
      <c r="AB12" t="s">
        <v>300</v>
      </c>
      <c r="AC12" t="s">
        <v>301</v>
      </c>
      <c r="AD12" t="s">
        <v>302</v>
      </c>
      <c r="AE12" t="s">
        <v>303</v>
      </c>
      <c r="AF12" t="s">
        <v>74</v>
      </c>
      <c r="AG12">
        <v>49</v>
      </c>
      <c r="AH12">
        <v>49</v>
      </c>
      <c r="AI12">
        <v>56</v>
      </c>
      <c r="AJ12">
        <v>0</v>
      </c>
      <c r="AK12">
        <v>23</v>
      </c>
      <c r="AL12" t="s">
        <v>304</v>
      </c>
      <c r="AM12" t="s">
        <v>305</v>
      </c>
      <c r="AN12" t="s">
        <v>306</v>
      </c>
      <c r="AO12" t="s">
        <v>307</v>
      </c>
      <c r="AP12" t="s">
        <v>308</v>
      </c>
      <c r="AQ12" t="s">
        <v>74</v>
      </c>
      <c r="AR12" t="s">
        <v>309</v>
      </c>
      <c r="AS12" t="s">
        <v>310</v>
      </c>
      <c r="AT12" t="s">
        <v>311</v>
      </c>
      <c r="AU12">
        <v>2014</v>
      </c>
      <c r="AV12">
        <v>385</v>
      </c>
      <c r="AW12" t="s">
        <v>74</v>
      </c>
      <c r="AX12" t="s">
        <v>74</v>
      </c>
      <c r="AY12" t="s">
        <v>74</v>
      </c>
      <c r="AZ12" t="s">
        <v>74</v>
      </c>
      <c r="BA12" t="s">
        <v>74</v>
      </c>
      <c r="BB12">
        <v>12</v>
      </c>
      <c r="BC12">
        <v>21</v>
      </c>
      <c r="BD12" t="s">
        <v>74</v>
      </c>
      <c r="BE12" t="s">
        <v>312</v>
      </c>
      <c r="BF12" t="str">
        <f>HYPERLINK("http://dx.doi.org/10.1016/j.epsl.2013.10.016","http://dx.doi.org/10.1016/j.epsl.2013.10.016")</f>
        <v>http://dx.doi.org/10.1016/j.epsl.2013.10.016</v>
      </c>
      <c r="BG12" t="s">
        <v>74</v>
      </c>
      <c r="BH12" t="s">
        <v>74</v>
      </c>
      <c r="BI12">
        <v>10</v>
      </c>
      <c r="BJ12" t="s">
        <v>313</v>
      </c>
      <c r="BK12" t="s">
        <v>99</v>
      </c>
      <c r="BL12" t="s">
        <v>313</v>
      </c>
      <c r="BM12" t="s">
        <v>314</v>
      </c>
      <c r="BN12" t="s">
        <v>74</v>
      </c>
      <c r="BO12" t="s">
        <v>315</v>
      </c>
      <c r="BP12" t="s">
        <v>74</v>
      </c>
      <c r="BQ12" t="s">
        <v>74</v>
      </c>
      <c r="BR12" t="s">
        <v>103</v>
      </c>
      <c r="BS12" t="s">
        <v>316</v>
      </c>
      <c r="BT12" t="str">
        <f>HYPERLINK("https%3A%2F%2Fwww.webofscience.com%2Fwos%2Fwoscc%2Ffull-record%2FWOS:000331025000002","View Full Record in Web of Science")</f>
        <v>View Full Record in Web of Science</v>
      </c>
    </row>
    <row r="13" spans="1:72" x14ac:dyDescent="0.15">
      <c r="A13" t="s">
        <v>72</v>
      </c>
      <c r="B13" t="s">
        <v>317</v>
      </c>
      <c r="C13" t="s">
        <v>74</v>
      </c>
      <c r="D13" t="s">
        <v>74</v>
      </c>
      <c r="E13" t="s">
        <v>74</v>
      </c>
      <c r="F13" t="s">
        <v>318</v>
      </c>
      <c r="G13" t="s">
        <v>74</v>
      </c>
      <c r="H13" t="s">
        <v>74</v>
      </c>
      <c r="I13" t="s">
        <v>319</v>
      </c>
      <c r="J13" t="s">
        <v>320</v>
      </c>
      <c r="K13" t="s">
        <v>74</v>
      </c>
      <c r="L13" t="s">
        <v>74</v>
      </c>
      <c r="M13" t="s">
        <v>78</v>
      </c>
      <c r="N13" t="s">
        <v>79</v>
      </c>
      <c r="O13" t="s">
        <v>74</v>
      </c>
      <c r="P13" t="s">
        <v>74</v>
      </c>
      <c r="Q13" t="s">
        <v>74</v>
      </c>
      <c r="R13" t="s">
        <v>74</v>
      </c>
      <c r="S13" t="s">
        <v>74</v>
      </c>
      <c r="T13" t="s">
        <v>74</v>
      </c>
      <c r="U13" t="s">
        <v>321</v>
      </c>
      <c r="V13" t="s">
        <v>322</v>
      </c>
      <c r="W13" t="s">
        <v>323</v>
      </c>
      <c r="X13" t="s">
        <v>324</v>
      </c>
      <c r="Y13" t="s">
        <v>325</v>
      </c>
      <c r="Z13" t="s">
        <v>326</v>
      </c>
      <c r="AA13" t="s">
        <v>327</v>
      </c>
      <c r="AB13" t="s">
        <v>328</v>
      </c>
      <c r="AC13" t="s">
        <v>329</v>
      </c>
      <c r="AD13" t="s">
        <v>330</v>
      </c>
      <c r="AE13" t="s">
        <v>331</v>
      </c>
      <c r="AF13" t="s">
        <v>74</v>
      </c>
      <c r="AG13">
        <v>102</v>
      </c>
      <c r="AH13">
        <v>79</v>
      </c>
      <c r="AI13">
        <v>87</v>
      </c>
      <c r="AJ13">
        <v>0</v>
      </c>
      <c r="AK13">
        <v>29</v>
      </c>
      <c r="AL13" t="s">
        <v>91</v>
      </c>
      <c r="AM13" t="s">
        <v>92</v>
      </c>
      <c r="AN13" t="s">
        <v>93</v>
      </c>
      <c r="AO13" t="s">
        <v>332</v>
      </c>
      <c r="AP13" t="s">
        <v>333</v>
      </c>
      <c r="AQ13" t="s">
        <v>74</v>
      </c>
      <c r="AR13" t="s">
        <v>334</v>
      </c>
      <c r="AS13" t="s">
        <v>335</v>
      </c>
      <c r="AT13" t="s">
        <v>74</v>
      </c>
      <c r="AU13">
        <v>2014</v>
      </c>
      <c r="AV13">
        <v>5</v>
      </c>
      <c r="AW13">
        <v>2</v>
      </c>
      <c r="AX13" t="s">
        <v>74</v>
      </c>
      <c r="AY13" t="s">
        <v>74</v>
      </c>
      <c r="AZ13" t="s">
        <v>74</v>
      </c>
      <c r="BA13" t="s">
        <v>74</v>
      </c>
      <c r="BB13">
        <v>271</v>
      </c>
      <c r="BC13">
        <v>293</v>
      </c>
      <c r="BD13" t="s">
        <v>74</v>
      </c>
      <c r="BE13" t="s">
        <v>336</v>
      </c>
      <c r="BF13" t="str">
        <f>HYPERLINK("http://dx.doi.org/10.5194/esd-5-271-2014","http://dx.doi.org/10.5194/esd-5-271-2014")</f>
        <v>http://dx.doi.org/10.5194/esd-5-271-2014</v>
      </c>
      <c r="BG13" t="s">
        <v>74</v>
      </c>
      <c r="BH13" t="s">
        <v>74</v>
      </c>
      <c r="BI13">
        <v>23</v>
      </c>
      <c r="BJ13" t="s">
        <v>337</v>
      </c>
      <c r="BK13" t="s">
        <v>99</v>
      </c>
      <c r="BL13" t="s">
        <v>338</v>
      </c>
      <c r="BM13" t="s">
        <v>339</v>
      </c>
      <c r="BN13" t="s">
        <v>74</v>
      </c>
      <c r="BO13" t="s">
        <v>138</v>
      </c>
      <c r="BP13" t="s">
        <v>74</v>
      </c>
      <c r="BQ13" t="s">
        <v>74</v>
      </c>
      <c r="BR13" t="s">
        <v>103</v>
      </c>
      <c r="BS13" t="s">
        <v>340</v>
      </c>
      <c r="BT13" t="str">
        <f>HYPERLINK("https%3A%2F%2Fwww.webofscience.com%2Fwos%2Fwoscc%2Ffull-record%2FWOS:000346140900002","View Full Record in Web of Science")</f>
        <v>View Full Record in Web of Science</v>
      </c>
    </row>
    <row r="14" spans="1:72" x14ac:dyDescent="0.15">
      <c r="A14" t="s">
        <v>72</v>
      </c>
      <c r="B14" t="s">
        <v>341</v>
      </c>
      <c r="C14" t="s">
        <v>74</v>
      </c>
      <c r="D14" t="s">
        <v>74</v>
      </c>
      <c r="E14" t="s">
        <v>74</v>
      </c>
      <c r="F14" t="s">
        <v>342</v>
      </c>
      <c r="G14" t="s">
        <v>74</v>
      </c>
      <c r="H14" t="s">
        <v>74</v>
      </c>
      <c r="I14" t="s">
        <v>343</v>
      </c>
      <c r="J14" t="s">
        <v>344</v>
      </c>
      <c r="K14" t="s">
        <v>74</v>
      </c>
      <c r="L14" t="s">
        <v>74</v>
      </c>
      <c r="M14" t="s">
        <v>78</v>
      </c>
      <c r="N14" t="s">
        <v>345</v>
      </c>
      <c r="O14" t="s">
        <v>74</v>
      </c>
      <c r="P14" t="s">
        <v>74</v>
      </c>
      <c r="Q14" t="s">
        <v>74</v>
      </c>
      <c r="R14" t="s">
        <v>74</v>
      </c>
      <c r="S14" t="s">
        <v>74</v>
      </c>
      <c r="T14" t="s">
        <v>74</v>
      </c>
      <c r="U14" t="s">
        <v>346</v>
      </c>
      <c r="V14" t="s">
        <v>347</v>
      </c>
      <c r="W14" t="s">
        <v>348</v>
      </c>
      <c r="X14" t="s">
        <v>349</v>
      </c>
      <c r="Y14" t="s">
        <v>350</v>
      </c>
      <c r="Z14" t="s">
        <v>351</v>
      </c>
      <c r="AA14" t="s">
        <v>352</v>
      </c>
      <c r="AB14" t="s">
        <v>353</v>
      </c>
      <c r="AC14" t="s">
        <v>354</v>
      </c>
      <c r="AD14" t="s">
        <v>355</v>
      </c>
      <c r="AE14" t="s">
        <v>356</v>
      </c>
      <c r="AF14" t="s">
        <v>74</v>
      </c>
      <c r="AG14">
        <v>85</v>
      </c>
      <c r="AH14">
        <v>139</v>
      </c>
      <c r="AI14">
        <v>148</v>
      </c>
      <c r="AJ14">
        <v>1</v>
      </c>
      <c r="AK14">
        <v>71</v>
      </c>
      <c r="AL14" t="s">
        <v>91</v>
      </c>
      <c r="AM14" t="s">
        <v>92</v>
      </c>
      <c r="AN14" t="s">
        <v>93</v>
      </c>
      <c r="AO14" t="s">
        <v>357</v>
      </c>
      <c r="AP14" t="s">
        <v>358</v>
      </c>
      <c r="AQ14" t="s">
        <v>74</v>
      </c>
      <c r="AR14" t="s">
        <v>359</v>
      </c>
      <c r="AS14" t="s">
        <v>360</v>
      </c>
      <c r="AT14" t="s">
        <v>74</v>
      </c>
      <c r="AU14">
        <v>2014</v>
      </c>
      <c r="AV14">
        <v>6</v>
      </c>
      <c r="AW14">
        <v>1</v>
      </c>
      <c r="AX14" t="s">
        <v>74</v>
      </c>
      <c r="AY14" t="s">
        <v>74</v>
      </c>
      <c r="AZ14" t="s">
        <v>74</v>
      </c>
      <c r="BA14" t="s">
        <v>74</v>
      </c>
      <c r="BB14">
        <v>69</v>
      </c>
      <c r="BC14">
        <v>90</v>
      </c>
      <c r="BD14" t="s">
        <v>74</v>
      </c>
      <c r="BE14" t="s">
        <v>361</v>
      </c>
      <c r="BF14" t="str">
        <f>HYPERLINK("http://dx.doi.org/10.5194/essd-6-69-2014","http://dx.doi.org/10.5194/essd-6-69-2014")</f>
        <v>http://dx.doi.org/10.5194/essd-6-69-2014</v>
      </c>
      <c r="BG14" t="s">
        <v>74</v>
      </c>
      <c r="BH14" t="s">
        <v>74</v>
      </c>
      <c r="BI14">
        <v>22</v>
      </c>
      <c r="BJ14" t="s">
        <v>362</v>
      </c>
      <c r="BK14" t="s">
        <v>99</v>
      </c>
      <c r="BL14" t="s">
        <v>363</v>
      </c>
      <c r="BM14" t="s">
        <v>364</v>
      </c>
      <c r="BN14" t="s">
        <v>74</v>
      </c>
      <c r="BO14" t="s">
        <v>365</v>
      </c>
      <c r="BP14" t="s">
        <v>74</v>
      </c>
      <c r="BQ14" t="s">
        <v>74</v>
      </c>
      <c r="BR14" t="s">
        <v>103</v>
      </c>
      <c r="BS14" t="s">
        <v>366</v>
      </c>
      <c r="BT14" t="str">
        <f>HYPERLINK("https%3A%2F%2Fwww.webofscience.com%2Fwos%2Fwoscc%2Ffull-record%2FWOS:000356933700005","View Full Record in Web of Science")</f>
        <v>View Full Record in Web of Science</v>
      </c>
    </row>
    <row r="15" spans="1:72" x14ac:dyDescent="0.15">
      <c r="A15" t="s">
        <v>72</v>
      </c>
      <c r="B15" t="s">
        <v>367</v>
      </c>
      <c r="C15" t="s">
        <v>74</v>
      </c>
      <c r="D15" t="s">
        <v>74</v>
      </c>
      <c r="E15" t="s">
        <v>74</v>
      </c>
      <c r="F15" t="s">
        <v>368</v>
      </c>
      <c r="G15" t="s">
        <v>74</v>
      </c>
      <c r="H15" t="s">
        <v>74</v>
      </c>
      <c r="I15" t="s">
        <v>369</v>
      </c>
      <c r="J15" t="s">
        <v>344</v>
      </c>
      <c r="K15" t="s">
        <v>74</v>
      </c>
      <c r="L15" t="s">
        <v>74</v>
      </c>
      <c r="M15" t="s">
        <v>78</v>
      </c>
      <c r="N15" t="s">
        <v>345</v>
      </c>
      <c r="O15" t="s">
        <v>74</v>
      </c>
      <c r="P15" t="s">
        <v>74</v>
      </c>
      <c r="Q15" t="s">
        <v>74</v>
      </c>
      <c r="R15" t="s">
        <v>74</v>
      </c>
      <c r="S15" t="s">
        <v>74</v>
      </c>
      <c r="T15" t="s">
        <v>74</v>
      </c>
      <c r="U15" t="s">
        <v>370</v>
      </c>
      <c r="V15" t="s">
        <v>371</v>
      </c>
      <c r="W15" t="s">
        <v>372</v>
      </c>
      <c r="X15" t="s">
        <v>373</v>
      </c>
      <c r="Y15" t="s">
        <v>374</v>
      </c>
      <c r="Z15" t="s">
        <v>375</v>
      </c>
      <c r="AA15" t="s">
        <v>74</v>
      </c>
      <c r="AB15" t="s">
        <v>376</v>
      </c>
      <c r="AC15" t="s">
        <v>377</v>
      </c>
      <c r="AD15" t="s">
        <v>378</v>
      </c>
      <c r="AE15" t="s">
        <v>379</v>
      </c>
      <c r="AF15" t="s">
        <v>74</v>
      </c>
      <c r="AG15">
        <v>41</v>
      </c>
      <c r="AH15">
        <v>8</v>
      </c>
      <c r="AI15">
        <v>8</v>
      </c>
      <c r="AJ15">
        <v>0</v>
      </c>
      <c r="AK15">
        <v>7</v>
      </c>
      <c r="AL15" t="s">
        <v>91</v>
      </c>
      <c r="AM15" t="s">
        <v>92</v>
      </c>
      <c r="AN15" t="s">
        <v>93</v>
      </c>
      <c r="AO15" t="s">
        <v>357</v>
      </c>
      <c r="AP15" t="s">
        <v>358</v>
      </c>
      <c r="AQ15" t="s">
        <v>74</v>
      </c>
      <c r="AR15" t="s">
        <v>359</v>
      </c>
      <c r="AS15" t="s">
        <v>360</v>
      </c>
      <c r="AT15" t="s">
        <v>74</v>
      </c>
      <c r="AU15">
        <v>2014</v>
      </c>
      <c r="AV15">
        <v>6</v>
      </c>
      <c r="AW15">
        <v>1</v>
      </c>
      <c r="AX15" t="s">
        <v>74</v>
      </c>
      <c r="AY15" t="s">
        <v>74</v>
      </c>
      <c r="AZ15" t="s">
        <v>74</v>
      </c>
      <c r="BA15" t="s">
        <v>74</v>
      </c>
      <c r="BB15">
        <v>105</v>
      </c>
      <c r="BC15">
        <v>115</v>
      </c>
      <c r="BD15" t="s">
        <v>74</v>
      </c>
      <c r="BE15" t="s">
        <v>380</v>
      </c>
      <c r="BF15" t="str">
        <f>HYPERLINK("http://dx.doi.org/10.5194/essd-6-105-2014","http://dx.doi.org/10.5194/essd-6-105-2014")</f>
        <v>http://dx.doi.org/10.5194/essd-6-105-2014</v>
      </c>
      <c r="BG15" t="s">
        <v>74</v>
      </c>
      <c r="BH15" t="s">
        <v>74</v>
      </c>
      <c r="BI15">
        <v>11</v>
      </c>
      <c r="BJ15" t="s">
        <v>362</v>
      </c>
      <c r="BK15" t="s">
        <v>99</v>
      </c>
      <c r="BL15" t="s">
        <v>363</v>
      </c>
      <c r="BM15" t="s">
        <v>364</v>
      </c>
      <c r="BN15" t="s">
        <v>74</v>
      </c>
      <c r="BO15" t="s">
        <v>381</v>
      </c>
      <c r="BP15" t="s">
        <v>74</v>
      </c>
      <c r="BQ15" t="s">
        <v>74</v>
      </c>
      <c r="BR15" t="s">
        <v>103</v>
      </c>
      <c r="BS15" t="s">
        <v>382</v>
      </c>
      <c r="BT15" t="str">
        <f>HYPERLINK("https%3A%2F%2Fwww.webofscience.com%2Fwos%2Fwoscc%2Ffull-record%2FWOS:000356933700007","View Full Record in Web of Science")</f>
        <v>View Full Record in Web of Science</v>
      </c>
    </row>
    <row r="16" spans="1:72" x14ac:dyDescent="0.15">
      <c r="A16" t="s">
        <v>72</v>
      </c>
      <c r="B16" t="s">
        <v>383</v>
      </c>
      <c r="C16" t="s">
        <v>74</v>
      </c>
      <c r="D16" t="s">
        <v>74</v>
      </c>
      <c r="E16" t="s">
        <v>74</v>
      </c>
      <c r="F16" t="s">
        <v>384</v>
      </c>
      <c r="G16" t="s">
        <v>74</v>
      </c>
      <c r="H16" t="s">
        <v>74</v>
      </c>
      <c r="I16" t="s">
        <v>385</v>
      </c>
      <c r="J16" t="s">
        <v>344</v>
      </c>
      <c r="K16" t="s">
        <v>74</v>
      </c>
      <c r="L16" t="s">
        <v>74</v>
      </c>
      <c r="M16" t="s">
        <v>78</v>
      </c>
      <c r="N16" t="s">
        <v>345</v>
      </c>
      <c r="O16" t="s">
        <v>74</v>
      </c>
      <c r="P16" t="s">
        <v>74</v>
      </c>
      <c r="Q16" t="s">
        <v>74</v>
      </c>
      <c r="R16" t="s">
        <v>74</v>
      </c>
      <c r="S16" t="s">
        <v>74</v>
      </c>
      <c r="T16" t="s">
        <v>74</v>
      </c>
      <c r="U16" t="s">
        <v>386</v>
      </c>
      <c r="V16" t="s">
        <v>387</v>
      </c>
      <c r="W16" t="s">
        <v>388</v>
      </c>
      <c r="X16" t="s">
        <v>389</v>
      </c>
      <c r="Y16" t="s">
        <v>390</v>
      </c>
      <c r="Z16" t="s">
        <v>391</v>
      </c>
      <c r="AA16" t="s">
        <v>392</v>
      </c>
      <c r="AB16" t="s">
        <v>393</v>
      </c>
      <c r="AC16" t="s">
        <v>394</v>
      </c>
      <c r="AD16" t="s">
        <v>395</v>
      </c>
      <c r="AE16" t="s">
        <v>396</v>
      </c>
      <c r="AF16" t="s">
        <v>74</v>
      </c>
      <c r="AG16">
        <v>110</v>
      </c>
      <c r="AH16">
        <v>373</v>
      </c>
      <c r="AI16">
        <v>409</v>
      </c>
      <c r="AJ16">
        <v>12</v>
      </c>
      <c r="AK16">
        <v>228</v>
      </c>
      <c r="AL16" t="s">
        <v>91</v>
      </c>
      <c r="AM16" t="s">
        <v>92</v>
      </c>
      <c r="AN16" t="s">
        <v>93</v>
      </c>
      <c r="AO16" t="s">
        <v>357</v>
      </c>
      <c r="AP16" t="s">
        <v>358</v>
      </c>
      <c r="AQ16" t="s">
        <v>74</v>
      </c>
      <c r="AR16" t="s">
        <v>359</v>
      </c>
      <c r="AS16" t="s">
        <v>360</v>
      </c>
      <c r="AT16" t="s">
        <v>74</v>
      </c>
      <c r="AU16">
        <v>2014</v>
      </c>
      <c r="AV16">
        <v>6</v>
      </c>
      <c r="AW16">
        <v>1</v>
      </c>
      <c r="AX16" t="s">
        <v>74</v>
      </c>
      <c r="AY16" t="s">
        <v>74</v>
      </c>
      <c r="AZ16" t="s">
        <v>74</v>
      </c>
      <c r="BA16" t="s">
        <v>74</v>
      </c>
      <c r="BB16">
        <v>235</v>
      </c>
      <c r="BC16">
        <v>263</v>
      </c>
      <c r="BD16" t="s">
        <v>74</v>
      </c>
      <c r="BE16" t="s">
        <v>397</v>
      </c>
      <c r="BF16" t="str">
        <f>HYPERLINK("http://dx.doi.org/10.5194/essd-6-235-2014","http://dx.doi.org/10.5194/essd-6-235-2014")</f>
        <v>http://dx.doi.org/10.5194/essd-6-235-2014</v>
      </c>
      <c r="BG16" t="s">
        <v>74</v>
      </c>
      <c r="BH16" t="s">
        <v>74</v>
      </c>
      <c r="BI16">
        <v>29</v>
      </c>
      <c r="BJ16" t="s">
        <v>362</v>
      </c>
      <c r="BK16" t="s">
        <v>99</v>
      </c>
      <c r="BL16" t="s">
        <v>363</v>
      </c>
      <c r="BM16" t="s">
        <v>364</v>
      </c>
      <c r="BN16" t="s">
        <v>74</v>
      </c>
      <c r="BO16" t="s">
        <v>398</v>
      </c>
      <c r="BP16" t="s">
        <v>120</v>
      </c>
      <c r="BQ16" t="s">
        <v>121</v>
      </c>
      <c r="BR16" t="s">
        <v>103</v>
      </c>
      <c r="BS16" t="s">
        <v>399</v>
      </c>
      <c r="BT16" t="str">
        <f>HYPERLINK("https%3A%2F%2Fwww.webofscience.com%2Fwos%2Fwoscc%2Ffull-record%2FWOS:000356933700017","View Full Record in Web of Science")</f>
        <v>View Full Record in Web of Science</v>
      </c>
    </row>
    <row r="17" spans="1:72" x14ac:dyDescent="0.15">
      <c r="A17" t="s">
        <v>72</v>
      </c>
      <c r="B17" t="s">
        <v>400</v>
      </c>
      <c r="C17" t="s">
        <v>74</v>
      </c>
      <c r="D17" t="s">
        <v>74</v>
      </c>
      <c r="E17" t="s">
        <v>74</v>
      </c>
      <c r="F17" t="s">
        <v>401</v>
      </c>
      <c r="G17" t="s">
        <v>74</v>
      </c>
      <c r="H17" t="s">
        <v>74</v>
      </c>
      <c r="I17" t="s">
        <v>402</v>
      </c>
      <c r="J17" t="s">
        <v>403</v>
      </c>
      <c r="K17" t="s">
        <v>74</v>
      </c>
      <c r="L17" t="s">
        <v>74</v>
      </c>
      <c r="M17" t="s">
        <v>78</v>
      </c>
      <c r="N17" t="s">
        <v>79</v>
      </c>
      <c r="O17" t="s">
        <v>74</v>
      </c>
      <c r="P17" t="s">
        <v>74</v>
      </c>
      <c r="Q17" t="s">
        <v>74</v>
      </c>
      <c r="R17" t="s">
        <v>74</v>
      </c>
      <c r="S17" t="s">
        <v>74</v>
      </c>
      <c r="T17" t="s">
        <v>404</v>
      </c>
      <c r="U17" t="s">
        <v>405</v>
      </c>
      <c r="V17" t="s">
        <v>406</v>
      </c>
      <c r="W17" t="s">
        <v>74</v>
      </c>
      <c r="X17" t="s">
        <v>74</v>
      </c>
      <c r="Y17" t="s">
        <v>407</v>
      </c>
      <c r="Z17" t="s">
        <v>408</v>
      </c>
      <c r="AA17" t="s">
        <v>74</v>
      </c>
      <c r="AB17" t="s">
        <v>409</v>
      </c>
      <c r="AC17" t="s">
        <v>74</v>
      </c>
      <c r="AD17" t="s">
        <v>74</v>
      </c>
      <c r="AE17" t="s">
        <v>74</v>
      </c>
      <c r="AF17" t="s">
        <v>74</v>
      </c>
      <c r="AG17">
        <v>42</v>
      </c>
      <c r="AH17">
        <v>16</v>
      </c>
      <c r="AI17">
        <v>17</v>
      </c>
      <c r="AJ17">
        <v>0</v>
      </c>
      <c r="AK17">
        <v>20</v>
      </c>
      <c r="AL17" t="s">
        <v>410</v>
      </c>
      <c r="AM17" t="s">
        <v>411</v>
      </c>
      <c r="AN17" t="s">
        <v>412</v>
      </c>
      <c r="AO17" t="s">
        <v>413</v>
      </c>
      <c r="AP17" t="s">
        <v>414</v>
      </c>
      <c r="AQ17" t="s">
        <v>74</v>
      </c>
      <c r="AR17" t="s">
        <v>415</v>
      </c>
      <c r="AS17" t="s">
        <v>416</v>
      </c>
      <c r="AT17" t="s">
        <v>417</v>
      </c>
      <c r="AU17">
        <v>2014</v>
      </c>
      <c r="AV17">
        <v>15</v>
      </c>
      <c r="AW17">
        <v>1</v>
      </c>
      <c r="AX17" t="s">
        <v>74</v>
      </c>
      <c r="AY17" t="s">
        <v>74</v>
      </c>
      <c r="AZ17" t="s">
        <v>74</v>
      </c>
      <c r="BA17" t="s">
        <v>74</v>
      </c>
      <c r="BB17">
        <v>41</v>
      </c>
      <c r="BC17">
        <v>51</v>
      </c>
      <c r="BD17" t="s">
        <v>74</v>
      </c>
      <c r="BE17" t="s">
        <v>418</v>
      </c>
      <c r="BF17" t="str">
        <f>HYPERLINK("http://dx.doi.org/10.1111/emr.12076","http://dx.doi.org/10.1111/emr.12076")</f>
        <v>http://dx.doi.org/10.1111/emr.12076</v>
      </c>
      <c r="BG17" t="s">
        <v>74</v>
      </c>
      <c r="BH17" t="s">
        <v>74</v>
      </c>
      <c r="BI17">
        <v>11</v>
      </c>
      <c r="BJ17" t="s">
        <v>419</v>
      </c>
      <c r="BK17" t="s">
        <v>99</v>
      </c>
      <c r="BL17" t="s">
        <v>420</v>
      </c>
      <c r="BM17" t="s">
        <v>421</v>
      </c>
      <c r="BN17" t="s">
        <v>74</v>
      </c>
      <c r="BO17" t="s">
        <v>74</v>
      </c>
      <c r="BP17" t="s">
        <v>74</v>
      </c>
      <c r="BQ17" t="s">
        <v>74</v>
      </c>
      <c r="BR17" t="s">
        <v>103</v>
      </c>
      <c r="BS17" t="s">
        <v>422</v>
      </c>
      <c r="BT17" t="str">
        <f>HYPERLINK("https%3A%2F%2Fwww.webofscience.com%2Fwos%2Fwoscc%2Ffull-record%2FWOS:000329925500008","View Full Record in Web of Science")</f>
        <v>View Full Record in Web of Science</v>
      </c>
    </row>
    <row r="18" spans="1:72" x14ac:dyDescent="0.15">
      <c r="A18" t="s">
        <v>72</v>
      </c>
      <c r="B18" t="s">
        <v>423</v>
      </c>
      <c r="C18" t="s">
        <v>74</v>
      </c>
      <c r="D18" t="s">
        <v>74</v>
      </c>
      <c r="E18" t="s">
        <v>74</v>
      </c>
      <c r="F18" t="s">
        <v>424</v>
      </c>
      <c r="G18" t="s">
        <v>74</v>
      </c>
      <c r="H18" t="s">
        <v>74</v>
      </c>
      <c r="I18" t="s">
        <v>425</v>
      </c>
      <c r="J18" t="s">
        <v>426</v>
      </c>
      <c r="K18" t="s">
        <v>74</v>
      </c>
      <c r="L18" t="s">
        <v>74</v>
      </c>
      <c r="M18" t="s">
        <v>78</v>
      </c>
      <c r="N18" t="s">
        <v>79</v>
      </c>
      <c r="O18" t="s">
        <v>74</v>
      </c>
      <c r="P18" t="s">
        <v>74</v>
      </c>
      <c r="Q18" t="s">
        <v>74</v>
      </c>
      <c r="R18" t="s">
        <v>74</v>
      </c>
      <c r="S18" t="s">
        <v>74</v>
      </c>
      <c r="T18" t="s">
        <v>427</v>
      </c>
      <c r="U18" t="s">
        <v>428</v>
      </c>
      <c r="V18" t="s">
        <v>429</v>
      </c>
      <c r="W18" t="s">
        <v>430</v>
      </c>
      <c r="X18" t="s">
        <v>431</v>
      </c>
      <c r="Y18" t="s">
        <v>432</v>
      </c>
      <c r="Z18" t="s">
        <v>433</v>
      </c>
      <c r="AA18" t="s">
        <v>434</v>
      </c>
      <c r="AB18" t="s">
        <v>435</v>
      </c>
      <c r="AC18" t="s">
        <v>436</v>
      </c>
      <c r="AD18" t="s">
        <v>437</v>
      </c>
      <c r="AE18" t="s">
        <v>438</v>
      </c>
      <c r="AF18" t="s">
        <v>74</v>
      </c>
      <c r="AG18">
        <v>75</v>
      </c>
      <c r="AH18">
        <v>26</v>
      </c>
      <c r="AI18">
        <v>28</v>
      </c>
      <c r="AJ18">
        <v>1</v>
      </c>
      <c r="AK18">
        <v>53</v>
      </c>
      <c r="AL18" t="s">
        <v>439</v>
      </c>
      <c r="AM18" t="s">
        <v>440</v>
      </c>
      <c r="AN18" t="s">
        <v>441</v>
      </c>
      <c r="AO18" t="s">
        <v>442</v>
      </c>
      <c r="AP18" t="s">
        <v>443</v>
      </c>
      <c r="AQ18" t="s">
        <v>74</v>
      </c>
      <c r="AR18" t="s">
        <v>444</v>
      </c>
      <c r="AS18" t="s">
        <v>445</v>
      </c>
      <c r="AT18" t="s">
        <v>74</v>
      </c>
      <c r="AU18">
        <v>2014</v>
      </c>
      <c r="AV18">
        <v>114</v>
      </c>
      <c r="AW18">
        <v>4</v>
      </c>
      <c r="AX18" t="s">
        <v>74</v>
      </c>
      <c r="AY18" t="s">
        <v>74</v>
      </c>
      <c r="AZ18" t="s">
        <v>74</v>
      </c>
      <c r="BA18" t="s">
        <v>74</v>
      </c>
      <c r="BB18">
        <v>352</v>
      </c>
      <c r="BC18">
        <v>359</v>
      </c>
      <c r="BD18" t="s">
        <v>74</v>
      </c>
      <c r="BE18" t="s">
        <v>446</v>
      </c>
      <c r="BF18" t="str">
        <f>HYPERLINK("http://dx.doi.org/10.1071/MU13115","http://dx.doi.org/10.1071/MU13115")</f>
        <v>http://dx.doi.org/10.1071/MU13115</v>
      </c>
      <c r="BG18" t="s">
        <v>74</v>
      </c>
      <c r="BH18" t="s">
        <v>74</v>
      </c>
      <c r="BI18">
        <v>8</v>
      </c>
      <c r="BJ18" t="s">
        <v>447</v>
      </c>
      <c r="BK18" t="s">
        <v>99</v>
      </c>
      <c r="BL18" t="s">
        <v>448</v>
      </c>
      <c r="BM18" t="s">
        <v>449</v>
      </c>
      <c r="BN18" t="s">
        <v>74</v>
      </c>
      <c r="BO18" t="s">
        <v>450</v>
      </c>
      <c r="BP18" t="s">
        <v>74</v>
      </c>
      <c r="BQ18" t="s">
        <v>74</v>
      </c>
      <c r="BR18" t="s">
        <v>103</v>
      </c>
      <c r="BS18" t="s">
        <v>451</v>
      </c>
      <c r="BT18" t="str">
        <f>HYPERLINK("https%3A%2F%2Fwww.webofscience.com%2Fwos%2Fwoscc%2Ffull-record%2FWOS:000345164000008","View Full Record in Web of Science")</f>
        <v>View Full Record in Web of Science</v>
      </c>
    </row>
    <row r="19" spans="1:72" x14ac:dyDescent="0.15">
      <c r="A19" t="s">
        <v>72</v>
      </c>
      <c r="B19" t="s">
        <v>452</v>
      </c>
      <c r="C19" t="s">
        <v>74</v>
      </c>
      <c r="D19" t="s">
        <v>74</v>
      </c>
      <c r="E19" t="s">
        <v>74</v>
      </c>
      <c r="F19" t="s">
        <v>453</v>
      </c>
      <c r="G19" t="s">
        <v>74</v>
      </c>
      <c r="H19" t="s">
        <v>74</v>
      </c>
      <c r="I19" t="s">
        <v>454</v>
      </c>
      <c r="J19" t="s">
        <v>455</v>
      </c>
      <c r="K19" t="s">
        <v>74</v>
      </c>
      <c r="L19" t="s">
        <v>74</v>
      </c>
      <c r="M19" t="s">
        <v>78</v>
      </c>
      <c r="N19" t="s">
        <v>79</v>
      </c>
      <c r="O19" t="s">
        <v>74</v>
      </c>
      <c r="P19" t="s">
        <v>74</v>
      </c>
      <c r="Q19" t="s">
        <v>74</v>
      </c>
      <c r="R19" t="s">
        <v>74</v>
      </c>
      <c r="S19" t="s">
        <v>74</v>
      </c>
      <c r="T19" t="s">
        <v>74</v>
      </c>
      <c r="U19" t="s">
        <v>456</v>
      </c>
      <c r="V19" t="s">
        <v>457</v>
      </c>
      <c r="W19" t="s">
        <v>74</v>
      </c>
      <c r="X19" t="s">
        <v>74</v>
      </c>
      <c r="Y19" t="s">
        <v>458</v>
      </c>
      <c r="Z19" t="s">
        <v>459</v>
      </c>
      <c r="AA19" t="s">
        <v>460</v>
      </c>
      <c r="AB19" t="s">
        <v>461</v>
      </c>
      <c r="AC19" t="s">
        <v>462</v>
      </c>
      <c r="AD19" t="s">
        <v>463</v>
      </c>
      <c r="AE19" t="s">
        <v>74</v>
      </c>
      <c r="AF19" t="s">
        <v>74</v>
      </c>
      <c r="AG19">
        <v>39</v>
      </c>
      <c r="AH19">
        <v>35</v>
      </c>
      <c r="AI19">
        <v>39</v>
      </c>
      <c r="AJ19">
        <v>0</v>
      </c>
      <c r="AK19">
        <v>20</v>
      </c>
      <c r="AL19" t="s">
        <v>464</v>
      </c>
      <c r="AM19" t="s">
        <v>465</v>
      </c>
      <c r="AN19" t="s">
        <v>466</v>
      </c>
      <c r="AO19" t="s">
        <v>467</v>
      </c>
      <c r="AP19" t="s">
        <v>468</v>
      </c>
      <c r="AQ19" t="s">
        <v>74</v>
      </c>
      <c r="AR19" t="s">
        <v>469</v>
      </c>
      <c r="AS19" t="s">
        <v>470</v>
      </c>
      <c r="AT19" t="s">
        <v>74</v>
      </c>
      <c r="AU19">
        <v>2014</v>
      </c>
      <c r="AV19">
        <v>23</v>
      </c>
      <c r="AW19">
        <v>3</v>
      </c>
      <c r="AX19" t="s">
        <v>74</v>
      </c>
      <c r="AY19" t="s">
        <v>74</v>
      </c>
      <c r="AZ19" t="s">
        <v>74</v>
      </c>
      <c r="BA19" t="s">
        <v>74</v>
      </c>
      <c r="BB19">
        <v>241</v>
      </c>
      <c r="BC19">
        <v>252</v>
      </c>
      <c r="BD19" t="s">
        <v>74</v>
      </c>
      <c r="BE19" t="s">
        <v>471</v>
      </c>
      <c r="BF19" t="str">
        <f>HYPERLINK("http://dx.doi.org/10.3354/esr00566","http://dx.doi.org/10.3354/esr00566")</f>
        <v>http://dx.doi.org/10.3354/esr00566</v>
      </c>
      <c r="BG19" t="s">
        <v>74</v>
      </c>
      <c r="BH19" t="s">
        <v>74</v>
      </c>
      <c r="BI19">
        <v>12</v>
      </c>
      <c r="BJ19" t="s">
        <v>472</v>
      </c>
      <c r="BK19" t="s">
        <v>99</v>
      </c>
      <c r="BL19" t="s">
        <v>473</v>
      </c>
      <c r="BM19" t="s">
        <v>474</v>
      </c>
      <c r="BN19" t="s">
        <v>74</v>
      </c>
      <c r="BO19" t="s">
        <v>475</v>
      </c>
      <c r="BP19" t="s">
        <v>74</v>
      </c>
      <c r="BQ19" t="s">
        <v>74</v>
      </c>
      <c r="BR19" t="s">
        <v>103</v>
      </c>
      <c r="BS19" t="s">
        <v>476</v>
      </c>
      <c r="BT19" t="str">
        <f>HYPERLINK("https%3A%2F%2Fwww.webofscience.com%2Fwos%2Fwoscc%2Ffull-record%2FWOS:000334049000005","View Full Record in Web of Science")</f>
        <v>View Full Record in Web of Science</v>
      </c>
    </row>
    <row r="20" spans="1:72" x14ac:dyDescent="0.15">
      <c r="A20" t="s">
        <v>72</v>
      </c>
      <c r="B20" t="s">
        <v>477</v>
      </c>
      <c r="C20" t="s">
        <v>74</v>
      </c>
      <c r="D20" t="s">
        <v>74</v>
      </c>
      <c r="E20" t="s">
        <v>74</v>
      </c>
      <c r="F20" t="s">
        <v>478</v>
      </c>
      <c r="G20" t="s">
        <v>74</v>
      </c>
      <c r="H20" t="s">
        <v>74</v>
      </c>
      <c r="I20" t="s">
        <v>479</v>
      </c>
      <c r="J20" t="s">
        <v>480</v>
      </c>
      <c r="K20" t="s">
        <v>74</v>
      </c>
      <c r="L20" t="s">
        <v>74</v>
      </c>
      <c r="M20" t="s">
        <v>78</v>
      </c>
      <c r="N20" t="s">
        <v>79</v>
      </c>
      <c r="O20" t="s">
        <v>74</v>
      </c>
      <c r="P20" t="s">
        <v>74</v>
      </c>
      <c r="Q20" t="s">
        <v>74</v>
      </c>
      <c r="R20" t="s">
        <v>74</v>
      </c>
      <c r="S20" t="s">
        <v>74</v>
      </c>
      <c r="T20" t="s">
        <v>74</v>
      </c>
      <c r="U20" t="s">
        <v>74</v>
      </c>
      <c r="V20" t="s">
        <v>481</v>
      </c>
      <c r="W20" t="s">
        <v>482</v>
      </c>
      <c r="X20" t="s">
        <v>483</v>
      </c>
      <c r="Y20" t="s">
        <v>484</v>
      </c>
      <c r="Z20" t="s">
        <v>74</v>
      </c>
      <c r="AA20" t="s">
        <v>485</v>
      </c>
      <c r="AB20" t="s">
        <v>486</v>
      </c>
      <c r="AC20" t="s">
        <v>74</v>
      </c>
      <c r="AD20" t="s">
        <v>74</v>
      </c>
      <c r="AE20" t="s">
        <v>74</v>
      </c>
      <c r="AF20" t="s">
        <v>74</v>
      </c>
      <c r="AG20">
        <v>16</v>
      </c>
      <c r="AH20">
        <v>0</v>
      </c>
      <c r="AI20">
        <v>0</v>
      </c>
      <c r="AJ20">
        <v>0</v>
      </c>
      <c r="AK20">
        <v>1</v>
      </c>
      <c r="AL20" t="s">
        <v>487</v>
      </c>
      <c r="AM20" t="s">
        <v>488</v>
      </c>
      <c r="AN20" t="s">
        <v>489</v>
      </c>
      <c r="AO20" t="s">
        <v>490</v>
      </c>
      <c r="AP20" t="s">
        <v>74</v>
      </c>
      <c r="AQ20" t="s">
        <v>74</v>
      </c>
      <c r="AR20" t="s">
        <v>491</v>
      </c>
      <c r="AS20" t="s">
        <v>492</v>
      </c>
      <c r="AT20" t="s">
        <v>74</v>
      </c>
      <c r="AU20">
        <v>2014</v>
      </c>
      <c r="AV20">
        <v>31</v>
      </c>
      <c r="AW20">
        <v>6</v>
      </c>
      <c r="AX20" t="s">
        <v>74</v>
      </c>
      <c r="AY20" t="s">
        <v>74</v>
      </c>
      <c r="AZ20" t="s">
        <v>74</v>
      </c>
      <c r="BA20" t="s">
        <v>74</v>
      </c>
      <c r="BB20" t="s">
        <v>74</v>
      </c>
      <c r="BC20" t="s">
        <v>74</v>
      </c>
      <c r="BD20" t="s">
        <v>74</v>
      </c>
      <c r="BE20" t="s">
        <v>74</v>
      </c>
      <c r="BF20" t="s">
        <v>74</v>
      </c>
      <c r="BG20" t="s">
        <v>74</v>
      </c>
      <c r="BH20" t="s">
        <v>74</v>
      </c>
      <c r="BI20">
        <v>9</v>
      </c>
      <c r="BJ20" t="s">
        <v>493</v>
      </c>
      <c r="BK20" t="s">
        <v>494</v>
      </c>
      <c r="BL20" t="s">
        <v>495</v>
      </c>
      <c r="BM20" t="s">
        <v>496</v>
      </c>
      <c r="BN20" t="s">
        <v>74</v>
      </c>
      <c r="BO20" t="s">
        <v>74</v>
      </c>
      <c r="BP20" t="s">
        <v>74</v>
      </c>
      <c r="BQ20" t="s">
        <v>74</v>
      </c>
      <c r="BR20" t="s">
        <v>103</v>
      </c>
      <c r="BS20" t="s">
        <v>497</v>
      </c>
      <c r="BT20" t="str">
        <f>HYPERLINK("https%3A%2F%2Fwww.webofscience.com%2Fwos%2Fwoscc%2Ffull-record%2FWOS:000213739200004","View Full Record in Web of Science")</f>
        <v>View Full Record in Web of Science</v>
      </c>
    </row>
    <row r="21" spans="1:72" x14ac:dyDescent="0.15">
      <c r="A21" t="s">
        <v>72</v>
      </c>
      <c r="B21" t="s">
        <v>498</v>
      </c>
      <c r="C21" t="s">
        <v>74</v>
      </c>
      <c r="D21" t="s">
        <v>74</v>
      </c>
      <c r="E21" t="s">
        <v>74</v>
      </c>
      <c r="F21" t="s">
        <v>499</v>
      </c>
      <c r="G21" t="s">
        <v>74</v>
      </c>
      <c r="H21" t="s">
        <v>74</v>
      </c>
      <c r="I21" t="s">
        <v>500</v>
      </c>
      <c r="J21" t="s">
        <v>501</v>
      </c>
      <c r="K21" t="s">
        <v>74</v>
      </c>
      <c r="L21" t="s">
        <v>74</v>
      </c>
      <c r="M21" t="s">
        <v>78</v>
      </c>
      <c r="N21" t="s">
        <v>79</v>
      </c>
      <c r="O21" t="s">
        <v>74</v>
      </c>
      <c r="P21" t="s">
        <v>74</v>
      </c>
      <c r="Q21" t="s">
        <v>74</v>
      </c>
      <c r="R21" t="s">
        <v>74</v>
      </c>
      <c r="S21" t="s">
        <v>74</v>
      </c>
      <c r="T21" t="s">
        <v>502</v>
      </c>
      <c r="U21" t="s">
        <v>503</v>
      </c>
      <c r="V21" t="s">
        <v>504</v>
      </c>
      <c r="W21" t="s">
        <v>505</v>
      </c>
      <c r="X21" t="s">
        <v>506</v>
      </c>
      <c r="Y21" t="s">
        <v>507</v>
      </c>
      <c r="Z21" t="s">
        <v>508</v>
      </c>
      <c r="AA21" t="s">
        <v>74</v>
      </c>
      <c r="AB21" t="s">
        <v>509</v>
      </c>
      <c r="AC21" t="s">
        <v>510</v>
      </c>
      <c r="AD21" t="s">
        <v>511</v>
      </c>
      <c r="AE21" t="s">
        <v>512</v>
      </c>
      <c r="AF21" t="s">
        <v>74</v>
      </c>
      <c r="AG21">
        <v>41</v>
      </c>
      <c r="AH21">
        <v>4</v>
      </c>
      <c r="AI21">
        <v>5</v>
      </c>
      <c r="AJ21">
        <v>0</v>
      </c>
      <c r="AK21">
        <v>18</v>
      </c>
      <c r="AL21" t="s">
        <v>513</v>
      </c>
      <c r="AM21" t="s">
        <v>514</v>
      </c>
      <c r="AN21" t="s">
        <v>515</v>
      </c>
      <c r="AO21" t="s">
        <v>516</v>
      </c>
      <c r="AP21" t="s">
        <v>517</v>
      </c>
      <c r="AQ21" t="s">
        <v>74</v>
      </c>
      <c r="AR21" t="s">
        <v>518</v>
      </c>
      <c r="AS21" t="s">
        <v>519</v>
      </c>
      <c r="AT21" t="s">
        <v>74</v>
      </c>
      <c r="AU21">
        <v>2014</v>
      </c>
      <c r="AV21">
        <v>11</v>
      </c>
      <c r="AW21">
        <v>4</v>
      </c>
      <c r="AX21" t="s">
        <v>74</v>
      </c>
      <c r="AY21" t="s">
        <v>74</v>
      </c>
      <c r="AZ21" t="s">
        <v>74</v>
      </c>
      <c r="BA21" t="s">
        <v>74</v>
      </c>
      <c r="BB21">
        <v>459</v>
      </c>
      <c r="BC21">
        <v>471</v>
      </c>
      <c r="BD21" t="s">
        <v>74</v>
      </c>
      <c r="BE21" t="s">
        <v>520</v>
      </c>
      <c r="BF21" t="str">
        <f>HYPERLINK("http://dx.doi.org/10.1071/EN13227","http://dx.doi.org/10.1071/EN13227")</f>
        <v>http://dx.doi.org/10.1071/EN13227</v>
      </c>
      <c r="BG21" t="s">
        <v>74</v>
      </c>
      <c r="BH21" t="s">
        <v>74</v>
      </c>
      <c r="BI21">
        <v>13</v>
      </c>
      <c r="BJ21" t="s">
        <v>521</v>
      </c>
      <c r="BK21" t="s">
        <v>99</v>
      </c>
      <c r="BL21" t="s">
        <v>522</v>
      </c>
      <c r="BM21" t="s">
        <v>523</v>
      </c>
      <c r="BN21" t="s">
        <v>74</v>
      </c>
      <c r="BO21" t="s">
        <v>524</v>
      </c>
      <c r="BP21" t="s">
        <v>74</v>
      </c>
      <c r="BQ21" t="s">
        <v>74</v>
      </c>
      <c r="BR21" t="s">
        <v>103</v>
      </c>
      <c r="BS21" t="s">
        <v>525</v>
      </c>
      <c r="BT21" t="str">
        <f>HYPERLINK("https%3A%2F%2Fwww.webofscience.com%2Fwos%2Fwoscc%2Ffull-record%2FWOS:000341380400010","View Full Record in Web of Science")</f>
        <v>View Full Record in Web of Science</v>
      </c>
    </row>
    <row r="22" spans="1:72" x14ac:dyDescent="0.15">
      <c r="A22" t="s">
        <v>72</v>
      </c>
      <c r="B22" t="s">
        <v>526</v>
      </c>
      <c r="C22" t="s">
        <v>74</v>
      </c>
      <c r="D22" t="s">
        <v>74</v>
      </c>
      <c r="E22" t="s">
        <v>74</v>
      </c>
      <c r="F22" t="s">
        <v>527</v>
      </c>
      <c r="G22" t="s">
        <v>74</v>
      </c>
      <c r="H22" t="s">
        <v>74</v>
      </c>
      <c r="I22" t="s">
        <v>528</v>
      </c>
      <c r="J22" t="s">
        <v>529</v>
      </c>
      <c r="K22" t="s">
        <v>74</v>
      </c>
      <c r="L22" t="s">
        <v>74</v>
      </c>
      <c r="M22" t="s">
        <v>78</v>
      </c>
      <c r="N22" t="s">
        <v>79</v>
      </c>
      <c r="O22" t="s">
        <v>74</v>
      </c>
      <c r="P22" t="s">
        <v>74</v>
      </c>
      <c r="Q22" t="s">
        <v>74</v>
      </c>
      <c r="R22" t="s">
        <v>74</v>
      </c>
      <c r="S22" t="s">
        <v>74</v>
      </c>
      <c r="T22" t="s">
        <v>530</v>
      </c>
      <c r="U22" t="s">
        <v>531</v>
      </c>
      <c r="V22" t="s">
        <v>532</v>
      </c>
      <c r="W22" t="s">
        <v>533</v>
      </c>
      <c r="X22" t="s">
        <v>534</v>
      </c>
      <c r="Y22" t="s">
        <v>535</v>
      </c>
      <c r="Z22" t="s">
        <v>536</v>
      </c>
      <c r="AA22" t="s">
        <v>537</v>
      </c>
      <c r="AB22" t="s">
        <v>538</v>
      </c>
      <c r="AC22" t="s">
        <v>74</v>
      </c>
      <c r="AD22" t="s">
        <v>74</v>
      </c>
      <c r="AE22" t="s">
        <v>74</v>
      </c>
      <c r="AF22" t="s">
        <v>74</v>
      </c>
      <c r="AG22">
        <v>33</v>
      </c>
      <c r="AH22">
        <v>77</v>
      </c>
      <c r="AI22">
        <v>87</v>
      </c>
      <c r="AJ22">
        <v>0</v>
      </c>
      <c r="AK22">
        <v>69</v>
      </c>
      <c r="AL22" t="s">
        <v>539</v>
      </c>
      <c r="AM22" t="s">
        <v>540</v>
      </c>
      <c r="AN22" t="s">
        <v>541</v>
      </c>
      <c r="AO22" t="s">
        <v>542</v>
      </c>
      <c r="AP22" t="s">
        <v>543</v>
      </c>
      <c r="AQ22" t="s">
        <v>74</v>
      </c>
      <c r="AR22" t="s">
        <v>529</v>
      </c>
      <c r="AS22" t="s">
        <v>544</v>
      </c>
      <c r="AT22" t="s">
        <v>417</v>
      </c>
      <c r="AU22">
        <v>2014</v>
      </c>
      <c r="AV22">
        <v>18</v>
      </c>
      <c r="AW22">
        <v>1</v>
      </c>
      <c r="AX22" t="s">
        <v>74</v>
      </c>
      <c r="AY22" t="s">
        <v>74</v>
      </c>
      <c r="AZ22" t="s">
        <v>74</v>
      </c>
      <c r="BA22" t="s">
        <v>74</v>
      </c>
      <c r="BB22">
        <v>15</v>
      </c>
      <c r="BC22">
        <v>23</v>
      </c>
      <c r="BD22" t="s">
        <v>74</v>
      </c>
      <c r="BE22" t="s">
        <v>545</v>
      </c>
      <c r="BF22" t="str">
        <f>HYPERLINK("http://dx.doi.org/10.1007/s00792-013-0588-7","http://dx.doi.org/10.1007/s00792-013-0588-7")</f>
        <v>http://dx.doi.org/10.1007/s00792-013-0588-7</v>
      </c>
      <c r="BG22" t="s">
        <v>74</v>
      </c>
      <c r="BH22" t="s">
        <v>74</v>
      </c>
      <c r="BI22">
        <v>9</v>
      </c>
      <c r="BJ22" t="s">
        <v>546</v>
      </c>
      <c r="BK22" t="s">
        <v>99</v>
      </c>
      <c r="BL22" t="s">
        <v>546</v>
      </c>
      <c r="BM22" t="s">
        <v>547</v>
      </c>
      <c r="BN22">
        <v>24126742</v>
      </c>
      <c r="BO22" t="s">
        <v>74</v>
      </c>
      <c r="BP22" t="s">
        <v>74</v>
      </c>
      <c r="BQ22" t="s">
        <v>74</v>
      </c>
      <c r="BR22" t="s">
        <v>103</v>
      </c>
      <c r="BS22" t="s">
        <v>548</v>
      </c>
      <c r="BT22" t="str">
        <f>HYPERLINK("https%3A%2F%2Fwww.webofscience.com%2Fwos%2Fwoscc%2Ffull-record%2FWOS:000328624500002","View Full Record in Web of Science")</f>
        <v>View Full Record in Web of Science</v>
      </c>
    </row>
    <row r="23" spans="1:72" x14ac:dyDescent="0.15">
      <c r="A23" t="s">
        <v>72</v>
      </c>
      <c r="B23" t="s">
        <v>549</v>
      </c>
      <c r="C23" t="s">
        <v>74</v>
      </c>
      <c r="D23" t="s">
        <v>74</v>
      </c>
      <c r="E23" t="s">
        <v>74</v>
      </c>
      <c r="F23" t="s">
        <v>550</v>
      </c>
      <c r="G23" t="s">
        <v>74</v>
      </c>
      <c r="H23" t="s">
        <v>74</v>
      </c>
      <c r="I23" t="s">
        <v>551</v>
      </c>
      <c r="J23" t="s">
        <v>529</v>
      </c>
      <c r="K23" t="s">
        <v>74</v>
      </c>
      <c r="L23" t="s">
        <v>74</v>
      </c>
      <c r="M23" t="s">
        <v>78</v>
      </c>
      <c r="N23" t="s">
        <v>79</v>
      </c>
      <c r="O23" t="s">
        <v>74</v>
      </c>
      <c r="P23" t="s">
        <v>74</v>
      </c>
      <c r="Q23" t="s">
        <v>74</v>
      </c>
      <c r="R23" t="s">
        <v>74</v>
      </c>
      <c r="S23" t="s">
        <v>74</v>
      </c>
      <c r="T23" t="s">
        <v>552</v>
      </c>
      <c r="U23" t="s">
        <v>553</v>
      </c>
      <c r="V23" t="s">
        <v>554</v>
      </c>
      <c r="W23" t="s">
        <v>555</v>
      </c>
      <c r="X23" t="s">
        <v>556</v>
      </c>
      <c r="Y23" t="s">
        <v>557</v>
      </c>
      <c r="Z23" t="s">
        <v>558</v>
      </c>
      <c r="AA23" t="s">
        <v>559</v>
      </c>
      <c r="AB23" t="s">
        <v>560</v>
      </c>
      <c r="AC23" t="s">
        <v>561</v>
      </c>
      <c r="AD23" t="s">
        <v>562</v>
      </c>
      <c r="AE23" t="s">
        <v>563</v>
      </c>
      <c r="AF23" t="s">
        <v>74</v>
      </c>
      <c r="AG23">
        <v>50</v>
      </c>
      <c r="AH23">
        <v>20</v>
      </c>
      <c r="AI23">
        <v>23</v>
      </c>
      <c r="AJ23">
        <v>2</v>
      </c>
      <c r="AK23">
        <v>15</v>
      </c>
      <c r="AL23" t="s">
        <v>539</v>
      </c>
      <c r="AM23" t="s">
        <v>540</v>
      </c>
      <c r="AN23" t="s">
        <v>564</v>
      </c>
      <c r="AO23" t="s">
        <v>542</v>
      </c>
      <c r="AP23" t="s">
        <v>543</v>
      </c>
      <c r="AQ23" t="s">
        <v>74</v>
      </c>
      <c r="AR23" t="s">
        <v>529</v>
      </c>
      <c r="AS23" t="s">
        <v>544</v>
      </c>
      <c r="AT23" t="s">
        <v>417</v>
      </c>
      <c r="AU23">
        <v>2014</v>
      </c>
      <c r="AV23">
        <v>18</v>
      </c>
      <c r="AW23">
        <v>1</v>
      </c>
      <c r="AX23" t="s">
        <v>74</v>
      </c>
      <c r="AY23" t="s">
        <v>74</v>
      </c>
      <c r="AZ23" t="s">
        <v>74</v>
      </c>
      <c r="BA23" t="s">
        <v>74</v>
      </c>
      <c r="BB23">
        <v>35</v>
      </c>
      <c r="BC23">
        <v>49</v>
      </c>
      <c r="BD23" t="s">
        <v>74</v>
      </c>
      <c r="BE23" t="s">
        <v>565</v>
      </c>
      <c r="BF23" t="str">
        <f>HYPERLINK("http://dx.doi.org/10.1007/s00792-013-0590-0","http://dx.doi.org/10.1007/s00792-013-0590-0")</f>
        <v>http://dx.doi.org/10.1007/s00792-013-0590-0</v>
      </c>
      <c r="BG23" t="s">
        <v>74</v>
      </c>
      <c r="BH23" t="s">
        <v>74</v>
      </c>
      <c r="BI23">
        <v>15</v>
      </c>
      <c r="BJ23" t="s">
        <v>546</v>
      </c>
      <c r="BK23" t="s">
        <v>99</v>
      </c>
      <c r="BL23" t="s">
        <v>546</v>
      </c>
      <c r="BM23" t="s">
        <v>547</v>
      </c>
      <c r="BN23">
        <v>24150693</v>
      </c>
      <c r="BO23" t="s">
        <v>74</v>
      </c>
      <c r="BP23" t="s">
        <v>74</v>
      </c>
      <c r="BQ23" t="s">
        <v>74</v>
      </c>
      <c r="BR23" t="s">
        <v>103</v>
      </c>
      <c r="BS23" t="s">
        <v>566</v>
      </c>
      <c r="BT23" t="str">
        <f>HYPERLINK("https%3A%2F%2Fwww.webofscience.com%2Fwos%2Fwoscc%2Ffull-record%2FWOS:000328624500004","View Full Record in Web of Science")</f>
        <v>View Full Record in Web of Science</v>
      </c>
    </row>
    <row r="24" spans="1:72" x14ac:dyDescent="0.15">
      <c r="A24" t="s">
        <v>72</v>
      </c>
      <c r="B24" t="s">
        <v>567</v>
      </c>
      <c r="C24" t="s">
        <v>74</v>
      </c>
      <c r="D24" t="s">
        <v>74</v>
      </c>
      <c r="E24" t="s">
        <v>74</v>
      </c>
      <c r="F24" t="s">
        <v>568</v>
      </c>
      <c r="G24" t="s">
        <v>74</v>
      </c>
      <c r="H24" t="s">
        <v>74</v>
      </c>
      <c r="I24" t="s">
        <v>569</v>
      </c>
      <c r="J24" t="s">
        <v>570</v>
      </c>
      <c r="K24" t="s">
        <v>74</v>
      </c>
      <c r="L24" t="s">
        <v>74</v>
      </c>
      <c r="M24" t="s">
        <v>78</v>
      </c>
      <c r="N24" t="s">
        <v>79</v>
      </c>
      <c r="O24" t="s">
        <v>74</v>
      </c>
      <c r="P24" t="s">
        <v>74</v>
      </c>
      <c r="Q24" t="s">
        <v>74</v>
      </c>
      <c r="R24" t="s">
        <v>74</v>
      </c>
      <c r="S24" t="s">
        <v>74</v>
      </c>
      <c r="T24" t="s">
        <v>571</v>
      </c>
      <c r="U24" t="s">
        <v>572</v>
      </c>
      <c r="V24" t="s">
        <v>573</v>
      </c>
      <c r="W24" t="s">
        <v>574</v>
      </c>
      <c r="X24" t="s">
        <v>575</v>
      </c>
      <c r="Y24" t="s">
        <v>576</v>
      </c>
      <c r="Z24" t="s">
        <v>577</v>
      </c>
      <c r="AA24" t="s">
        <v>578</v>
      </c>
      <c r="AB24" t="s">
        <v>74</v>
      </c>
      <c r="AC24" t="s">
        <v>579</v>
      </c>
      <c r="AD24" t="s">
        <v>580</v>
      </c>
      <c r="AE24" t="s">
        <v>581</v>
      </c>
      <c r="AF24" t="s">
        <v>74</v>
      </c>
      <c r="AG24">
        <v>72</v>
      </c>
      <c r="AH24">
        <v>58</v>
      </c>
      <c r="AI24">
        <v>59</v>
      </c>
      <c r="AJ24">
        <v>1</v>
      </c>
      <c r="AK24">
        <v>33</v>
      </c>
      <c r="AL24" t="s">
        <v>582</v>
      </c>
      <c r="AM24" t="s">
        <v>305</v>
      </c>
      <c r="AN24" t="s">
        <v>583</v>
      </c>
      <c r="AO24" t="s">
        <v>584</v>
      </c>
      <c r="AP24" t="s">
        <v>585</v>
      </c>
      <c r="AQ24" t="s">
        <v>74</v>
      </c>
      <c r="AR24" t="s">
        <v>586</v>
      </c>
      <c r="AS24" t="s">
        <v>587</v>
      </c>
      <c r="AT24" t="s">
        <v>417</v>
      </c>
      <c r="AU24">
        <v>2014</v>
      </c>
      <c r="AV24">
        <v>149</v>
      </c>
      <c r="AW24" t="s">
        <v>74</v>
      </c>
      <c r="AX24" t="s">
        <v>74</v>
      </c>
      <c r="AY24" t="s">
        <v>74</v>
      </c>
      <c r="AZ24" t="s">
        <v>74</v>
      </c>
      <c r="BA24" t="s">
        <v>74</v>
      </c>
      <c r="BB24">
        <v>5</v>
      </c>
      <c r="BC24">
        <v>18</v>
      </c>
      <c r="BD24" t="s">
        <v>74</v>
      </c>
      <c r="BE24" t="s">
        <v>588</v>
      </c>
      <c r="BF24" t="str">
        <f>HYPERLINK("http://dx.doi.org/10.1016/j.fishres.2013.07.012","http://dx.doi.org/10.1016/j.fishres.2013.07.012")</f>
        <v>http://dx.doi.org/10.1016/j.fishres.2013.07.012</v>
      </c>
      <c r="BG24" t="s">
        <v>74</v>
      </c>
      <c r="BH24" t="s">
        <v>74</v>
      </c>
      <c r="BI24">
        <v>14</v>
      </c>
      <c r="BJ24" t="s">
        <v>589</v>
      </c>
      <c r="BK24" t="s">
        <v>99</v>
      </c>
      <c r="BL24" t="s">
        <v>589</v>
      </c>
      <c r="BM24" t="s">
        <v>590</v>
      </c>
      <c r="BN24" t="s">
        <v>74</v>
      </c>
      <c r="BO24" t="s">
        <v>74</v>
      </c>
      <c r="BP24" t="s">
        <v>74</v>
      </c>
      <c r="BQ24" t="s">
        <v>74</v>
      </c>
      <c r="BR24" t="s">
        <v>103</v>
      </c>
      <c r="BS24" t="s">
        <v>591</v>
      </c>
      <c r="BT24" t="str">
        <f>HYPERLINK("https%3A%2F%2Fwww.webofscience.com%2Fwos%2Fwoscc%2Ffull-record%2FWOS:000328715700002","View Full Record in Web of Science")</f>
        <v>View Full Record in Web of Science</v>
      </c>
    </row>
    <row r="25" spans="1:72" x14ac:dyDescent="0.15">
      <c r="A25" t="s">
        <v>72</v>
      </c>
      <c r="B25" t="s">
        <v>592</v>
      </c>
      <c r="C25" t="s">
        <v>74</v>
      </c>
      <c r="D25" t="s">
        <v>74</v>
      </c>
      <c r="E25" t="s">
        <v>74</v>
      </c>
      <c r="F25" t="s">
        <v>593</v>
      </c>
      <c r="G25" t="s">
        <v>74</v>
      </c>
      <c r="H25" t="s">
        <v>74</v>
      </c>
      <c r="I25" t="s">
        <v>594</v>
      </c>
      <c r="J25" t="s">
        <v>595</v>
      </c>
      <c r="K25" t="s">
        <v>74</v>
      </c>
      <c r="L25" t="s">
        <v>74</v>
      </c>
      <c r="M25" t="s">
        <v>78</v>
      </c>
      <c r="N25" t="s">
        <v>79</v>
      </c>
      <c r="O25" t="s">
        <v>74</v>
      </c>
      <c r="P25" t="s">
        <v>74</v>
      </c>
      <c r="Q25" t="s">
        <v>74</v>
      </c>
      <c r="R25" t="s">
        <v>74</v>
      </c>
      <c r="S25" t="s">
        <v>74</v>
      </c>
      <c r="T25" t="s">
        <v>596</v>
      </c>
      <c r="U25" t="s">
        <v>597</v>
      </c>
      <c r="V25" t="s">
        <v>598</v>
      </c>
      <c r="W25" t="s">
        <v>599</v>
      </c>
      <c r="X25" t="s">
        <v>600</v>
      </c>
      <c r="Y25" t="s">
        <v>601</v>
      </c>
      <c r="Z25" t="s">
        <v>602</v>
      </c>
      <c r="AA25" t="s">
        <v>603</v>
      </c>
      <c r="AB25" t="s">
        <v>604</v>
      </c>
      <c r="AC25" t="s">
        <v>605</v>
      </c>
      <c r="AD25" t="s">
        <v>606</v>
      </c>
      <c r="AE25" t="s">
        <v>607</v>
      </c>
      <c r="AF25" t="s">
        <v>74</v>
      </c>
      <c r="AG25">
        <v>29</v>
      </c>
      <c r="AH25">
        <v>21</v>
      </c>
      <c r="AI25">
        <v>22</v>
      </c>
      <c r="AJ25">
        <v>0</v>
      </c>
      <c r="AK25">
        <v>8</v>
      </c>
      <c r="AL25" t="s">
        <v>608</v>
      </c>
      <c r="AM25" t="s">
        <v>609</v>
      </c>
      <c r="AN25" t="s">
        <v>610</v>
      </c>
      <c r="AO25" t="s">
        <v>611</v>
      </c>
      <c r="AP25" t="s">
        <v>74</v>
      </c>
      <c r="AQ25" t="s">
        <v>74</v>
      </c>
      <c r="AR25" t="s">
        <v>595</v>
      </c>
      <c r="AS25" t="s">
        <v>612</v>
      </c>
      <c r="AT25" t="s">
        <v>74</v>
      </c>
      <c r="AU25">
        <v>2014</v>
      </c>
      <c r="AV25">
        <v>14</v>
      </c>
      <c r="AW25">
        <v>1</v>
      </c>
      <c r="AX25" t="s">
        <v>74</v>
      </c>
      <c r="AY25" t="s">
        <v>74</v>
      </c>
      <c r="AZ25" t="s">
        <v>74</v>
      </c>
      <c r="BA25" t="s">
        <v>74</v>
      </c>
      <c r="BB25">
        <v>77</v>
      </c>
      <c r="BC25">
        <v>90</v>
      </c>
      <c r="BD25" t="s">
        <v>74</v>
      </c>
      <c r="BE25" t="s">
        <v>613</v>
      </c>
      <c r="BF25" t="str">
        <f>HYPERLINK("http://dx.doi.org/10.5507/fot.2014.006","http://dx.doi.org/10.5507/fot.2014.006")</f>
        <v>http://dx.doi.org/10.5507/fot.2014.006</v>
      </c>
      <c r="BG25" t="s">
        <v>74</v>
      </c>
      <c r="BH25" t="s">
        <v>74</v>
      </c>
      <c r="BI25">
        <v>14</v>
      </c>
      <c r="BJ25" t="s">
        <v>614</v>
      </c>
      <c r="BK25" t="s">
        <v>99</v>
      </c>
      <c r="BL25" t="s">
        <v>614</v>
      </c>
      <c r="BM25" t="s">
        <v>615</v>
      </c>
      <c r="BN25" t="s">
        <v>74</v>
      </c>
      <c r="BO25" t="s">
        <v>616</v>
      </c>
      <c r="BP25" t="s">
        <v>74</v>
      </c>
      <c r="BQ25" t="s">
        <v>74</v>
      </c>
      <c r="BR25" t="s">
        <v>103</v>
      </c>
      <c r="BS25" t="s">
        <v>617</v>
      </c>
      <c r="BT25" t="str">
        <f>HYPERLINK("https%3A%2F%2Fwww.webofscience.com%2Fwos%2Fwoscc%2Ffull-record%2FWOS:000334587400006","View Full Record in Web of Science")</f>
        <v>View Full Record in Web of Science</v>
      </c>
    </row>
    <row r="26" spans="1:72" x14ac:dyDescent="0.15">
      <c r="A26" t="s">
        <v>238</v>
      </c>
      <c r="B26" t="s">
        <v>618</v>
      </c>
      <c r="C26" t="s">
        <v>618</v>
      </c>
      <c r="D26" t="s">
        <v>74</v>
      </c>
      <c r="E26" t="s">
        <v>74</v>
      </c>
      <c r="F26" t="s">
        <v>619</v>
      </c>
      <c r="G26" t="s">
        <v>618</v>
      </c>
      <c r="H26" t="s">
        <v>74</v>
      </c>
      <c r="I26" t="s">
        <v>620</v>
      </c>
      <c r="J26" t="s">
        <v>621</v>
      </c>
      <c r="K26" t="s">
        <v>74</v>
      </c>
      <c r="L26" t="s">
        <v>74</v>
      </c>
      <c r="M26" t="s">
        <v>78</v>
      </c>
      <c r="N26" t="s">
        <v>622</v>
      </c>
      <c r="O26" t="s">
        <v>74</v>
      </c>
      <c r="P26" t="s">
        <v>74</v>
      </c>
      <c r="Q26" t="s">
        <v>74</v>
      </c>
      <c r="R26" t="s">
        <v>74</v>
      </c>
      <c r="S26" t="s">
        <v>74</v>
      </c>
      <c r="T26" t="s">
        <v>74</v>
      </c>
      <c r="U26" t="s">
        <v>623</v>
      </c>
      <c r="V26" t="s">
        <v>74</v>
      </c>
      <c r="W26" t="s">
        <v>74</v>
      </c>
      <c r="X26" t="s">
        <v>74</v>
      </c>
      <c r="Y26" t="s">
        <v>74</v>
      </c>
      <c r="Z26" t="s">
        <v>74</v>
      </c>
      <c r="AA26" t="s">
        <v>74</v>
      </c>
      <c r="AB26" t="s">
        <v>74</v>
      </c>
      <c r="AC26" t="s">
        <v>74</v>
      </c>
      <c r="AD26" t="s">
        <v>74</v>
      </c>
      <c r="AE26" t="s">
        <v>74</v>
      </c>
      <c r="AF26" t="s">
        <v>74</v>
      </c>
      <c r="AG26">
        <v>933</v>
      </c>
      <c r="AH26">
        <v>0</v>
      </c>
      <c r="AI26">
        <v>0</v>
      </c>
      <c r="AJ26">
        <v>0</v>
      </c>
      <c r="AK26">
        <v>19</v>
      </c>
      <c r="AL26" t="s">
        <v>624</v>
      </c>
      <c r="AM26" t="s">
        <v>625</v>
      </c>
      <c r="AN26" t="s">
        <v>626</v>
      </c>
      <c r="AO26" t="s">
        <v>74</v>
      </c>
      <c r="AP26" t="s">
        <v>74</v>
      </c>
      <c r="AQ26" t="s">
        <v>627</v>
      </c>
      <c r="AR26" t="s">
        <v>74</v>
      </c>
      <c r="AS26" t="s">
        <v>74</v>
      </c>
      <c r="AT26" t="s">
        <v>74</v>
      </c>
      <c r="AU26">
        <v>2014</v>
      </c>
      <c r="AV26" t="s">
        <v>74</v>
      </c>
      <c r="AW26" t="s">
        <v>74</v>
      </c>
      <c r="AX26" t="s">
        <v>74</v>
      </c>
      <c r="AY26" t="s">
        <v>74</v>
      </c>
      <c r="AZ26" t="s">
        <v>74</v>
      </c>
      <c r="BA26" t="s">
        <v>74</v>
      </c>
      <c r="BB26" t="s">
        <v>628</v>
      </c>
      <c r="BC26" t="s">
        <v>629</v>
      </c>
      <c r="BD26" t="s">
        <v>74</v>
      </c>
      <c r="BE26" t="s">
        <v>74</v>
      </c>
      <c r="BF26" t="s">
        <v>74</v>
      </c>
      <c r="BG26" t="s">
        <v>630</v>
      </c>
      <c r="BH26" t="s">
        <v>74</v>
      </c>
      <c r="BI26">
        <v>45</v>
      </c>
      <c r="BJ26" t="s">
        <v>631</v>
      </c>
      <c r="BK26" t="s">
        <v>632</v>
      </c>
      <c r="BL26" t="s">
        <v>631</v>
      </c>
      <c r="BM26" t="s">
        <v>633</v>
      </c>
      <c r="BN26" t="s">
        <v>74</v>
      </c>
      <c r="BO26" t="s">
        <v>74</v>
      </c>
      <c r="BP26" t="s">
        <v>74</v>
      </c>
      <c r="BQ26" t="s">
        <v>74</v>
      </c>
      <c r="BR26" t="s">
        <v>103</v>
      </c>
      <c r="BS26" t="s">
        <v>634</v>
      </c>
      <c r="BT26" t="str">
        <f>HYPERLINK("https%3A%2F%2Fwww.webofscience.com%2Fwos%2Fwoscc%2Ffull-record%2FWOS:000368240700001","View Full Record in Web of Science")</f>
        <v>View Full Record in Web of Science</v>
      </c>
    </row>
    <row r="27" spans="1:72" x14ac:dyDescent="0.15">
      <c r="A27" t="s">
        <v>72</v>
      </c>
      <c r="B27" t="s">
        <v>635</v>
      </c>
      <c r="C27" t="s">
        <v>74</v>
      </c>
      <c r="D27" t="s">
        <v>74</v>
      </c>
      <c r="E27" t="s">
        <v>74</v>
      </c>
      <c r="F27" t="s">
        <v>636</v>
      </c>
      <c r="G27" t="s">
        <v>74</v>
      </c>
      <c r="H27" t="s">
        <v>74</v>
      </c>
      <c r="I27" t="s">
        <v>637</v>
      </c>
      <c r="J27" t="s">
        <v>638</v>
      </c>
      <c r="K27" t="s">
        <v>74</v>
      </c>
      <c r="L27" t="s">
        <v>74</v>
      </c>
      <c r="M27" t="s">
        <v>78</v>
      </c>
      <c r="N27" t="s">
        <v>79</v>
      </c>
      <c r="O27" t="s">
        <v>74</v>
      </c>
      <c r="P27" t="s">
        <v>74</v>
      </c>
      <c r="Q27" t="s">
        <v>74</v>
      </c>
      <c r="R27" t="s">
        <v>74</v>
      </c>
      <c r="S27" t="s">
        <v>74</v>
      </c>
      <c r="T27" t="s">
        <v>639</v>
      </c>
      <c r="U27" t="s">
        <v>74</v>
      </c>
      <c r="V27" t="s">
        <v>640</v>
      </c>
      <c r="W27" t="s">
        <v>641</v>
      </c>
      <c r="X27" t="s">
        <v>642</v>
      </c>
      <c r="Y27" t="s">
        <v>643</v>
      </c>
      <c r="Z27" t="s">
        <v>644</v>
      </c>
      <c r="AA27" t="s">
        <v>74</v>
      </c>
      <c r="AB27" t="s">
        <v>645</v>
      </c>
      <c r="AC27" t="s">
        <v>646</v>
      </c>
      <c r="AD27" t="s">
        <v>647</v>
      </c>
      <c r="AE27" t="s">
        <v>648</v>
      </c>
      <c r="AF27" t="s">
        <v>74</v>
      </c>
      <c r="AG27">
        <v>93</v>
      </c>
      <c r="AH27">
        <v>50</v>
      </c>
      <c r="AI27">
        <v>54</v>
      </c>
      <c r="AJ27">
        <v>4</v>
      </c>
      <c r="AK27">
        <v>18</v>
      </c>
      <c r="AL27" t="s">
        <v>649</v>
      </c>
      <c r="AM27" t="s">
        <v>650</v>
      </c>
      <c r="AN27" t="s">
        <v>651</v>
      </c>
      <c r="AO27" t="s">
        <v>652</v>
      </c>
      <c r="AP27" t="s">
        <v>74</v>
      </c>
      <c r="AQ27" t="s">
        <v>74</v>
      </c>
      <c r="AR27" t="s">
        <v>653</v>
      </c>
      <c r="AS27" t="s">
        <v>654</v>
      </c>
      <c r="AT27" t="s">
        <v>74</v>
      </c>
      <c r="AU27">
        <v>2014</v>
      </c>
      <c r="AV27">
        <v>2</v>
      </c>
      <c r="AW27" t="s">
        <v>74</v>
      </c>
      <c r="AX27" t="s">
        <v>74</v>
      </c>
      <c r="AY27" t="s">
        <v>74</v>
      </c>
      <c r="AZ27" t="s">
        <v>74</v>
      </c>
      <c r="BA27" t="s">
        <v>74</v>
      </c>
      <c r="BB27" t="s">
        <v>74</v>
      </c>
      <c r="BC27" t="s">
        <v>74</v>
      </c>
      <c r="BD27">
        <v>68</v>
      </c>
      <c r="BE27" t="s">
        <v>655</v>
      </c>
      <c r="BF27" t="str">
        <f>HYPERLINK("http://dx.doi.org/10.3389/fevo.2014.00068","http://dx.doi.org/10.3389/fevo.2014.00068")</f>
        <v>http://dx.doi.org/10.3389/fevo.2014.00068</v>
      </c>
      <c r="BG27" t="s">
        <v>74</v>
      </c>
      <c r="BH27" t="s">
        <v>74</v>
      </c>
      <c r="BI27">
        <v>12</v>
      </c>
      <c r="BJ27" t="s">
        <v>419</v>
      </c>
      <c r="BK27" t="s">
        <v>99</v>
      </c>
      <c r="BL27" t="s">
        <v>420</v>
      </c>
      <c r="BM27" t="s">
        <v>656</v>
      </c>
      <c r="BN27" t="s">
        <v>74</v>
      </c>
      <c r="BO27" t="s">
        <v>657</v>
      </c>
      <c r="BP27" t="s">
        <v>74</v>
      </c>
      <c r="BQ27" t="s">
        <v>74</v>
      </c>
      <c r="BR27" t="s">
        <v>103</v>
      </c>
      <c r="BS27" t="s">
        <v>658</v>
      </c>
      <c r="BT27" t="str">
        <f>HYPERLINK("https%3A%2F%2Fwww.webofscience.com%2Fwos%2Fwoscc%2Ffull-record%2FWOS:000517755700067","View Full Record in Web of Science")</f>
        <v>View Full Record in Web of Science</v>
      </c>
    </row>
    <row r="28" spans="1:72" x14ac:dyDescent="0.15">
      <c r="A28" t="s">
        <v>72</v>
      </c>
      <c r="B28" t="s">
        <v>659</v>
      </c>
      <c r="C28" t="s">
        <v>74</v>
      </c>
      <c r="D28" t="s">
        <v>74</v>
      </c>
      <c r="E28" t="s">
        <v>74</v>
      </c>
      <c r="F28" t="s">
        <v>660</v>
      </c>
      <c r="G28" t="s">
        <v>74</v>
      </c>
      <c r="H28" t="s">
        <v>74</v>
      </c>
      <c r="I28" t="s">
        <v>661</v>
      </c>
      <c r="J28" t="s">
        <v>662</v>
      </c>
      <c r="K28" t="s">
        <v>74</v>
      </c>
      <c r="L28" t="s">
        <v>74</v>
      </c>
      <c r="M28" t="s">
        <v>78</v>
      </c>
      <c r="N28" t="s">
        <v>79</v>
      </c>
      <c r="O28" t="s">
        <v>74</v>
      </c>
      <c r="P28" t="s">
        <v>74</v>
      </c>
      <c r="Q28" t="s">
        <v>74</v>
      </c>
      <c r="R28" t="s">
        <v>74</v>
      </c>
      <c r="S28" t="s">
        <v>74</v>
      </c>
      <c r="T28" t="s">
        <v>663</v>
      </c>
      <c r="U28" t="s">
        <v>664</v>
      </c>
      <c r="V28" t="s">
        <v>665</v>
      </c>
      <c r="W28" t="s">
        <v>666</v>
      </c>
      <c r="X28" t="s">
        <v>667</v>
      </c>
      <c r="Y28" t="s">
        <v>668</v>
      </c>
      <c r="Z28" t="s">
        <v>669</v>
      </c>
      <c r="AA28" t="s">
        <v>670</v>
      </c>
      <c r="AB28" t="s">
        <v>671</v>
      </c>
      <c r="AC28" t="s">
        <v>672</v>
      </c>
      <c r="AD28" t="s">
        <v>673</v>
      </c>
      <c r="AE28" t="s">
        <v>674</v>
      </c>
      <c r="AF28" t="s">
        <v>74</v>
      </c>
      <c r="AG28">
        <v>89</v>
      </c>
      <c r="AH28">
        <v>22</v>
      </c>
      <c r="AI28">
        <v>23</v>
      </c>
      <c r="AJ28">
        <v>0</v>
      </c>
      <c r="AK28">
        <v>17</v>
      </c>
      <c r="AL28" t="s">
        <v>649</v>
      </c>
      <c r="AM28" t="s">
        <v>650</v>
      </c>
      <c r="AN28" t="s">
        <v>651</v>
      </c>
      <c r="AO28" t="s">
        <v>74</v>
      </c>
      <c r="AP28" t="s">
        <v>675</v>
      </c>
      <c r="AQ28" t="s">
        <v>74</v>
      </c>
      <c r="AR28" t="s">
        <v>676</v>
      </c>
      <c r="AS28" t="s">
        <v>677</v>
      </c>
      <c r="AT28" t="s">
        <v>74</v>
      </c>
      <c r="AU28">
        <v>2014</v>
      </c>
      <c r="AV28">
        <v>1</v>
      </c>
      <c r="AW28" t="s">
        <v>74</v>
      </c>
      <c r="AX28" t="s">
        <v>74</v>
      </c>
      <c r="AY28" t="s">
        <v>74</v>
      </c>
      <c r="AZ28" t="s">
        <v>74</v>
      </c>
      <c r="BA28" t="s">
        <v>74</v>
      </c>
      <c r="BB28" t="s">
        <v>74</v>
      </c>
      <c r="BC28" t="s">
        <v>74</v>
      </c>
      <c r="BD28">
        <v>45</v>
      </c>
      <c r="BE28" t="s">
        <v>678</v>
      </c>
      <c r="BF28" t="str">
        <f>HYPERLINK("http://dx.doi.org/10.3389/fmars.2014.00045","http://dx.doi.org/10.3389/fmars.2014.00045")</f>
        <v>http://dx.doi.org/10.3389/fmars.2014.00045</v>
      </c>
      <c r="BG28" t="s">
        <v>74</v>
      </c>
      <c r="BH28" t="s">
        <v>74</v>
      </c>
      <c r="BI28">
        <v>13</v>
      </c>
      <c r="BJ28" t="s">
        <v>679</v>
      </c>
      <c r="BK28" t="s">
        <v>99</v>
      </c>
      <c r="BL28" t="s">
        <v>680</v>
      </c>
      <c r="BM28" t="s">
        <v>681</v>
      </c>
      <c r="BN28" t="s">
        <v>74</v>
      </c>
      <c r="BO28" t="s">
        <v>616</v>
      </c>
      <c r="BP28" t="s">
        <v>74</v>
      </c>
      <c r="BQ28" t="s">
        <v>74</v>
      </c>
      <c r="BR28" t="s">
        <v>103</v>
      </c>
      <c r="BS28" t="s">
        <v>682</v>
      </c>
      <c r="BT28" t="str">
        <f>HYPERLINK("https%3A%2F%2Fwww.webofscience.com%2Fwos%2Fwoscc%2Ffull-record%2FWOS:000485310600043","View Full Record in Web of Science")</f>
        <v>View Full Record in Web of Science</v>
      </c>
    </row>
    <row r="29" spans="1:72" x14ac:dyDescent="0.15">
      <c r="A29" t="s">
        <v>72</v>
      </c>
      <c r="B29" t="s">
        <v>683</v>
      </c>
      <c r="C29" t="s">
        <v>74</v>
      </c>
      <c r="D29" t="s">
        <v>74</v>
      </c>
      <c r="E29" t="s">
        <v>74</v>
      </c>
      <c r="F29" t="s">
        <v>684</v>
      </c>
      <c r="G29" t="s">
        <v>74</v>
      </c>
      <c r="H29" t="s">
        <v>74</v>
      </c>
      <c r="I29" t="s">
        <v>685</v>
      </c>
      <c r="J29" t="s">
        <v>662</v>
      </c>
      <c r="K29" t="s">
        <v>74</v>
      </c>
      <c r="L29" t="s">
        <v>74</v>
      </c>
      <c r="M29" t="s">
        <v>78</v>
      </c>
      <c r="N29" t="s">
        <v>79</v>
      </c>
      <c r="O29" t="s">
        <v>74</v>
      </c>
      <c r="P29" t="s">
        <v>74</v>
      </c>
      <c r="Q29" t="s">
        <v>74</v>
      </c>
      <c r="R29" t="s">
        <v>74</v>
      </c>
      <c r="S29" t="s">
        <v>74</v>
      </c>
      <c r="T29" t="s">
        <v>686</v>
      </c>
      <c r="U29" t="s">
        <v>687</v>
      </c>
      <c r="V29" t="s">
        <v>688</v>
      </c>
      <c r="W29" t="s">
        <v>689</v>
      </c>
      <c r="X29" t="s">
        <v>690</v>
      </c>
      <c r="Y29" t="s">
        <v>691</v>
      </c>
      <c r="Z29" t="s">
        <v>692</v>
      </c>
      <c r="AA29" t="s">
        <v>693</v>
      </c>
      <c r="AB29" t="s">
        <v>694</v>
      </c>
      <c r="AC29" t="s">
        <v>695</v>
      </c>
      <c r="AD29" t="s">
        <v>696</v>
      </c>
      <c r="AE29" t="s">
        <v>697</v>
      </c>
      <c r="AF29" t="s">
        <v>74</v>
      </c>
      <c r="AG29">
        <v>21</v>
      </c>
      <c r="AH29">
        <v>6</v>
      </c>
      <c r="AI29">
        <v>7</v>
      </c>
      <c r="AJ29">
        <v>0</v>
      </c>
      <c r="AK29">
        <v>2</v>
      </c>
      <c r="AL29" t="s">
        <v>649</v>
      </c>
      <c r="AM29" t="s">
        <v>650</v>
      </c>
      <c r="AN29" t="s">
        <v>651</v>
      </c>
      <c r="AO29" t="s">
        <v>74</v>
      </c>
      <c r="AP29" t="s">
        <v>675</v>
      </c>
      <c r="AQ29" t="s">
        <v>74</v>
      </c>
      <c r="AR29" t="s">
        <v>676</v>
      </c>
      <c r="AS29" t="s">
        <v>677</v>
      </c>
      <c r="AT29" t="s">
        <v>74</v>
      </c>
      <c r="AU29">
        <v>2014</v>
      </c>
      <c r="AV29">
        <v>1</v>
      </c>
      <c r="AW29" t="s">
        <v>74</v>
      </c>
      <c r="AX29" t="s">
        <v>74</v>
      </c>
      <c r="AY29" t="s">
        <v>74</v>
      </c>
      <c r="AZ29" t="s">
        <v>74</v>
      </c>
      <c r="BA29" t="s">
        <v>74</v>
      </c>
      <c r="BB29" t="s">
        <v>74</v>
      </c>
      <c r="BC29" t="s">
        <v>74</v>
      </c>
      <c r="BD29">
        <v>24</v>
      </c>
      <c r="BE29" t="s">
        <v>698</v>
      </c>
      <c r="BF29" t="str">
        <f>HYPERLINK("http://dx.doi.org/10.3389/fmars.2014.00024","http://dx.doi.org/10.3389/fmars.2014.00024")</f>
        <v>http://dx.doi.org/10.3389/fmars.2014.00024</v>
      </c>
      <c r="BG29" t="s">
        <v>74</v>
      </c>
      <c r="BH29" t="s">
        <v>74</v>
      </c>
      <c r="BI29">
        <v>5</v>
      </c>
      <c r="BJ29" t="s">
        <v>679</v>
      </c>
      <c r="BK29" t="s">
        <v>99</v>
      </c>
      <c r="BL29" t="s">
        <v>680</v>
      </c>
      <c r="BM29" t="s">
        <v>681</v>
      </c>
      <c r="BN29" t="s">
        <v>74</v>
      </c>
      <c r="BO29" t="s">
        <v>699</v>
      </c>
      <c r="BP29" t="s">
        <v>74</v>
      </c>
      <c r="BQ29" t="s">
        <v>74</v>
      </c>
      <c r="BR29" t="s">
        <v>103</v>
      </c>
      <c r="BS29" t="s">
        <v>700</v>
      </c>
      <c r="BT29" t="str">
        <f>HYPERLINK("https%3A%2F%2Fwww.webofscience.com%2Fwos%2Fwoscc%2Ffull-record%2FWOS:000485310600022","View Full Record in Web of Science")</f>
        <v>View Full Record in Web of Science</v>
      </c>
    </row>
    <row r="30" spans="1:72" x14ac:dyDescent="0.15">
      <c r="A30" t="s">
        <v>72</v>
      </c>
      <c r="B30" t="s">
        <v>701</v>
      </c>
      <c r="C30" t="s">
        <v>74</v>
      </c>
      <c r="D30" t="s">
        <v>74</v>
      </c>
      <c r="E30" t="s">
        <v>74</v>
      </c>
      <c r="F30" t="s">
        <v>702</v>
      </c>
      <c r="G30" t="s">
        <v>74</v>
      </c>
      <c r="H30" t="s">
        <v>74</v>
      </c>
      <c r="I30" t="s">
        <v>703</v>
      </c>
      <c r="J30" t="s">
        <v>704</v>
      </c>
      <c r="K30" t="s">
        <v>74</v>
      </c>
      <c r="L30" t="s">
        <v>74</v>
      </c>
      <c r="M30" t="s">
        <v>78</v>
      </c>
      <c r="N30" t="s">
        <v>79</v>
      </c>
      <c r="O30" t="s">
        <v>74</v>
      </c>
      <c r="P30" t="s">
        <v>74</v>
      </c>
      <c r="Q30" t="s">
        <v>74</v>
      </c>
      <c r="R30" t="s">
        <v>74</v>
      </c>
      <c r="S30" t="s">
        <v>74</v>
      </c>
      <c r="T30" t="s">
        <v>705</v>
      </c>
      <c r="U30" t="s">
        <v>706</v>
      </c>
      <c r="V30" t="s">
        <v>707</v>
      </c>
      <c r="W30" t="s">
        <v>708</v>
      </c>
      <c r="X30" t="s">
        <v>709</v>
      </c>
      <c r="Y30" t="s">
        <v>710</v>
      </c>
      <c r="Z30" t="s">
        <v>711</v>
      </c>
      <c r="AA30" t="s">
        <v>712</v>
      </c>
      <c r="AB30" t="s">
        <v>713</v>
      </c>
      <c r="AC30" t="s">
        <v>714</v>
      </c>
      <c r="AD30" t="s">
        <v>715</v>
      </c>
      <c r="AE30" t="s">
        <v>716</v>
      </c>
      <c r="AF30" t="s">
        <v>74</v>
      </c>
      <c r="AG30">
        <v>32</v>
      </c>
      <c r="AH30">
        <v>30</v>
      </c>
      <c r="AI30">
        <v>30</v>
      </c>
      <c r="AJ30">
        <v>2</v>
      </c>
      <c r="AK30">
        <v>6</v>
      </c>
      <c r="AL30" t="s">
        <v>649</v>
      </c>
      <c r="AM30" t="s">
        <v>650</v>
      </c>
      <c r="AN30" t="s">
        <v>651</v>
      </c>
      <c r="AO30" t="s">
        <v>717</v>
      </c>
      <c r="AP30" t="s">
        <v>74</v>
      </c>
      <c r="AQ30" t="s">
        <v>74</v>
      </c>
      <c r="AR30" t="s">
        <v>718</v>
      </c>
      <c r="AS30" t="s">
        <v>719</v>
      </c>
      <c r="AT30" t="s">
        <v>74</v>
      </c>
      <c r="AU30">
        <v>2014</v>
      </c>
      <c r="AV30">
        <v>2</v>
      </c>
      <c r="AW30" t="s">
        <v>74</v>
      </c>
      <c r="AX30" t="s">
        <v>74</v>
      </c>
      <c r="AY30" t="s">
        <v>74</v>
      </c>
      <c r="AZ30" t="s">
        <v>74</v>
      </c>
      <c r="BA30" t="s">
        <v>74</v>
      </c>
      <c r="BB30" t="s">
        <v>74</v>
      </c>
      <c r="BC30" t="s">
        <v>74</v>
      </c>
      <c r="BD30">
        <v>25</v>
      </c>
      <c r="BE30" t="s">
        <v>720</v>
      </c>
      <c r="BF30" t="str">
        <f>HYPERLINK("http://dx.doi.org/10.3389/fphy.2014.00025","http://dx.doi.org/10.3389/fphy.2014.00025")</f>
        <v>http://dx.doi.org/10.3389/fphy.2014.00025</v>
      </c>
      <c r="BG30" t="s">
        <v>74</v>
      </c>
      <c r="BH30" t="s">
        <v>74</v>
      </c>
      <c r="BI30">
        <v>6</v>
      </c>
      <c r="BJ30" t="s">
        <v>721</v>
      </c>
      <c r="BK30" t="s">
        <v>494</v>
      </c>
      <c r="BL30" t="s">
        <v>722</v>
      </c>
      <c r="BM30" t="s">
        <v>723</v>
      </c>
      <c r="BN30" t="s">
        <v>74</v>
      </c>
      <c r="BO30" t="s">
        <v>381</v>
      </c>
      <c r="BP30" t="s">
        <v>74</v>
      </c>
      <c r="BQ30" t="s">
        <v>74</v>
      </c>
      <c r="BR30" t="s">
        <v>103</v>
      </c>
      <c r="BS30" t="s">
        <v>724</v>
      </c>
      <c r="BT30" t="str">
        <f>HYPERLINK("https%3A%2F%2Fwww.webofscience.com%2Fwos%2Fwoscc%2Ffull-record%2FWOS:000215935000025","View Full Record in Web of Science")</f>
        <v>View Full Record in Web of Science</v>
      </c>
    </row>
    <row r="31" spans="1:72" x14ac:dyDescent="0.15">
      <c r="A31" t="s">
        <v>72</v>
      </c>
      <c r="B31" t="s">
        <v>725</v>
      </c>
      <c r="C31" t="s">
        <v>74</v>
      </c>
      <c r="D31" t="s">
        <v>74</v>
      </c>
      <c r="E31" t="s">
        <v>74</v>
      </c>
      <c r="F31" t="s">
        <v>726</v>
      </c>
      <c r="G31" t="s">
        <v>74</v>
      </c>
      <c r="H31" t="s">
        <v>74</v>
      </c>
      <c r="I31" t="s">
        <v>727</v>
      </c>
      <c r="J31" t="s">
        <v>728</v>
      </c>
      <c r="K31" t="s">
        <v>74</v>
      </c>
      <c r="L31" t="s">
        <v>74</v>
      </c>
      <c r="M31" t="s">
        <v>78</v>
      </c>
      <c r="N31" t="s">
        <v>79</v>
      </c>
      <c r="O31" t="s">
        <v>74</v>
      </c>
      <c r="P31" t="s">
        <v>74</v>
      </c>
      <c r="Q31" t="s">
        <v>74</v>
      </c>
      <c r="R31" t="s">
        <v>74</v>
      </c>
      <c r="S31" t="s">
        <v>74</v>
      </c>
      <c r="T31" t="s">
        <v>729</v>
      </c>
      <c r="U31" t="s">
        <v>730</v>
      </c>
      <c r="V31" t="s">
        <v>731</v>
      </c>
      <c r="W31" t="s">
        <v>732</v>
      </c>
      <c r="X31" t="s">
        <v>733</v>
      </c>
      <c r="Y31" t="s">
        <v>734</v>
      </c>
      <c r="Z31" t="s">
        <v>735</v>
      </c>
      <c r="AA31" t="s">
        <v>736</v>
      </c>
      <c r="AB31" t="s">
        <v>737</v>
      </c>
      <c r="AC31" t="s">
        <v>738</v>
      </c>
      <c r="AD31" t="s">
        <v>739</v>
      </c>
      <c r="AE31" t="s">
        <v>740</v>
      </c>
      <c r="AF31" t="s">
        <v>74</v>
      </c>
      <c r="AG31">
        <v>32</v>
      </c>
      <c r="AH31">
        <v>18</v>
      </c>
      <c r="AI31">
        <v>29</v>
      </c>
      <c r="AJ31">
        <v>7</v>
      </c>
      <c r="AK31">
        <v>84</v>
      </c>
      <c r="AL31" t="s">
        <v>513</v>
      </c>
      <c r="AM31" t="s">
        <v>514</v>
      </c>
      <c r="AN31" t="s">
        <v>515</v>
      </c>
      <c r="AO31" t="s">
        <v>741</v>
      </c>
      <c r="AP31" t="s">
        <v>742</v>
      </c>
      <c r="AQ31" t="s">
        <v>74</v>
      </c>
      <c r="AR31" t="s">
        <v>743</v>
      </c>
      <c r="AS31" t="s">
        <v>744</v>
      </c>
      <c r="AT31" t="s">
        <v>74</v>
      </c>
      <c r="AU31">
        <v>2014</v>
      </c>
      <c r="AV31">
        <v>41</v>
      </c>
      <c r="AW31">
        <v>2</v>
      </c>
      <c r="AX31" t="s">
        <v>74</v>
      </c>
      <c r="AY31" t="s">
        <v>74</v>
      </c>
      <c r="AZ31" t="s">
        <v>74</v>
      </c>
      <c r="BA31" t="s">
        <v>74</v>
      </c>
      <c r="BB31">
        <v>168</v>
      </c>
      <c r="BC31">
        <v>177</v>
      </c>
      <c r="BD31" t="s">
        <v>74</v>
      </c>
      <c r="BE31" t="s">
        <v>745</v>
      </c>
      <c r="BF31" t="str">
        <f>HYPERLINK("http://dx.doi.org/10.1071/FP13054","http://dx.doi.org/10.1071/FP13054")</f>
        <v>http://dx.doi.org/10.1071/FP13054</v>
      </c>
      <c r="BG31" t="s">
        <v>74</v>
      </c>
      <c r="BH31" t="s">
        <v>74</v>
      </c>
      <c r="BI31">
        <v>10</v>
      </c>
      <c r="BJ31" t="s">
        <v>614</v>
      </c>
      <c r="BK31" t="s">
        <v>99</v>
      </c>
      <c r="BL31" t="s">
        <v>614</v>
      </c>
      <c r="BM31" t="s">
        <v>746</v>
      </c>
      <c r="BN31">
        <v>32480976</v>
      </c>
      <c r="BO31" t="s">
        <v>74</v>
      </c>
      <c r="BP31" t="s">
        <v>74</v>
      </c>
      <c r="BQ31" t="s">
        <v>74</v>
      </c>
      <c r="BR31" t="s">
        <v>103</v>
      </c>
      <c r="BS31" t="s">
        <v>747</v>
      </c>
      <c r="BT31" t="str">
        <f>HYPERLINK("https%3A%2F%2Fwww.webofscience.com%2Fwos%2Fwoscc%2Ffull-record%2FWOS:000337367400006","View Full Record in Web of Science")</f>
        <v>View Full Record in Web of Science</v>
      </c>
    </row>
    <row r="32" spans="1:72" x14ac:dyDescent="0.15">
      <c r="A32" t="s">
        <v>72</v>
      </c>
      <c r="B32" t="s">
        <v>748</v>
      </c>
      <c r="C32" t="s">
        <v>74</v>
      </c>
      <c r="D32" t="s">
        <v>74</v>
      </c>
      <c r="E32" t="s">
        <v>74</v>
      </c>
      <c r="F32" t="s">
        <v>749</v>
      </c>
      <c r="G32" t="s">
        <v>74</v>
      </c>
      <c r="H32" t="s">
        <v>74</v>
      </c>
      <c r="I32" t="s">
        <v>750</v>
      </c>
      <c r="J32" t="s">
        <v>728</v>
      </c>
      <c r="K32" t="s">
        <v>74</v>
      </c>
      <c r="L32" t="s">
        <v>74</v>
      </c>
      <c r="M32" t="s">
        <v>78</v>
      </c>
      <c r="N32" t="s">
        <v>79</v>
      </c>
      <c r="O32" t="s">
        <v>74</v>
      </c>
      <c r="P32" t="s">
        <v>74</v>
      </c>
      <c r="Q32" t="s">
        <v>74</v>
      </c>
      <c r="R32" t="s">
        <v>74</v>
      </c>
      <c r="S32" t="s">
        <v>74</v>
      </c>
      <c r="T32" t="s">
        <v>751</v>
      </c>
      <c r="U32" t="s">
        <v>752</v>
      </c>
      <c r="V32" t="s">
        <v>753</v>
      </c>
      <c r="W32" t="s">
        <v>754</v>
      </c>
      <c r="X32" t="s">
        <v>755</v>
      </c>
      <c r="Y32" t="s">
        <v>756</v>
      </c>
      <c r="Z32" t="s">
        <v>757</v>
      </c>
      <c r="AA32" t="s">
        <v>758</v>
      </c>
      <c r="AB32" t="s">
        <v>759</v>
      </c>
      <c r="AC32" t="s">
        <v>760</v>
      </c>
      <c r="AD32" t="s">
        <v>761</v>
      </c>
      <c r="AE32" t="s">
        <v>762</v>
      </c>
      <c r="AF32" t="s">
        <v>74</v>
      </c>
      <c r="AG32">
        <v>34</v>
      </c>
      <c r="AH32">
        <v>12</v>
      </c>
      <c r="AI32">
        <v>13</v>
      </c>
      <c r="AJ32">
        <v>0</v>
      </c>
      <c r="AK32">
        <v>52</v>
      </c>
      <c r="AL32" t="s">
        <v>513</v>
      </c>
      <c r="AM32" t="s">
        <v>763</v>
      </c>
      <c r="AN32" t="s">
        <v>764</v>
      </c>
      <c r="AO32" t="s">
        <v>741</v>
      </c>
      <c r="AP32" t="s">
        <v>742</v>
      </c>
      <c r="AQ32" t="s">
        <v>74</v>
      </c>
      <c r="AR32" t="s">
        <v>743</v>
      </c>
      <c r="AS32" t="s">
        <v>744</v>
      </c>
      <c r="AT32" t="s">
        <v>74</v>
      </c>
      <c r="AU32">
        <v>2014</v>
      </c>
      <c r="AV32">
        <v>41</v>
      </c>
      <c r="AW32">
        <v>2</v>
      </c>
      <c r="AX32" t="s">
        <v>74</v>
      </c>
      <c r="AY32" t="s">
        <v>74</v>
      </c>
      <c r="AZ32" t="s">
        <v>74</v>
      </c>
      <c r="BA32" t="s">
        <v>74</v>
      </c>
      <c r="BB32">
        <v>178</v>
      </c>
      <c r="BC32">
        <v>186</v>
      </c>
      <c r="BD32" t="s">
        <v>74</v>
      </c>
      <c r="BE32" t="s">
        <v>765</v>
      </c>
      <c r="BF32" t="str">
        <f>HYPERLINK("http://dx.doi.org/10.1071/FP13160","http://dx.doi.org/10.1071/FP13160")</f>
        <v>http://dx.doi.org/10.1071/FP13160</v>
      </c>
      <c r="BG32" t="s">
        <v>74</v>
      </c>
      <c r="BH32" t="s">
        <v>74</v>
      </c>
      <c r="BI32">
        <v>9</v>
      </c>
      <c r="BJ32" t="s">
        <v>614</v>
      </c>
      <c r="BK32" t="s">
        <v>99</v>
      </c>
      <c r="BL32" t="s">
        <v>614</v>
      </c>
      <c r="BM32" t="s">
        <v>746</v>
      </c>
      <c r="BN32">
        <v>32480977</v>
      </c>
      <c r="BO32" t="s">
        <v>450</v>
      </c>
      <c r="BP32" t="s">
        <v>74</v>
      </c>
      <c r="BQ32" t="s">
        <v>74</v>
      </c>
      <c r="BR32" t="s">
        <v>103</v>
      </c>
      <c r="BS32" t="s">
        <v>766</v>
      </c>
      <c r="BT32" t="str">
        <f>HYPERLINK("https%3A%2F%2Fwww.webofscience.com%2Fwos%2Fwoscc%2Ffull-record%2FWOS:000337367400007","View Full Record in Web of Science")</f>
        <v>View Full Record in Web of Science</v>
      </c>
    </row>
    <row r="33" spans="1:72" x14ac:dyDescent="0.15">
      <c r="A33" t="s">
        <v>72</v>
      </c>
      <c r="B33" t="s">
        <v>767</v>
      </c>
      <c r="C33" t="s">
        <v>74</v>
      </c>
      <c r="D33" t="s">
        <v>74</v>
      </c>
      <c r="E33" t="s">
        <v>74</v>
      </c>
      <c r="F33" t="s">
        <v>768</v>
      </c>
      <c r="G33" t="s">
        <v>74</v>
      </c>
      <c r="H33" t="s">
        <v>74</v>
      </c>
      <c r="I33" t="s">
        <v>769</v>
      </c>
      <c r="J33" t="s">
        <v>770</v>
      </c>
      <c r="K33" t="s">
        <v>74</v>
      </c>
      <c r="L33" t="s">
        <v>74</v>
      </c>
      <c r="M33" t="s">
        <v>78</v>
      </c>
      <c r="N33" t="s">
        <v>79</v>
      </c>
      <c r="O33" t="s">
        <v>74</v>
      </c>
      <c r="P33" t="s">
        <v>74</v>
      </c>
      <c r="Q33" t="s">
        <v>74</v>
      </c>
      <c r="R33" t="s">
        <v>74</v>
      </c>
      <c r="S33" t="s">
        <v>74</v>
      </c>
      <c r="T33" t="s">
        <v>771</v>
      </c>
      <c r="U33" t="s">
        <v>772</v>
      </c>
      <c r="V33" t="s">
        <v>773</v>
      </c>
      <c r="W33" t="s">
        <v>774</v>
      </c>
      <c r="X33" t="s">
        <v>775</v>
      </c>
      <c r="Y33" t="s">
        <v>776</v>
      </c>
      <c r="Z33" t="s">
        <v>777</v>
      </c>
      <c r="AA33" t="s">
        <v>778</v>
      </c>
      <c r="AB33" t="s">
        <v>779</v>
      </c>
      <c r="AC33" t="s">
        <v>780</v>
      </c>
      <c r="AD33" t="s">
        <v>781</v>
      </c>
      <c r="AE33" t="s">
        <v>782</v>
      </c>
      <c r="AF33" t="s">
        <v>74</v>
      </c>
      <c r="AG33">
        <v>96</v>
      </c>
      <c r="AH33">
        <v>23</v>
      </c>
      <c r="AI33">
        <v>29</v>
      </c>
      <c r="AJ33">
        <v>0</v>
      </c>
      <c r="AK33">
        <v>24</v>
      </c>
      <c r="AL33" t="s">
        <v>783</v>
      </c>
      <c r="AM33" t="s">
        <v>252</v>
      </c>
      <c r="AN33" t="s">
        <v>784</v>
      </c>
      <c r="AO33" t="s">
        <v>785</v>
      </c>
      <c r="AP33" t="s">
        <v>786</v>
      </c>
      <c r="AQ33" t="s">
        <v>74</v>
      </c>
      <c r="AR33" t="s">
        <v>787</v>
      </c>
      <c r="AS33" t="s">
        <v>788</v>
      </c>
      <c r="AT33" t="s">
        <v>417</v>
      </c>
      <c r="AU33">
        <v>2014</v>
      </c>
      <c r="AV33">
        <v>118</v>
      </c>
      <c r="AW33">
        <v>1</v>
      </c>
      <c r="AX33" t="s">
        <v>74</v>
      </c>
      <c r="AY33" t="s">
        <v>74</v>
      </c>
      <c r="AZ33" t="s">
        <v>74</v>
      </c>
      <c r="BA33" t="s">
        <v>74</v>
      </c>
      <c r="BB33">
        <v>61</v>
      </c>
      <c r="BC33">
        <v>71</v>
      </c>
      <c r="BD33" t="s">
        <v>74</v>
      </c>
      <c r="BE33" t="s">
        <v>789</v>
      </c>
      <c r="BF33" t="str">
        <f>HYPERLINK("http://dx.doi.org/10.1016/j.funbio.2013.11.002","http://dx.doi.org/10.1016/j.funbio.2013.11.002")</f>
        <v>http://dx.doi.org/10.1016/j.funbio.2013.11.002</v>
      </c>
      <c r="BG33" t="s">
        <v>74</v>
      </c>
      <c r="BH33" t="s">
        <v>74</v>
      </c>
      <c r="BI33">
        <v>11</v>
      </c>
      <c r="BJ33" t="s">
        <v>790</v>
      </c>
      <c r="BK33" t="s">
        <v>99</v>
      </c>
      <c r="BL33" t="s">
        <v>790</v>
      </c>
      <c r="BM33" t="s">
        <v>791</v>
      </c>
      <c r="BN33">
        <v>24433677</v>
      </c>
      <c r="BO33" t="s">
        <v>74</v>
      </c>
      <c r="BP33" t="s">
        <v>74</v>
      </c>
      <c r="BQ33" t="s">
        <v>74</v>
      </c>
      <c r="BR33" t="s">
        <v>103</v>
      </c>
      <c r="BS33" t="s">
        <v>792</v>
      </c>
      <c r="BT33" t="str">
        <f>HYPERLINK("https%3A%2F%2Fwww.webofscience.com%2Fwos%2Fwoscc%2Ffull-record%2FWOS:000330493900005","View Full Record in Web of Science")</f>
        <v>View Full Record in Web of Science</v>
      </c>
    </row>
    <row r="34" spans="1:72" x14ac:dyDescent="0.15">
      <c r="A34" t="s">
        <v>72</v>
      </c>
      <c r="B34" t="s">
        <v>793</v>
      </c>
      <c r="C34" t="s">
        <v>74</v>
      </c>
      <c r="D34" t="s">
        <v>74</v>
      </c>
      <c r="E34" t="s">
        <v>74</v>
      </c>
      <c r="F34" t="s">
        <v>794</v>
      </c>
      <c r="G34" t="s">
        <v>74</v>
      </c>
      <c r="H34" t="s">
        <v>74</v>
      </c>
      <c r="I34" t="s">
        <v>795</v>
      </c>
      <c r="J34" t="s">
        <v>796</v>
      </c>
      <c r="K34" t="s">
        <v>74</v>
      </c>
      <c r="L34" t="s">
        <v>74</v>
      </c>
      <c r="M34" t="s">
        <v>78</v>
      </c>
      <c r="N34" t="s">
        <v>79</v>
      </c>
      <c r="O34" t="s">
        <v>74</v>
      </c>
      <c r="P34" t="s">
        <v>74</v>
      </c>
      <c r="Q34" t="s">
        <v>74</v>
      </c>
      <c r="R34" t="s">
        <v>74</v>
      </c>
      <c r="S34" t="s">
        <v>74</v>
      </c>
      <c r="T34" t="s">
        <v>74</v>
      </c>
      <c r="U34" t="s">
        <v>74</v>
      </c>
      <c r="V34" t="s">
        <v>797</v>
      </c>
      <c r="W34" t="s">
        <v>798</v>
      </c>
      <c r="X34" t="s">
        <v>799</v>
      </c>
      <c r="Y34" t="s">
        <v>800</v>
      </c>
      <c r="Z34" t="s">
        <v>801</v>
      </c>
      <c r="AA34" t="s">
        <v>802</v>
      </c>
      <c r="AB34" t="s">
        <v>803</v>
      </c>
      <c r="AC34" t="s">
        <v>804</v>
      </c>
      <c r="AD34" t="s">
        <v>805</v>
      </c>
      <c r="AE34" t="s">
        <v>806</v>
      </c>
      <c r="AF34" t="s">
        <v>74</v>
      </c>
      <c r="AG34">
        <v>11</v>
      </c>
      <c r="AH34">
        <v>4</v>
      </c>
      <c r="AI34">
        <v>4</v>
      </c>
      <c r="AJ34">
        <v>0</v>
      </c>
      <c r="AK34">
        <v>0</v>
      </c>
      <c r="AL34" t="s">
        <v>807</v>
      </c>
      <c r="AM34" t="s">
        <v>808</v>
      </c>
      <c r="AN34" t="s">
        <v>809</v>
      </c>
      <c r="AO34" t="s">
        <v>74</v>
      </c>
      <c r="AP34" t="s">
        <v>810</v>
      </c>
      <c r="AQ34" t="s">
        <v>74</v>
      </c>
      <c r="AR34" t="s">
        <v>796</v>
      </c>
      <c r="AS34" t="s">
        <v>811</v>
      </c>
      <c r="AT34" t="s">
        <v>812</v>
      </c>
      <c r="AU34">
        <v>2014</v>
      </c>
      <c r="AV34">
        <v>2</v>
      </c>
      <c r="AW34">
        <v>1</v>
      </c>
      <c r="AX34" t="s">
        <v>74</v>
      </c>
      <c r="AY34" t="s">
        <v>74</v>
      </c>
      <c r="AZ34" t="s">
        <v>74</v>
      </c>
      <c r="BA34" t="s">
        <v>74</v>
      </c>
      <c r="BB34" t="s">
        <v>74</v>
      </c>
      <c r="BC34" t="s">
        <v>74</v>
      </c>
      <c r="BD34" t="s">
        <v>813</v>
      </c>
      <c r="BE34" t="s">
        <v>814</v>
      </c>
      <c r="BF34" t="str">
        <f>HYPERLINK("http://dx.doi.org/10.1128/genomeA.01230-13","http://dx.doi.org/10.1128/genomeA.01230-13")</f>
        <v>http://dx.doi.org/10.1128/genomeA.01230-13</v>
      </c>
      <c r="BG34" t="s">
        <v>74</v>
      </c>
      <c r="BH34" t="s">
        <v>74</v>
      </c>
      <c r="BI34">
        <v>2</v>
      </c>
      <c r="BJ34" t="s">
        <v>815</v>
      </c>
      <c r="BK34" t="s">
        <v>494</v>
      </c>
      <c r="BL34" t="s">
        <v>815</v>
      </c>
      <c r="BM34" t="s">
        <v>816</v>
      </c>
      <c r="BN34" t="s">
        <v>74</v>
      </c>
      <c r="BO34" t="s">
        <v>699</v>
      </c>
      <c r="BP34" t="s">
        <v>74</v>
      </c>
      <c r="BQ34" t="s">
        <v>74</v>
      </c>
      <c r="BR34" t="s">
        <v>103</v>
      </c>
      <c r="BS34" t="s">
        <v>817</v>
      </c>
      <c r="BT34" t="str">
        <f>HYPERLINK("https%3A%2F%2Fwww.webofscience.com%2Fwos%2Fwoscc%2Ffull-record%2FWOS:000460571800171","View Full Record in Web of Science")</f>
        <v>View Full Record in Web of Science</v>
      </c>
    </row>
    <row r="35" spans="1:72" x14ac:dyDescent="0.15">
      <c r="A35" t="s">
        <v>72</v>
      </c>
      <c r="B35" t="s">
        <v>818</v>
      </c>
      <c r="C35" t="s">
        <v>74</v>
      </c>
      <c r="D35" t="s">
        <v>74</v>
      </c>
      <c r="E35" t="s">
        <v>74</v>
      </c>
      <c r="F35" t="s">
        <v>819</v>
      </c>
      <c r="G35" t="s">
        <v>74</v>
      </c>
      <c r="H35" t="s">
        <v>74</v>
      </c>
      <c r="I35" t="s">
        <v>820</v>
      </c>
      <c r="J35" t="s">
        <v>796</v>
      </c>
      <c r="K35" t="s">
        <v>74</v>
      </c>
      <c r="L35" t="s">
        <v>74</v>
      </c>
      <c r="M35" t="s">
        <v>78</v>
      </c>
      <c r="N35" t="s">
        <v>79</v>
      </c>
      <c r="O35" t="s">
        <v>74</v>
      </c>
      <c r="P35" t="s">
        <v>74</v>
      </c>
      <c r="Q35" t="s">
        <v>74</v>
      </c>
      <c r="R35" t="s">
        <v>74</v>
      </c>
      <c r="S35" t="s">
        <v>74</v>
      </c>
      <c r="T35" t="s">
        <v>74</v>
      </c>
      <c r="U35" t="s">
        <v>74</v>
      </c>
      <c r="V35" t="s">
        <v>821</v>
      </c>
      <c r="W35" t="s">
        <v>822</v>
      </c>
      <c r="X35" t="s">
        <v>823</v>
      </c>
      <c r="Y35" t="s">
        <v>824</v>
      </c>
      <c r="Z35" t="s">
        <v>825</v>
      </c>
      <c r="AA35" t="s">
        <v>74</v>
      </c>
      <c r="AB35" t="s">
        <v>826</v>
      </c>
      <c r="AC35" t="s">
        <v>827</v>
      </c>
      <c r="AD35" t="s">
        <v>827</v>
      </c>
      <c r="AE35" t="s">
        <v>828</v>
      </c>
      <c r="AF35" t="s">
        <v>74</v>
      </c>
      <c r="AG35">
        <v>10</v>
      </c>
      <c r="AH35">
        <v>2</v>
      </c>
      <c r="AI35">
        <v>2</v>
      </c>
      <c r="AJ35">
        <v>0</v>
      </c>
      <c r="AK35">
        <v>3</v>
      </c>
      <c r="AL35" t="s">
        <v>807</v>
      </c>
      <c r="AM35" t="s">
        <v>808</v>
      </c>
      <c r="AN35" t="s">
        <v>809</v>
      </c>
      <c r="AO35" t="s">
        <v>74</v>
      </c>
      <c r="AP35" t="s">
        <v>810</v>
      </c>
      <c r="AQ35" t="s">
        <v>74</v>
      </c>
      <c r="AR35" t="s">
        <v>796</v>
      </c>
      <c r="AS35" t="s">
        <v>811</v>
      </c>
      <c r="AT35" t="s">
        <v>812</v>
      </c>
      <c r="AU35">
        <v>2014</v>
      </c>
      <c r="AV35">
        <v>2</v>
      </c>
      <c r="AW35">
        <v>1</v>
      </c>
      <c r="AX35" t="s">
        <v>74</v>
      </c>
      <c r="AY35" t="s">
        <v>74</v>
      </c>
      <c r="AZ35" t="s">
        <v>74</v>
      </c>
      <c r="BA35" t="s">
        <v>74</v>
      </c>
      <c r="BB35" t="s">
        <v>74</v>
      </c>
      <c r="BC35" t="s">
        <v>74</v>
      </c>
      <c r="BD35" t="s">
        <v>829</v>
      </c>
      <c r="BE35" t="s">
        <v>830</v>
      </c>
      <c r="BF35" t="str">
        <f>HYPERLINK("http://dx.doi.org/10.1128/genomeA.01209-13","http://dx.doi.org/10.1128/genomeA.01209-13")</f>
        <v>http://dx.doi.org/10.1128/genomeA.01209-13</v>
      </c>
      <c r="BG35" t="s">
        <v>74</v>
      </c>
      <c r="BH35" t="s">
        <v>74</v>
      </c>
      <c r="BI35">
        <v>1</v>
      </c>
      <c r="BJ35" t="s">
        <v>815</v>
      </c>
      <c r="BK35" t="s">
        <v>494</v>
      </c>
      <c r="BL35" t="s">
        <v>815</v>
      </c>
      <c r="BM35" t="s">
        <v>816</v>
      </c>
      <c r="BN35">
        <v>24459271</v>
      </c>
      <c r="BO35" t="s">
        <v>831</v>
      </c>
      <c r="BP35" t="s">
        <v>74</v>
      </c>
      <c r="BQ35" t="s">
        <v>74</v>
      </c>
      <c r="BR35" t="s">
        <v>103</v>
      </c>
      <c r="BS35" t="s">
        <v>832</v>
      </c>
      <c r="BT35" t="str">
        <f>HYPERLINK("https%3A%2F%2Fwww.webofscience.com%2Fwos%2Fwoscc%2Ffull-record%2FWOS:000460571800155","View Full Record in Web of Science")</f>
        <v>View Full Record in Web of Science</v>
      </c>
    </row>
    <row r="36" spans="1:72" x14ac:dyDescent="0.15">
      <c r="A36" t="s">
        <v>72</v>
      </c>
      <c r="B36" t="s">
        <v>833</v>
      </c>
      <c r="C36" t="s">
        <v>74</v>
      </c>
      <c r="D36" t="s">
        <v>74</v>
      </c>
      <c r="E36" t="s">
        <v>74</v>
      </c>
      <c r="F36" t="s">
        <v>834</v>
      </c>
      <c r="G36" t="s">
        <v>74</v>
      </c>
      <c r="H36" t="s">
        <v>74</v>
      </c>
      <c r="I36" t="s">
        <v>835</v>
      </c>
      <c r="J36" t="s">
        <v>836</v>
      </c>
      <c r="K36" t="s">
        <v>74</v>
      </c>
      <c r="L36" t="s">
        <v>74</v>
      </c>
      <c r="M36" t="s">
        <v>78</v>
      </c>
      <c r="N36" t="s">
        <v>79</v>
      </c>
      <c r="O36" t="s">
        <v>74</v>
      </c>
      <c r="P36" t="s">
        <v>74</v>
      </c>
      <c r="Q36" t="s">
        <v>74</v>
      </c>
      <c r="R36" t="s">
        <v>74</v>
      </c>
      <c r="S36" t="s">
        <v>74</v>
      </c>
      <c r="T36" t="s">
        <v>74</v>
      </c>
      <c r="U36" t="s">
        <v>837</v>
      </c>
      <c r="V36" t="s">
        <v>838</v>
      </c>
      <c r="W36" t="s">
        <v>839</v>
      </c>
      <c r="X36" t="s">
        <v>840</v>
      </c>
      <c r="Y36" t="s">
        <v>841</v>
      </c>
      <c r="Z36" t="s">
        <v>842</v>
      </c>
      <c r="AA36" t="s">
        <v>843</v>
      </c>
      <c r="AB36" t="s">
        <v>844</v>
      </c>
      <c r="AC36" t="s">
        <v>845</v>
      </c>
      <c r="AD36" t="s">
        <v>846</v>
      </c>
      <c r="AE36" t="s">
        <v>847</v>
      </c>
      <c r="AF36" t="s">
        <v>74</v>
      </c>
      <c r="AG36">
        <v>77</v>
      </c>
      <c r="AH36">
        <v>68</v>
      </c>
      <c r="AI36">
        <v>81</v>
      </c>
      <c r="AJ36">
        <v>3</v>
      </c>
      <c r="AK36">
        <v>63</v>
      </c>
      <c r="AL36" t="s">
        <v>848</v>
      </c>
      <c r="AM36" t="s">
        <v>849</v>
      </c>
      <c r="AN36" t="s">
        <v>850</v>
      </c>
      <c r="AO36" t="s">
        <v>851</v>
      </c>
      <c r="AP36" t="s">
        <v>74</v>
      </c>
      <c r="AQ36" t="s">
        <v>74</v>
      </c>
      <c r="AR36" t="s">
        <v>852</v>
      </c>
      <c r="AS36" t="s">
        <v>853</v>
      </c>
      <c r="AT36" t="s">
        <v>74</v>
      </c>
      <c r="AU36">
        <v>2014</v>
      </c>
      <c r="AV36">
        <v>15</v>
      </c>
      <c r="AW36">
        <v>9</v>
      </c>
      <c r="AX36" t="s">
        <v>74</v>
      </c>
      <c r="AY36" t="s">
        <v>74</v>
      </c>
      <c r="AZ36" t="s">
        <v>74</v>
      </c>
      <c r="BA36" t="s">
        <v>74</v>
      </c>
      <c r="BB36" t="s">
        <v>74</v>
      </c>
      <c r="BC36" t="s">
        <v>74</v>
      </c>
      <c r="BD36">
        <v>468</v>
      </c>
      <c r="BE36" t="s">
        <v>854</v>
      </c>
      <c r="BF36" t="str">
        <f>HYPERLINK("http://dx.doi.org/10.1186/s13059-014-0468-1","http://dx.doi.org/10.1186/s13059-014-0468-1")</f>
        <v>http://dx.doi.org/10.1186/s13059-014-0468-1</v>
      </c>
      <c r="BG36" t="s">
        <v>74</v>
      </c>
      <c r="BH36" t="s">
        <v>74</v>
      </c>
      <c r="BI36">
        <v>14</v>
      </c>
      <c r="BJ36" t="s">
        <v>855</v>
      </c>
      <c r="BK36" t="s">
        <v>99</v>
      </c>
      <c r="BL36" t="s">
        <v>855</v>
      </c>
      <c r="BM36" t="s">
        <v>856</v>
      </c>
      <c r="BN36">
        <v>25252967</v>
      </c>
      <c r="BO36" t="s">
        <v>616</v>
      </c>
      <c r="BP36" t="s">
        <v>74</v>
      </c>
      <c r="BQ36" t="s">
        <v>74</v>
      </c>
      <c r="BR36" t="s">
        <v>103</v>
      </c>
      <c r="BS36" t="s">
        <v>857</v>
      </c>
      <c r="BT36" t="str">
        <f>HYPERLINK("https%3A%2F%2Fwww.webofscience.com%2Fwos%2Fwoscc%2Ffull-record%2FWOS:000346604700020","View Full Record in Web of Science")</f>
        <v>View Full Record in Web of Science</v>
      </c>
    </row>
    <row r="37" spans="1:72" x14ac:dyDescent="0.15">
      <c r="A37" t="s">
        <v>72</v>
      </c>
      <c r="B37" t="s">
        <v>858</v>
      </c>
      <c r="C37" t="s">
        <v>74</v>
      </c>
      <c r="D37" t="s">
        <v>74</v>
      </c>
      <c r="E37" t="s">
        <v>74</v>
      </c>
      <c r="F37" t="s">
        <v>859</v>
      </c>
      <c r="G37" t="s">
        <v>74</v>
      </c>
      <c r="H37" t="s">
        <v>74</v>
      </c>
      <c r="I37" t="s">
        <v>860</v>
      </c>
      <c r="J37" t="s">
        <v>861</v>
      </c>
      <c r="K37" t="s">
        <v>74</v>
      </c>
      <c r="L37" t="s">
        <v>74</v>
      </c>
      <c r="M37" t="s">
        <v>78</v>
      </c>
      <c r="N37" t="s">
        <v>79</v>
      </c>
      <c r="O37" t="s">
        <v>74</v>
      </c>
      <c r="P37" t="s">
        <v>74</v>
      </c>
      <c r="Q37" t="s">
        <v>74</v>
      </c>
      <c r="R37" t="s">
        <v>74</v>
      </c>
      <c r="S37" t="s">
        <v>74</v>
      </c>
      <c r="T37" t="s">
        <v>74</v>
      </c>
      <c r="U37" t="s">
        <v>862</v>
      </c>
      <c r="V37" t="s">
        <v>863</v>
      </c>
      <c r="W37" t="s">
        <v>864</v>
      </c>
      <c r="X37" t="s">
        <v>865</v>
      </c>
      <c r="Y37" t="s">
        <v>866</v>
      </c>
      <c r="Z37" t="s">
        <v>867</v>
      </c>
      <c r="AA37" t="s">
        <v>74</v>
      </c>
      <c r="AB37" t="s">
        <v>868</v>
      </c>
      <c r="AC37" t="s">
        <v>869</v>
      </c>
      <c r="AD37" t="s">
        <v>870</v>
      </c>
      <c r="AE37" t="s">
        <v>871</v>
      </c>
      <c r="AF37" t="s">
        <v>74</v>
      </c>
      <c r="AG37">
        <v>48</v>
      </c>
      <c r="AH37">
        <v>23</v>
      </c>
      <c r="AI37">
        <v>28</v>
      </c>
      <c r="AJ37">
        <v>1</v>
      </c>
      <c r="AK37">
        <v>17</v>
      </c>
      <c r="AL37" t="s">
        <v>872</v>
      </c>
      <c r="AM37" t="s">
        <v>252</v>
      </c>
      <c r="AN37" t="s">
        <v>873</v>
      </c>
      <c r="AO37" t="s">
        <v>874</v>
      </c>
      <c r="AP37" t="s">
        <v>875</v>
      </c>
      <c r="AQ37" t="s">
        <v>74</v>
      </c>
      <c r="AR37" t="s">
        <v>876</v>
      </c>
      <c r="AS37" t="s">
        <v>877</v>
      </c>
      <c r="AT37" t="s">
        <v>311</v>
      </c>
      <c r="AU37">
        <v>2014</v>
      </c>
      <c r="AV37">
        <v>124</v>
      </c>
      <c r="AW37" t="s">
        <v>74</v>
      </c>
      <c r="AX37" t="s">
        <v>74</v>
      </c>
      <c r="AY37" t="s">
        <v>74</v>
      </c>
      <c r="AZ37" t="s">
        <v>74</v>
      </c>
      <c r="BA37" t="s">
        <v>74</v>
      </c>
      <c r="BB37">
        <v>131</v>
      </c>
      <c r="BC37">
        <v>151</v>
      </c>
      <c r="BD37" t="s">
        <v>74</v>
      </c>
      <c r="BE37" t="s">
        <v>878</v>
      </c>
      <c r="BF37" t="str">
        <f>HYPERLINK("http://dx.doi.org/10.1016/j.gca.2013.09.018","http://dx.doi.org/10.1016/j.gca.2013.09.018")</f>
        <v>http://dx.doi.org/10.1016/j.gca.2013.09.018</v>
      </c>
      <c r="BG37" t="s">
        <v>74</v>
      </c>
      <c r="BH37" t="s">
        <v>74</v>
      </c>
      <c r="BI37">
        <v>21</v>
      </c>
      <c r="BJ37" t="s">
        <v>313</v>
      </c>
      <c r="BK37" t="s">
        <v>99</v>
      </c>
      <c r="BL37" t="s">
        <v>313</v>
      </c>
      <c r="BM37" t="s">
        <v>879</v>
      </c>
      <c r="BN37" t="s">
        <v>74</v>
      </c>
      <c r="BO37" t="s">
        <v>74</v>
      </c>
      <c r="BP37" t="s">
        <v>74</v>
      </c>
      <c r="BQ37" t="s">
        <v>74</v>
      </c>
      <c r="BR37" t="s">
        <v>103</v>
      </c>
      <c r="BS37" t="s">
        <v>880</v>
      </c>
      <c r="BT37" t="str">
        <f>HYPERLINK("https%3A%2F%2Fwww.webofscience.com%2Fwos%2Fwoscc%2Ffull-record%2FWOS:000327394100008","View Full Record in Web of Science")</f>
        <v>View Full Record in Web of Science</v>
      </c>
    </row>
    <row r="38" spans="1:72" x14ac:dyDescent="0.15">
      <c r="A38" t="s">
        <v>881</v>
      </c>
      <c r="B38" t="s">
        <v>882</v>
      </c>
      <c r="C38" t="s">
        <v>74</v>
      </c>
      <c r="D38" t="s">
        <v>74</v>
      </c>
      <c r="E38" t="s">
        <v>883</v>
      </c>
      <c r="F38" t="s">
        <v>884</v>
      </c>
      <c r="G38" t="s">
        <v>74</v>
      </c>
      <c r="H38" t="s">
        <v>74</v>
      </c>
      <c r="I38" t="s">
        <v>885</v>
      </c>
      <c r="J38" t="s">
        <v>886</v>
      </c>
      <c r="K38" t="s">
        <v>887</v>
      </c>
      <c r="L38" t="s">
        <v>74</v>
      </c>
      <c r="M38" t="s">
        <v>78</v>
      </c>
      <c r="N38" t="s">
        <v>888</v>
      </c>
      <c r="O38" t="s">
        <v>889</v>
      </c>
      <c r="P38" t="s">
        <v>890</v>
      </c>
      <c r="Q38" t="s">
        <v>891</v>
      </c>
      <c r="R38" t="s">
        <v>74</v>
      </c>
      <c r="S38" t="s">
        <v>74</v>
      </c>
      <c r="T38" t="s">
        <v>892</v>
      </c>
      <c r="U38" t="s">
        <v>74</v>
      </c>
      <c r="V38" t="s">
        <v>893</v>
      </c>
      <c r="W38" t="s">
        <v>894</v>
      </c>
      <c r="X38" t="s">
        <v>895</v>
      </c>
      <c r="Y38" t="s">
        <v>896</v>
      </c>
      <c r="Z38" t="s">
        <v>74</v>
      </c>
      <c r="AA38" t="s">
        <v>897</v>
      </c>
      <c r="AB38" t="s">
        <v>898</v>
      </c>
      <c r="AC38" t="s">
        <v>74</v>
      </c>
      <c r="AD38" t="s">
        <v>74</v>
      </c>
      <c r="AE38" t="s">
        <v>74</v>
      </c>
      <c r="AF38" t="s">
        <v>74</v>
      </c>
      <c r="AG38">
        <v>1</v>
      </c>
      <c r="AH38">
        <v>0</v>
      </c>
      <c r="AI38">
        <v>0</v>
      </c>
      <c r="AJ38">
        <v>0</v>
      </c>
      <c r="AK38">
        <v>0</v>
      </c>
      <c r="AL38" t="s">
        <v>899</v>
      </c>
      <c r="AM38" t="s">
        <v>900</v>
      </c>
      <c r="AN38" t="s">
        <v>901</v>
      </c>
      <c r="AO38" t="s">
        <v>902</v>
      </c>
      <c r="AP38" t="s">
        <v>74</v>
      </c>
      <c r="AQ38" t="s">
        <v>903</v>
      </c>
      <c r="AR38" t="s">
        <v>904</v>
      </c>
      <c r="AS38" t="s">
        <v>74</v>
      </c>
      <c r="AT38" t="s">
        <v>74</v>
      </c>
      <c r="AU38">
        <v>2014</v>
      </c>
      <c r="AV38" t="s">
        <v>74</v>
      </c>
      <c r="AW38" t="s">
        <v>74</v>
      </c>
      <c r="AX38" t="s">
        <v>74</v>
      </c>
      <c r="AY38" t="s">
        <v>74</v>
      </c>
      <c r="AZ38" t="s">
        <v>74</v>
      </c>
      <c r="BA38" t="s">
        <v>74</v>
      </c>
      <c r="BB38">
        <v>741</v>
      </c>
      <c r="BC38">
        <v>747</v>
      </c>
      <c r="BD38" t="s">
        <v>74</v>
      </c>
      <c r="BE38" t="s">
        <v>74</v>
      </c>
      <c r="BF38" t="s">
        <v>74</v>
      </c>
      <c r="BG38" t="s">
        <v>74</v>
      </c>
      <c r="BH38" t="s">
        <v>74</v>
      </c>
      <c r="BI38">
        <v>7</v>
      </c>
      <c r="BJ38" t="s">
        <v>337</v>
      </c>
      <c r="BK38" t="s">
        <v>905</v>
      </c>
      <c r="BL38" t="s">
        <v>338</v>
      </c>
      <c r="BM38" t="s">
        <v>906</v>
      </c>
      <c r="BN38" t="s">
        <v>74</v>
      </c>
      <c r="BO38" t="s">
        <v>74</v>
      </c>
      <c r="BP38" t="s">
        <v>74</v>
      </c>
      <c r="BQ38" t="s">
        <v>74</v>
      </c>
      <c r="BR38" t="s">
        <v>103</v>
      </c>
      <c r="BS38" t="s">
        <v>907</v>
      </c>
      <c r="BT38" t="str">
        <f>HYPERLINK("https%3A%2F%2Fwww.webofscience.com%2Fwos%2Fwoscc%2Ffull-record%2FWOS:000370817200099","View Full Record in Web of Science")</f>
        <v>View Full Record in Web of Science</v>
      </c>
    </row>
    <row r="39" spans="1:72" x14ac:dyDescent="0.15">
      <c r="A39" t="s">
        <v>72</v>
      </c>
      <c r="B39" t="s">
        <v>908</v>
      </c>
      <c r="C39" t="s">
        <v>74</v>
      </c>
      <c r="D39" t="s">
        <v>74</v>
      </c>
      <c r="E39" t="s">
        <v>74</v>
      </c>
      <c r="F39" t="s">
        <v>909</v>
      </c>
      <c r="G39" t="s">
        <v>74</v>
      </c>
      <c r="H39" t="s">
        <v>74</v>
      </c>
      <c r="I39" t="s">
        <v>910</v>
      </c>
      <c r="J39" t="s">
        <v>911</v>
      </c>
      <c r="K39" t="s">
        <v>74</v>
      </c>
      <c r="L39" t="s">
        <v>74</v>
      </c>
      <c r="M39" t="s">
        <v>78</v>
      </c>
      <c r="N39" t="s">
        <v>79</v>
      </c>
      <c r="O39" t="s">
        <v>74</v>
      </c>
      <c r="P39" t="s">
        <v>74</v>
      </c>
      <c r="Q39" t="s">
        <v>74</v>
      </c>
      <c r="R39" t="s">
        <v>74</v>
      </c>
      <c r="S39" t="s">
        <v>74</v>
      </c>
      <c r="T39" t="s">
        <v>912</v>
      </c>
      <c r="U39" t="s">
        <v>74</v>
      </c>
      <c r="V39" t="s">
        <v>913</v>
      </c>
      <c r="W39" t="s">
        <v>914</v>
      </c>
      <c r="X39" t="s">
        <v>915</v>
      </c>
      <c r="Y39" t="s">
        <v>916</v>
      </c>
      <c r="Z39" t="s">
        <v>917</v>
      </c>
      <c r="AA39" t="s">
        <v>918</v>
      </c>
      <c r="AB39" t="s">
        <v>919</v>
      </c>
      <c r="AC39" t="s">
        <v>74</v>
      </c>
      <c r="AD39" t="s">
        <v>74</v>
      </c>
      <c r="AE39" t="s">
        <v>74</v>
      </c>
      <c r="AF39" t="s">
        <v>74</v>
      </c>
      <c r="AG39">
        <v>16</v>
      </c>
      <c r="AH39">
        <v>9</v>
      </c>
      <c r="AI39">
        <v>10</v>
      </c>
      <c r="AJ39">
        <v>0</v>
      </c>
      <c r="AK39">
        <v>0</v>
      </c>
      <c r="AL39" t="s">
        <v>920</v>
      </c>
      <c r="AM39" t="s">
        <v>921</v>
      </c>
      <c r="AN39" t="s">
        <v>922</v>
      </c>
      <c r="AO39" t="s">
        <v>923</v>
      </c>
      <c r="AP39" t="s">
        <v>924</v>
      </c>
      <c r="AQ39" t="s">
        <v>74</v>
      </c>
      <c r="AR39" t="s">
        <v>925</v>
      </c>
      <c r="AS39" t="s">
        <v>926</v>
      </c>
      <c r="AT39" t="s">
        <v>417</v>
      </c>
      <c r="AU39">
        <v>2014</v>
      </c>
      <c r="AV39">
        <v>35</v>
      </c>
      <c r="AW39">
        <v>1</v>
      </c>
      <c r="AX39" t="s">
        <v>74</v>
      </c>
      <c r="AY39" t="s">
        <v>74</v>
      </c>
      <c r="AZ39" t="s">
        <v>74</v>
      </c>
      <c r="BA39" t="s">
        <v>74</v>
      </c>
      <c r="BB39">
        <v>63</v>
      </c>
      <c r="BC39">
        <v>70</v>
      </c>
      <c r="BD39" t="s">
        <v>74</v>
      </c>
      <c r="BE39" t="s">
        <v>927</v>
      </c>
      <c r="BF39" t="str">
        <f>HYPERLINK("http://dx.doi.org/10.1134/S1875372814010090","http://dx.doi.org/10.1134/S1875372814010090")</f>
        <v>http://dx.doi.org/10.1134/S1875372814010090</v>
      </c>
      <c r="BG39" t="s">
        <v>74</v>
      </c>
      <c r="BH39" t="s">
        <v>74</v>
      </c>
      <c r="BI39">
        <v>8</v>
      </c>
      <c r="BJ39" t="s">
        <v>928</v>
      </c>
      <c r="BK39" t="s">
        <v>494</v>
      </c>
      <c r="BL39" t="s">
        <v>928</v>
      </c>
      <c r="BM39" t="s">
        <v>929</v>
      </c>
      <c r="BN39" t="s">
        <v>74</v>
      </c>
      <c r="BO39" t="s">
        <v>74</v>
      </c>
      <c r="BP39" t="s">
        <v>74</v>
      </c>
      <c r="BQ39" t="s">
        <v>74</v>
      </c>
      <c r="BR39" t="s">
        <v>103</v>
      </c>
      <c r="BS39" t="s">
        <v>930</v>
      </c>
      <c r="BT39" t="str">
        <f>HYPERLINK("https%3A%2F%2Fwww.webofscience.com%2Fwos%2Fwoscc%2Ffull-record%2FWOS:000219998200009","View Full Record in Web of Science")</f>
        <v>View Full Record in Web of Science</v>
      </c>
    </row>
    <row r="40" spans="1:72" x14ac:dyDescent="0.15">
      <c r="A40" t="s">
        <v>72</v>
      </c>
      <c r="B40" t="s">
        <v>931</v>
      </c>
      <c r="C40" t="s">
        <v>74</v>
      </c>
      <c r="D40" t="s">
        <v>74</v>
      </c>
      <c r="E40" t="s">
        <v>74</v>
      </c>
      <c r="F40" t="s">
        <v>932</v>
      </c>
      <c r="G40" t="s">
        <v>74</v>
      </c>
      <c r="H40" t="s">
        <v>74</v>
      </c>
      <c r="I40" t="s">
        <v>933</v>
      </c>
      <c r="J40" t="s">
        <v>934</v>
      </c>
      <c r="K40" t="s">
        <v>74</v>
      </c>
      <c r="L40" t="s">
        <v>74</v>
      </c>
      <c r="M40" t="s">
        <v>78</v>
      </c>
      <c r="N40" t="s">
        <v>79</v>
      </c>
      <c r="O40" t="s">
        <v>74</v>
      </c>
      <c r="P40" t="s">
        <v>74</v>
      </c>
      <c r="Q40" t="s">
        <v>74</v>
      </c>
      <c r="R40" t="s">
        <v>74</v>
      </c>
      <c r="S40" t="s">
        <v>74</v>
      </c>
      <c r="T40" t="s">
        <v>74</v>
      </c>
      <c r="U40" t="s">
        <v>935</v>
      </c>
      <c r="V40" t="s">
        <v>936</v>
      </c>
      <c r="W40" t="s">
        <v>937</v>
      </c>
      <c r="X40" t="s">
        <v>938</v>
      </c>
      <c r="Y40" t="s">
        <v>939</v>
      </c>
      <c r="Z40" t="s">
        <v>940</v>
      </c>
      <c r="AA40" t="s">
        <v>941</v>
      </c>
      <c r="AB40" t="s">
        <v>942</v>
      </c>
      <c r="AC40" t="s">
        <v>943</v>
      </c>
      <c r="AD40" t="s">
        <v>944</v>
      </c>
      <c r="AE40" t="s">
        <v>945</v>
      </c>
      <c r="AF40" t="s">
        <v>74</v>
      </c>
      <c r="AG40">
        <v>65</v>
      </c>
      <c r="AH40">
        <v>42</v>
      </c>
      <c r="AI40">
        <v>44</v>
      </c>
      <c r="AJ40">
        <v>0</v>
      </c>
      <c r="AK40">
        <v>28</v>
      </c>
      <c r="AL40" t="s">
        <v>946</v>
      </c>
      <c r="AM40" t="s">
        <v>947</v>
      </c>
      <c r="AN40" t="s">
        <v>948</v>
      </c>
      <c r="AO40" t="s">
        <v>949</v>
      </c>
      <c r="AP40" t="s">
        <v>950</v>
      </c>
      <c r="AQ40" t="s">
        <v>74</v>
      </c>
      <c r="AR40" t="s">
        <v>951</v>
      </c>
      <c r="AS40" t="s">
        <v>952</v>
      </c>
      <c r="AT40" t="s">
        <v>417</v>
      </c>
      <c r="AU40">
        <v>2014</v>
      </c>
      <c r="AV40">
        <v>126</v>
      </c>
      <c r="AW40" t="s">
        <v>953</v>
      </c>
      <c r="AX40" t="s">
        <v>74</v>
      </c>
      <c r="AY40" t="s">
        <v>74</v>
      </c>
      <c r="AZ40" t="s">
        <v>74</v>
      </c>
      <c r="BA40" t="s">
        <v>74</v>
      </c>
      <c r="BB40">
        <v>3</v>
      </c>
      <c r="BC40">
        <v>15</v>
      </c>
      <c r="BD40" t="s">
        <v>74</v>
      </c>
      <c r="BE40" t="s">
        <v>954</v>
      </c>
      <c r="BF40" t="str">
        <f>HYPERLINK("http://dx.doi.org/10.1130/B30794.1","http://dx.doi.org/10.1130/B30794.1")</f>
        <v>http://dx.doi.org/10.1130/B30794.1</v>
      </c>
      <c r="BG40" t="s">
        <v>74</v>
      </c>
      <c r="BH40" t="s">
        <v>74</v>
      </c>
      <c r="BI40">
        <v>13</v>
      </c>
      <c r="BJ40" t="s">
        <v>337</v>
      </c>
      <c r="BK40" t="s">
        <v>99</v>
      </c>
      <c r="BL40" t="s">
        <v>338</v>
      </c>
      <c r="BM40" t="s">
        <v>955</v>
      </c>
      <c r="BN40" t="s">
        <v>74</v>
      </c>
      <c r="BO40" t="s">
        <v>450</v>
      </c>
      <c r="BP40" t="s">
        <v>74</v>
      </c>
      <c r="BQ40" t="s">
        <v>74</v>
      </c>
      <c r="BR40" t="s">
        <v>103</v>
      </c>
      <c r="BS40" t="s">
        <v>956</v>
      </c>
      <c r="BT40" t="str">
        <f>HYPERLINK("https%3A%2F%2Fwww.webofscience.com%2Fwos%2Fwoscc%2Ffull-record%2FWOS:000336259500001","View Full Record in Web of Science")</f>
        <v>View Full Record in Web of Science</v>
      </c>
    </row>
    <row r="41" spans="1:72" x14ac:dyDescent="0.15">
      <c r="A41" t="s">
        <v>72</v>
      </c>
      <c r="B41" t="s">
        <v>957</v>
      </c>
      <c r="C41" t="s">
        <v>74</v>
      </c>
      <c r="D41" t="s">
        <v>74</v>
      </c>
      <c r="E41" t="s">
        <v>74</v>
      </c>
      <c r="F41" t="s">
        <v>958</v>
      </c>
      <c r="G41" t="s">
        <v>74</v>
      </c>
      <c r="H41" t="s">
        <v>74</v>
      </c>
      <c r="I41" t="s">
        <v>959</v>
      </c>
      <c r="J41" t="s">
        <v>960</v>
      </c>
      <c r="K41" t="s">
        <v>74</v>
      </c>
      <c r="L41" t="s">
        <v>74</v>
      </c>
      <c r="M41" t="s">
        <v>78</v>
      </c>
      <c r="N41" t="s">
        <v>79</v>
      </c>
      <c r="O41" t="s">
        <v>74</v>
      </c>
      <c r="P41" t="s">
        <v>74</v>
      </c>
      <c r="Q41" t="s">
        <v>74</v>
      </c>
      <c r="R41" t="s">
        <v>74</v>
      </c>
      <c r="S41" t="s">
        <v>74</v>
      </c>
      <c r="T41" t="s">
        <v>74</v>
      </c>
      <c r="U41" t="s">
        <v>961</v>
      </c>
      <c r="V41" t="s">
        <v>962</v>
      </c>
      <c r="W41" t="s">
        <v>963</v>
      </c>
      <c r="X41" t="s">
        <v>964</v>
      </c>
      <c r="Y41" t="s">
        <v>965</v>
      </c>
      <c r="Z41" t="s">
        <v>966</v>
      </c>
      <c r="AA41" t="s">
        <v>967</v>
      </c>
      <c r="AB41" t="s">
        <v>968</v>
      </c>
      <c r="AC41" t="s">
        <v>969</v>
      </c>
      <c r="AD41" t="s">
        <v>970</v>
      </c>
      <c r="AE41" t="s">
        <v>74</v>
      </c>
      <c r="AF41" t="s">
        <v>74</v>
      </c>
      <c r="AG41">
        <v>31</v>
      </c>
      <c r="AH41">
        <v>6</v>
      </c>
      <c r="AI41">
        <v>7</v>
      </c>
      <c r="AJ41">
        <v>1</v>
      </c>
      <c r="AK41">
        <v>7</v>
      </c>
      <c r="AL41" t="s">
        <v>91</v>
      </c>
      <c r="AM41" t="s">
        <v>92</v>
      </c>
      <c r="AN41" t="s">
        <v>93</v>
      </c>
      <c r="AO41" t="s">
        <v>971</v>
      </c>
      <c r="AP41" t="s">
        <v>972</v>
      </c>
      <c r="AQ41" t="s">
        <v>74</v>
      </c>
      <c r="AR41" t="s">
        <v>973</v>
      </c>
      <c r="AS41" t="s">
        <v>974</v>
      </c>
      <c r="AT41" t="s">
        <v>74</v>
      </c>
      <c r="AU41">
        <v>2014</v>
      </c>
      <c r="AV41">
        <v>3</v>
      </c>
      <c r="AW41">
        <v>1</v>
      </c>
      <c r="AX41" t="s">
        <v>74</v>
      </c>
      <c r="AY41" t="s">
        <v>74</v>
      </c>
      <c r="AZ41" t="s">
        <v>74</v>
      </c>
      <c r="BA41" t="s">
        <v>74</v>
      </c>
      <c r="BB41">
        <v>71</v>
      </c>
      <c r="BC41">
        <v>94</v>
      </c>
      <c r="BD41" t="s">
        <v>74</v>
      </c>
      <c r="BE41" t="s">
        <v>975</v>
      </c>
      <c r="BF41" t="str">
        <f>HYPERLINK("http://dx.doi.org/10.5194/gi-3-71-2014","http://dx.doi.org/10.5194/gi-3-71-2014")</f>
        <v>http://dx.doi.org/10.5194/gi-3-71-2014</v>
      </c>
      <c r="BG41" t="s">
        <v>74</v>
      </c>
      <c r="BH41" t="s">
        <v>74</v>
      </c>
      <c r="BI41">
        <v>24</v>
      </c>
      <c r="BJ41" t="s">
        <v>362</v>
      </c>
      <c r="BK41" t="s">
        <v>99</v>
      </c>
      <c r="BL41" t="s">
        <v>363</v>
      </c>
      <c r="BM41" t="s">
        <v>976</v>
      </c>
      <c r="BN41" t="s">
        <v>74</v>
      </c>
      <c r="BO41" t="s">
        <v>102</v>
      </c>
      <c r="BP41" t="s">
        <v>74</v>
      </c>
      <c r="BQ41" t="s">
        <v>74</v>
      </c>
      <c r="BR41" t="s">
        <v>103</v>
      </c>
      <c r="BS41" t="s">
        <v>977</v>
      </c>
      <c r="BT41" t="str">
        <f>HYPERLINK("https%3A%2F%2Fwww.webofscience.com%2Fwos%2Fwoscc%2Ffull-record%2FWOS:000357286000008","View Full Record in Web of Science")</f>
        <v>View Full Record in Web of Science</v>
      </c>
    </row>
    <row r="42" spans="1:72" x14ac:dyDescent="0.15">
      <c r="A42" t="s">
        <v>72</v>
      </c>
      <c r="B42" t="s">
        <v>978</v>
      </c>
      <c r="C42" t="s">
        <v>74</v>
      </c>
      <c r="D42" t="s">
        <v>74</v>
      </c>
      <c r="E42" t="s">
        <v>74</v>
      </c>
      <c r="F42" t="s">
        <v>979</v>
      </c>
      <c r="G42" t="s">
        <v>74</v>
      </c>
      <c r="H42" t="s">
        <v>74</v>
      </c>
      <c r="I42" t="s">
        <v>980</v>
      </c>
      <c r="J42" t="s">
        <v>981</v>
      </c>
      <c r="K42" t="s">
        <v>74</v>
      </c>
      <c r="L42" t="s">
        <v>74</v>
      </c>
      <c r="M42" t="s">
        <v>78</v>
      </c>
      <c r="N42" t="s">
        <v>79</v>
      </c>
      <c r="O42" t="s">
        <v>74</v>
      </c>
      <c r="P42" t="s">
        <v>74</v>
      </c>
      <c r="Q42" t="s">
        <v>74</v>
      </c>
      <c r="R42" t="s">
        <v>74</v>
      </c>
      <c r="S42" t="s">
        <v>74</v>
      </c>
      <c r="T42" t="s">
        <v>74</v>
      </c>
      <c r="U42" t="s">
        <v>982</v>
      </c>
      <c r="V42" t="s">
        <v>983</v>
      </c>
      <c r="W42" t="s">
        <v>984</v>
      </c>
      <c r="X42" t="s">
        <v>985</v>
      </c>
      <c r="Y42" t="s">
        <v>986</v>
      </c>
      <c r="Z42" t="s">
        <v>987</v>
      </c>
      <c r="AA42" t="s">
        <v>74</v>
      </c>
      <c r="AB42" t="s">
        <v>988</v>
      </c>
      <c r="AC42" t="s">
        <v>989</v>
      </c>
      <c r="AD42" t="s">
        <v>990</v>
      </c>
      <c r="AE42" t="s">
        <v>991</v>
      </c>
      <c r="AF42" t="s">
        <v>74</v>
      </c>
      <c r="AG42">
        <v>96</v>
      </c>
      <c r="AH42">
        <v>125</v>
      </c>
      <c r="AI42">
        <v>125</v>
      </c>
      <c r="AJ42">
        <v>0</v>
      </c>
      <c r="AK42">
        <v>13</v>
      </c>
      <c r="AL42" t="s">
        <v>91</v>
      </c>
      <c r="AM42" t="s">
        <v>92</v>
      </c>
      <c r="AN42" t="s">
        <v>93</v>
      </c>
      <c r="AO42" t="s">
        <v>992</v>
      </c>
      <c r="AP42" t="s">
        <v>993</v>
      </c>
      <c r="AQ42" t="s">
        <v>74</v>
      </c>
      <c r="AR42" t="s">
        <v>994</v>
      </c>
      <c r="AS42" t="s">
        <v>995</v>
      </c>
      <c r="AT42" t="s">
        <v>74</v>
      </c>
      <c r="AU42">
        <v>2014</v>
      </c>
      <c r="AV42">
        <v>7</v>
      </c>
      <c r="AW42">
        <v>3</v>
      </c>
      <c r="AX42" t="s">
        <v>74</v>
      </c>
      <c r="AY42" t="s">
        <v>74</v>
      </c>
      <c r="AZ42" t="s">
        <v>74</v>
      </c>
      <c r="BA42" t="s">
        <v>74</v>
      </c>
      <c r="BB42">
        <v>1069</v>
      </c>
      <c r="BC42">
        <v>1092</v>
      </c>
      <c r="BD42" t="s">
        <v>74</v>
      </c>
      <c r="BE42" t="s">
        <v>996</v>
      </c>
      <c r="BF42" t="str">
        <f>HYPERLINK("http://dx.doi.org/10.5194/gmd-7-1069-2014","http://dx.doi.org/10.5194/gmd-7-1069-2014")</f>
        <v>http://dx.doi.org/10.5194/gmd-7-1069-2014</v>
      </c>
      <c r="BG42" t="s">
        <v>74</v>
      </c>
      <c r="BH42" t="s">
        <v>74</v>
      </c>
      <c r="BI42">
        <v>24</v>
      </c>
      <c r="BJ42" t="s">
        <v>337</v>
      </c>
      <c r="BK42" t="s">
        <v>99</v>
      </c>
      <c r="BL42" t="s">
        <v>338</v>
      </c>
      <c r="BM42" t="s">
        <v>997</v>
      </c>
      <c r="BN42" t="s">
        <v>74</v>
      </c>
      <c r="BO42" t="s">
        <v>998</v>
      </c>
      <c r="BP42" t="s">
        <v>74</v>
      </c>
      <c r="BQ42" t="s">
        <v>74</v>
      </c>
      <c r="BR42" t="s">
        <v>103</v>
      </c>
      <c r="BS42" t="s">
        <v>999</v>
      </c>
      <c r="BT42" t="str">
        <f>HYPERLINK("https%3A%2F%2Fwww.webofscience.com%2Fwos%2Fwoscc%2Ffull-record%2FWOS:000341600100020","View Full Record in Web of Science")</f>
        <v>View Full Record in Web of Science</v>
      </c>
    </row>
    <row r="43" spans="1:72" x14ac:dyDescent="0.15">
      <c r="A43" t="s">
        <v>72</v>
      </c>
      <c r="B43" t="s">
        <v>1000</v>
      </c>
      <c r="C43" t="s">
        <v>74</v>
      </c>
      <c r="D43" t="s">
        <v>74</v>
      </c>
      <c r="E43" t="s">
        <v>74</v>
      </c>
      <c r="F43" t="s">
        <v>1001</v>
      </c>
      <c r="G43" t="s">
        <v>74</v>
      </c>
      <c r="H43" t="s">
        <v>74</v>
      </c>
      <c r="I43" t="s">
        <v>1002</v>
      </c>
      <c r="J43" t="s">
        <v>1003</v>
      </c>
      <c r="K43" t="s">
        <v>74</v>
      </c>
      <c r="L43" t="s">
        <v>74</v>
      </c>
      <c r="M43" t="s">
        <v>1004</v>
      </c>
      <c r="N43" t="s">
        <v>79</v>
      </c>
      <c r="O43" t="s">
        <v>74</v>
      </c>
      <c r="P43" t="s">
        <v>74</v>
      </c>
      <c r="Q43" t="s">
        <v>74</v>
      </c>
      <c r="R43" t="s">
        <v>74</v>
      </c>
      <c r="S43" t="s">
        <v>74</v>
      </c>
      <c r="T43" t="s">
        <v>74</v>
      </c>
      <c r="U43" t="s">
        <v>74</v>
      </c>
      <c r="V43" t="s">
        <v>1005</v>
      </c>
      <c r="W43" t="s">
        <v>74</v>
      </c>
      <c r="X43" t="s">
        <v>74</v>
      </c>
      <c r="Y43" t="s">
        <v>74</v>
      </c>
      <c r="Z43" t="s">
        <v>74</v>
      </c>
      <c r="AA43" t="s">
        <v>74</v>
      </c>
      <c r="AB43" t="s">
        <v>74</v>
      </c>
      <c r="AC43" t="s">
        <v>74</v>
      </c>
      <c r="AD43" t="s">
        <v>74</v>
      </c>
      <c r="AE43" t="s">
        <v>74</v>
      </c>
      <c r="AF43" t="s">
        <v>74</v>
      </c>
      <c r="AG43">
        <v>16</v>
      </c>
      <c r="AH43">
        <v>0</v>
      </c>
      <c r="AI43">
        <v>0</v>
      </c>
      <c r="AJ43">
        <v>0</v>
      </c>
      <c r="AK43">
        <v>0</v>
      </c>
      <c r="AL43" t="s">
        <v>1006</v>
      </c>
      <c r="AM43" t="s">
        <v>1007</v>
      </c>
      <c r="AN43" t="s">
        <v>1008</v>
      </c>
      <c r="AO43" t="s">
        <v>1009</v>
      </c>
      <c r="AP43" t="s">
        <v>74</v>
      </c>
      <c r="AQ43" t="s">
        <v>74</v>
      </c>
      <c r="AR43" t="s">
        <v>1010</v>
      </c>
      <c r="AS43" t="s">
        <v>1011</v>
      </c>
      <c r="AT43" t="s">
        <v>74</v>
      </c>
      <c r="AU43">
        <v>2014</v>
      </c>
      <c r="AV43">
        <v>25</v>
      </c>
      <c r="AW43">
        <v>2</v>
      </c>
      <c r="AX43" t="s">
        <v>74</v>
      </c>
      <c r="AY43" t="s">
        <v>74</v>
      </c>
      <c r="AZ43" t="s">
        <v>74</v>
      </c>
      <c r="BA43" t="s">
        <v>74</v>
      </c>
      <c r="BB43">
        <v>165</v>
      </c>
      <c r="BC43">
        <v>179</v>
      </c>
      <c r="BD43" t="s">
        <v>74</v>
      </c>
      <c r="BE43" t="s">
        <v>74</v>
      </c>
      <c r="BF43" t="s">
        <v>74</v>
      </c>
      <c r="BG43" t="s">
        <v>74</v>
      </c>
      <c r="BH43" t="s">
        <v>74</v>
      </c>
      <c r="BI43">
        <v>15</v>
      </c>
      <c r="BJ43" t="s">
        <v>1012</v>
      </c>
      <c r="BK43" t="s">
        <v>494</v>
      </c>
      <c r="BL43" t="s">
        <v>1013</v>
      </c>
      <c r="BM43" t="s">
        <v>1014</v>
      </c>
      <c r="BN43" t="s">
        <v>74</v>
      </c>
      <c r="BO43" t="s">
        <v>74</v>
      </c>
      <c r="BP43" t="s">
        <v>74</v>
      </c>
      <c r="BQ43" t="s">
        <v>74</v>
      </c>
      <c r="BR43" t="s">
        <v>103</v>
      </c>
      <c r="BS43" t="s">
        <v>1015</v>
      </c>
      <c r="BT43" t="str">
        <f>HYPERLINK("https%3A%2F%2Fwww.webofscience.com%2Fwos%2Fwoscc%2Ffull-record%2FWOS:000436276000009","View Full Record in Web of Science")</f>
        <v>View Full Record in Web of Science</v>
      </c>
    </row>
    <row r="44" spans="1:72" x14ac:dyDescent="0.15">
      <c r="A44" t="s">
        <v>72</v>
      </c>
      <c r="B44" t="s">
        <v>1016</v>
      </c>
      <c r="C44" t="s">
        <v>74</v>
      </c>
      <c r="D44" t="s">
        <v>74</v>
      </c>
      <c r="E44" t="s">
        <v>74</v>
      </c>
      <c r="F44" t="s">
        <v>1016</v>
      </c>
      <c r="G44" t="s">
        <v>74</v>
      </c>
      <c r="H44" t="s">
        <v>74</v>
      </c>
      <c r="I44" t="s">
        <v>1017</v>
      </c>
      <c r="J44" t="s">
        <v>1018</v>
      </c>
      <c r="K44" t="s">
        <v>74</v>
      </c>
      <c r="L44" t="s">
        <v>74</v>
      </c>
      <c r="M44" t="s">
        <v>78</v>
      </c>
      <c r="N44" t="s">
        <v>1019</v>
      </c>
      <c r="O44" t="s">
        <v>74</v>
      </c>
      <c r="P44" t="s">
        <v>74</v>
      </c>
      <c r="Q44" t="s">
        <v>74</v>
      </c>
      <c r="R44" t="s">
        <v>74</v>
      </c>
      <c r="S44" t="s">
        <v>74</v>
      </c>
      <c r="T44" t="s">
        <v>74</v>
      </c>
      <c r="U44" t="s">
        <v>74</v>
      </c>
      <c r="V44" t="s">
        <v>74</v>
      </c>
      <c r="W44" t="s">
        <v>74</v>
      </c>
      <c r="X44" t="s">
        <v>74</v>
      </c>
      <c r="Y44" t="s">
        <v>74</v>
      </c>
      <c r="Z44" t="s">
        <v>74</v>
      </c>
      <c r="AA44" t="s">
        <v>74</v>
      </c>
      <c r="AB44" t="s">
        <v>74</v>
      </c>
      <c r="AC44" t="s">
        <v>74</v>
      </c>
      <c r="AD44" t="s">
        <v>74</v>
      </c>
      <c r="AE44" t="s">
        <v>74</v>
      </c>
      <c r="AF44" t="s">
        <v>74</v>
      </c>
      <c r="AG44">
        <v>0</v>
      </c>
      <c r="AH44">
        <v>0</v>
      </c>
      <c r="AI44">
        <v>0</v>
      </c>
      <c r="AJ44">
        <v>0</v>
      </c>
      <c r="AK44">
        <v>0</v>
      </c>
      <c r="AL44" t="s">
        <v>1020</v>
      </c>
      <c r="AM44" t="s">
        <v>1021</v>
      </c>
      <c r="AN44" t="s">
        <v>1022</v>
      </c>
      <c r="AO44" t="s">
        <v>1023</v>
      </c>
      <c r="AP44" t="s">
        <v>74</v>
      </c>
      <c r="AQ44" t="s">
        <v>74</v>
      </c>
      <c r="AR44" t="s">
        <v>1024</v>
      </c>
      <c r="AS44" t="s">
        <v>1025</v>
      </c>
      <c r="AT44" t="s">
        <v>417</v>
      </c>
      <c r="AU44">
        <v>2014</v>
      </c>
      <c r="AV44">
        <v>28</v>
      </c>
      <c r="AW44">
        <v>1</v>
      </c>
      <c r="AX44" t="s">
        <v>74</v>
      </c>
      <c r="AY44" t="s">
        <v>74</v>
      </c>
      <c r="AZ44" t="s">
        <v>74</v>
      </c>
      <c r="BA44" t="s">
        <v>74</v>
      </c>
      <c r="BB44">
        <v>7</v>
      </c>
      <c r="BC44">
        <v>7</v>
      </c>
      <c r="BD44" t="s">
        <v>74</v>
      </c>
      <c r="BE44" t="s">
        <v>74</v>
      </c>
      <c r="BF44" t="s">
        <v>74</v>
      </c>
      <c r="BG44" t="s">
        <v>74</v>
      </c>
      <c r="BH44" t="s">
        <v>74</v>
      </c>
      <c r="BI44">
        <v>1</v>
      </c>
      <c r="BJ44" t="s">
        <v>1026</v>
      </c>
      <c r="BK44" t="s">
        <v>494</v>
      </c>
      <c r="BL44" t="s">
        <v>1026</v>
      </c>
      <c r="BM44" t="s">
        <v>1027</v>
      </c>
      <c r="BN44" t="s">
        <v>74</v>
      </c>
      <c r="BO44" t="s">
        <v>74</v>
      </c>
      <c r="BP44" t="s">
        <v>74</v>
      </c>
      <c r="BQ44" t="s">
        <v>74</v>
      </c>
      <c r="BR44" t="s">
        <v>103</v>
      </c>
      <c r="BS44" t="s">
        <v>1028</v>
      </c>
      <c r="BT44" t="str">
        <f>HYPERLINK("https%3A%2F%2Fwww.webofscience.com%2Fwos%2Fwoscc%2Ffull-record%2FWOS:000434592100003","View Full Record in Web of Science")</f>
        <v>View Full Record in Web of Science</v>
      </c>
    </row>
    <row r="45" spans="1:72" x14ac:dyDescent="0.15">
      <c r="A45" t="s">
        <v>72</v>
      </c>
      <c r="B45" t="s">
        <v>1029</v>
      </c>
      <c r="C45" t="s">
        <v>74</v>
      </c>
      <c r="D45" t="s">
        <v>74</v>
      </c>
      <c r="E45" t="s">
        <v>74</v>
      </c>
      <c r="F45" t="s">
        <v>1030</v>
      </c>
      <c r="G45" t="s">
        <v>74</v>
      </c>
      <c r="H45" t="s">
        <v>74</v>
      </c>
      <c r="I45" t="s">
        <v>1031</v>
      </c>
      <c r="J45" t="s">
        <v>1032</v>
      </c>
      <c r="K45" t="s">
        <v>74</v>
      </c>
      <c r="L45" t="s">
        <v>74</v>
      </c>
      <c r="M45" t="s">
        <v>78</v>
      </c>
      <c r="N45" t="s">
        <v>79</v>
      </c>
      <c r="O45" t="s">
        <v>74</v>
      </c>
      <c r="P45" t="s">
        <v>74</v>
      </c>
      <c r="Q45" t="s">
        <v>74</v>
      </c>
      <c r="R45" t="s">
        <v>74</v>
      </c>
      <c r="S45" t="s">
        <v>74</v>
      </c>
      <c r="T45" t="s">
        <v>1033</v>
      </c>
      <c r="U45" t="s">
        <v>1034</v>
      </c>
      <c r="V45" t="s">
        <v>1035</v>
      </c>
      <c r="W45" t="s">
        <v>1036</v>
      </c>
      <c r="X45" t="s">
        <v>1037</v>
      </c>
      <c r="Y45" t="s">
        <v>1038</v>
      </c>
      <c r="Z45" t="s">
        <v>1039</v>
      </c>
      <c r="AA45" t="s">
        <v>1040</v>
      </c>
      <c r="AB45" t="s">
        <v>74</v>
      </c>
      <c r="AC45" t="s">
        <v>1041</v>
      </c>
      <c r="AD45" t="s">
        <v>1042</v>
      </c>
      <c r="AE45" t="s">
        <v>1043</v>
      </c>
      <c r="AF45" t="s">
        <v>74</v>
      </c>
      <c r="AG45">
        <v>100</v>
      </c>
      <c r="AH45">
        <v>48</v>
      </c>
      <c r="AI45">
        <v>55</v>
      </c>
      <c r="AJ45">
        <v>4</v>
      </c>
      <c r="AK45">
        <v>177</v>
      </c>
      <c r="AL45" t="s">
        <v>410</v>
      </c>
      <c r="AM45" t="s">
        <v>411</v>
      </c>
      <c r="AN45" t="s">
        <v>412</v>
      </c>
      <c r="AO45" t="s">
        <v>1044</v>
      </c>
      <c r="AP45" t="s">
        <v>1045</v>
      </c>
      <c r="AQ45" t="s">
        <v>74</v>
      </c>
      <c r="AR45" t="s">
        <v>1046</v>
      </c>
      <c r="AS45" t="s">
        <v>1047</v>
      </c>
      <c r="AT45" t="s">
        <v>417</v>
      </c>
      <c r="AU45">
        <v>2014</v>
      </c>
      <c r="AV45">
        <v>20</v>
      </c>
      <c r="AW45">
        <v>1</v>
      </c>
      <c r="AX45" t="s">
        <v>74</v>
      </c>
      <c r="AY45" t="s">
        <v>74</v>
      </c>
      <c r="AZ45" t="s">
        <v>74</v>
      </c>
      <c r="BA45" t="s">
        <v>74</v>
      </c>
      <c r="BB45">
        <v>38</v>
      </c>
      <c r="BC45">
        <v>50</v>
      </c>
      <c r="BD45" t="s">
        <v>74</v>
      </c>
      <c r="BE45" t="s">
        <v>1048</v>
      </c>
      <c r="BF45" t="str">
        <f>HYPERLINK("http://dx.doi.org/10.1111/gcb.12373","http://dx.doi.org/10.1111/gcb.12373")</f>
        <v>http://dx.doi.org/10.1111/gcb.12373</v>
      </c>
      <c r="BG45" t="s">
        <v>74</v>
      </c>
      <c r="BH45" t="s">
        <v>74</v>
      </c>
      <c r="BI45">
        <v>13</v>
      </c>
      <c r="BJ45" t="s">
        <v>1049</v>
      </c>
      <c r="BK45" t="s">
        <v>99</v>
      </c>
      <c r="BL45" t="s">
        <v>1050</v>
      </c>
      <c r="BM45" t="s">
        <v>1051</v>
      </c>
      <c r="BN45">
        <v>23996901</v>
      </c>
      <c r="BO45" t="s">
        <v>74</v>
      </c>
      <c r="BP45" t="s">
        <v>74</v>
      </c>
      <c r="BQ45" t="s">
        <v>74</v>
      </c>
      <c r="BR45" t="s">
        <v>103</v>
      </c>
      <c r="BS45" t="s">
        <v>1052</v>
      </c>
      <c r="BT45" t="str">
        <f>HYPERLINK("https%3A%2F%2Fwww.webofscience.com%2Fwos%2Fwoscc%2Ffull-record%2FWOS:000327998600005","View Full Record in Web of Science")</f>
        <v>View Full Record in Web of Science</v>
      </c>
    </row>
    <row r="46" spans="1:72" x14ac:dyDescent="0.15">
      <c r="A46" t="s">
        <v>1053</v>
      </c>
      <c r="B46" t="s">
        <v>1054</v>
      </c>
      <c r="C46" t="s">
        <v>74</v>
      </c>
      <c r="D46" t="s">
        <v>1055</v>
      </c>
      <c r="E46" t="s">
        <v>74</v>
      </c>
      <c r="F46" t="s">
        <v>1056</v>
      </c>
      <c r="G46" t="s">
        <v>74</v>
      </c>
      <c r="H46" t="s">
        <v>74</v>
      </c>
      <c r="I46" t="s">
        <v>1057</v>
      </c>
      <c r="J46" t="s">
        <v>1058</v>
      </c>
      <c r="K46" t="s">
        <v>1059</v>
      </c>
      <c r="L46" t="s">
        <v>74</v>
      </c>
      <c r="M46" t="s">
        <v>78</v>
      </c>
      <c r="N46" t="s">
        <v>244</v>
      </c>
      <c r="O46" t="s">
        <v>74</v>
      </c>
      <c r="P46" t="s">
        <v>74</v>
      </c>
      <c r="Q46" t="s">
        <v>74</v>
      </c>
      <c r="R46" t="s">
        <v>74</v>
      </c>
      <c r="S46" t="s">
        <v>74</v>
      </c>
      <c r="T46" t="s">
        <v>1060</v>
      </c>
      <c r="U46" t="s">
        <v>1061</v>
      </c>
      <c r="V46" t="s">
        <v>1062</v>
      </c>
      <c r="W46" t="s">
        <v>1063</v>
      </c>
      <c r="X46" t="s">
        <v>1064</v>
      </c>
      <c r="Y46" t="s">
        <v>1065</v>
      </c>
      <c r="Z46" t="s">
        <v>1066</v>
      </c>
      <c r="AA46" t="s">
        <v>74</v>
      </c>
      <c r="AB46" t="s">
        <v>74</v>
      </c>
      <c r="AC46" t="s">
        <v>74</v>
      </c>
      <c r="AD46" t="s">
        <v>74</v>
      </c>
      <c r="AE46" t="s">
        <v>74</v>
      </c>
      <c r="AF46" t="s">
        <v>74</v>
      </c>
      <c r="AG46">
        <v>80</v>
      </c>
      <c r="AH46">
        <v>7</v>
      </c>
      <c r="AI46">
        <v>7</v>
      </c>
      <c r="AJ46">
        <v>0</v>
      </c>
      <c r="AK46">
        <v>0</v>
      </c>
      <c r="AL46" t="s">
        <v>1067</v>
      </c>
      <c r="AM46" t="s">
        <v>1068</v>
      </c>
      <c r="AN46" t="s">
        <v>1069</v>
      </c>
      <c r="AO46" t="s">
        <v>1070</v>
      </c>
      <c r="AP46" t="s">
        <v>74</v>
      </c>
      <c r="AQ46" t="s">
        <v>1071</v>
      </c>
      <c r="AR46" t="s">
        <v>1072</v>
      </c>
      <c r="AS46" t="s">
        <v>74</v>
      </c>
      <c r="AT46" t="s">
        <v>74</v>
      </c>
      <c r="AU46">
        <v>2014</v>
      </c>
      <c r="AV46" t="s">
        <v>74</v>
      </c>
      <c r="AW46" t="s">
        <v>74</v>
      </c>
      <c r="AX46" t="s">
        <v>74</v>
      </c>
      <c r="AY46" t="s">
        <v>74</v>
      </c>
      <c r="AZ46" t="s">
        <v>74</v>
      </c>
      <c r="BA46" t="s">
        <v>74</v>
      </c>
      <c r="BB46">
        <v>9</v>
      </c>
      <c r="BC46">
        <v>46</v>
      </c>
      <c r="BD46" t="s">
        <v>74</v>
      </c>
      <c r="BE46" t="s">
        <v>1073</v>
      </c>
      <c r="BF46" t="str">
        <f>HYPERLINK("http://dx.doi.org/10.1007/978-94-007-7702-6_2","http://dx.doi.org/10.1007/978-94-007-7702-6_2")</f>
        <v>http://dx.doi.org/10.1007/978-94-007-7702-6_2</v>
      </c>
      <c r="BG46" t="s">
        <v>1074</v>
      </c>
      <c r="BH46" t="s">
        <v>74</v>
      </c>
      <c r="BI46">
        <v>38</v>
      </c>
      <c r="BJ46" t="s">
        <v>1075</v>
      </c>
      <c r="BK46" t="s">
        <v>632</v>
      </c>
      <c r="BL46" t="s">
        <v>100</v>
      </c>
      <c r="BM46" t="s">
        <v>1076</v>
      </c>
      <c r="BN46" t="s">
        <v>74</v>
      </c>
      <c r="BO46" t="s">
        <v>74</v>
      </c>
      <c r="BP46" t="s">
        <v>74</v>
      </c>
      <c r="BQ46" t="s">
        <v>74</v>
      </c>
      <c r="BR46" t="s">
        <v>103</v>
      </c>
      <c r="BS46" t="s">
        <v>1077</v>
      </c>
      <c r="BT46" t="str">
        <f>HYPERLINK("https%3A%2F%2Fwww.webofscience.com%2Fwos%2Fwoscc%2Ffull-record%2FWOS:000460341200002","View Full Record in Web of Science")</f>
        <v>View Full Record in Web of Science</v>
      </c>
    </row>
    <row r="47" spans="1:72" x14ac:dyDescent="0.15">
      <c r="A47" t="s">
        <v>238</v>
      </c>
      <c r="B47" t="s">
        <v>1078</v>
      </c>
      <c r="C47" t="s">
        <v>74</v>
      </c>
      <c r="D47" t="s">
        <v>1079</v>
      </c>
      <c r="E47" t="s">
        <v>74</v>
      </c>
      <c r="F47" t="s">
        <v>1080</v>
      </c>
      <c r="G47" t="s">
        <v>74</v>
      </c>
      <c r="H47" t="s">
        <v>74</v>
      </c>
      <c r="I47" t="s">
        <v>1081</v>
      </c>
      <c r="J47" t="s">
        <v>1082</v>
      </c>
      <c r="K47" t="s">
        <v>74</v>
      </c>
      <c r="L47" t="s">
        <v>74</v>
      </c>
      <c r="M47" t="s">
        <v>78</v>
      </c>
      <c r="N47" t="s">
        <v>244</v>
      </c>
      <c r="O47" t="s">
        <v>74</v>
      </c>
      <c r="P47" t="s">
        <v>74</v>
      </c>
      <c r="Q47" t="s">
        <v>74</v>
      </c>
      <c r="R47" t="s">
        <v>74</v>
      </c>
      <c r="S47" t="s">
        <v>74</v>
      </c>
      <c r="T47" t="s">
        <v>1083</v>
      </c>
      <c r="U47" t="s">
        <v>1084</v>
      </c>
      <c r="V47" t="s">
        <v>1085</v>
      </c>
      <c r="W47" t="s">
        <v>1086</v>
      </c>
      <c r="X47" t="s">
        <v>1087</v>
      </c>
      <c r="Y47" t="s">
        <v>1088</v>
      </c>
      <c r="Z47" t="s">
        <v>1089</v>
      </c>
      <c r="AA47" t="s">
        <v>74</v>
      </c>
      <c r="AB47" t="s">
        <v>74</v>
      </c>
      <c r="AC47" t="s">
        <v>74</v>
      </c>
      <c r="AD47" t="s">
        <v>74</v>
      </c>
      <c r="AE47" t="s">
        <v>74</v>
      </c>
      <c r="AF47" t="s">
        <v>74</v>
      </c>
      <c r="AG47">
        <v>25</v>
      </c>
      <c r="AH47">
        <v>20</v>
      </c>
      <c r="AI47">
        <v>23</v>
      </c>
      <c r="AJ47">
        <v>0</v>
      </c>
      <c r="AK47">
        <v>1</v>
      </c>
      <c r="AL47" t="s">
        <v>1090</v>
      </c>
      <c r="AM47" t="s">
        <v>625</v>
      </c>
      <c r="AN47" t="s">
        <v>1091</v>
      </c>
      <c r="AO47" t="s">
        <v>74</v>
      </c>
      <c r="AP47" t="s">
        <v>74</v>
      </c>
      <c r="AQ47" t="s">
        <v>1092</v>
      </c>
      <c r="AR47" t="s">
        <v>74</v>
      </c>
      <c r="AS47" t="s">
        <v>74</v>
      </c>
      <c r="AT47" t="s">
        <v>74</v>
      </c>
      <c r="AU47">
        <v>2014</v>
      </c>
      <c r="AV47" t="s">
        <v>74</v>
      </c>
      <c r="AW47" t="s">
        <v>74</v>
      </c>
      <c r="AX47" t="s">
        <v>74</v>
      </c>
      <c r="AY47" t="s">
        <v>74</v>
      </c>
      <c r="AZ47" t="s">
        <v>74</v>
      </c>
      <c r="BA47" t="s">
        <v>74</v>
      </c>
      <c r="BB47">
        <v>253</v>
      </c>
      <c r="BC47">
        <v>270</v>
      </c>
      <c r="BD47" t="s">
        <v>74</v>
      </c>
      <c r="BE47" t="s">
        <v>74</v>
      </c>
      <c r="BF47" t="s">
        <v>74</v>
      </c>
      <c r="BG47" t="s">
        <v>1093</v>
      </c>
      <c r="BH47" t="s">
        <v>74</v>
      </c>
      <c r="BI47">
        <v>18</v>
      </c>
      <c r="BJ47" t="s">
        <v>1094</v>
      </c>
      <c r="BK47" t="s">
        <v>632</v>
      </c>
      <c r="BL47" t="s">
        <v>1095</v>
      </c>
      <c r="BM47" t="s">
        <v>1096</v>
      </c>
      <c r="BN47" t="s">
        <v>74</v>
      </c>
      <c r="BO47" t="s">
        <v>74</v>
      </c>
      <c r="BP47" t="s">
        <v>74</v>
      </c>
      <c r="BQ47" t="s">
        <v>74</v>
      </c>
      <c r="BR47" t="s">
        <v>103</v>
      </c>
      <c r="BS47" t="s">
        <v>1097</v>
      </c>
      <c r="BT47" t="str">
        <f>HYPERLINK("https%3A%2F%2Fwww.webofscience.com%2Fwos%2Fwoscc%2Ffull-record%2FWOS:000362910100022","View Full Record in Web of Science")</f>
        <v>View Full Record in Web of Science</v>
      </c>
    </row>
    <row r="48" spans="1:72" x14ac:dyDescent="0.15">
      <c r="A48" t="s">
        <v>881</v>
      </c>
      <c r="B48" t="s">
        <v>1098</v>
      </c>
      <c r="C48" t="s">
        <v>74</v>
      </c>
      <c r="D48" t="s">
        <v>1099</v>
      </c>
      <c r="E48" t="s">
        <v>74</v>
      </c>
      <c r="F48" t="s">
        <v>1100</v>
      </c>
      <c r="G48" t="s">
        <v>74</v>
      </c>
      <c r="H48" t="s">
        <v>74</v>
      </c>
      <c r="I48" t="s">
        <v>1101</v>
      </c>
      <c r="J48" t="s">
        <v>1102</v>
      </c>
      <c r="K48" t="s">
        <v>1103</v>
      </c>
      <c r="L48" t="s">
        <v>74</v>
      </c>
      <c r="M48" t="s">
        <v>78</v>
      </c>
      <c r="N48" t="s">
        <v>888</v>
      </c>
      <c r="O48" t="s">
        <v>1104</v>
      </c>
      <c r="P48" t="s">
        <v>1105</v>
      </c>
      <c r="Q48" t="s">
        <v>1106</v>
      </c>
      <c r="R48" t="s">
        <v>74</v>
      </c>
      <c r="S48" t="s">
        <v>74</v>
      </c>
      <c r="T48" t="s">
        <v>1107</v>
      </c>
      <c r="U48" t="s">
        <v>74</v>
      </c>
      <c r="V48" t="s">
        <v>1108</v>
      </c>
      <c r="W48" t="s">
        <v>1109</v>
      </c>
      <c r="X48" t="s">
        <v>1110</v>
      </c>
      <c r="Y48" t="s">
        <v>1111</v>
      </c>
      <c r="Z48" t="s">
        <v>74</v>
      </c>
      <c r="AA48" t="s">
        <v>1112</v>
      </c>
      <c r="AB48" t="s">
        <v>1113</v>
      </c>
      <c r="AC48" t="s">
        <v>74</v>
      </c>
      <c r="AD48" t="s">
        <v>74</v>
      </c>
      <c r="AE48" t="s">
        <v>74</v>
      </c>
      <c r="AF48" t="s">
        <v>74</v>
      </c>
      <c r="AG48">
        <v>4</v>
      </c>
      <c r="AH48">
        <v>3</v>
      </c>
      <c r="AI48">
        <v>3</v>
      </c>
      <c r="AJ48">
        <v>0</v>
      </c>
      <c r="AK48">
        <v>5</v>
      </c>
      <c r="AL48" t="s">
        <v>1114</v>
      </c>
      <c r="AM48" t="s">
        <v>1115</v>
      </c>
      <c r="AN48" t="s">
        <v>1116</v>
      </c>
      <c r="AO48" t="s">
        <v>1117</v>
      </c>
      <c r="AP48" t="s">
        <v>74</v>
      </c>
      <c r="AQ48" t="s">
        <v>1118</v>
      </c>
      <c r="AR48" t="s">
        <v>1119</v>
      </c>
      <c r="AS48" t="s">
        <v>74</v>
      </c>
      <c r="AT48" t="s">
        <v>74</v>
      </c>
      <c r="AU48">
        <v>2014</v>
      </c>
      <c r="AV48">
        <v>9145</v>
      </c>
      <c r="AW48" t="s">
        <v>74</v>
      </c>
      <c r="AX48" t="s">
        <v>74</v>
      </c>
      <c r="AY48" t="s">
        <v>74</v>
      </c>
      <c r="AZ48" t="s">
        <v>74</v>
      </c>
      <c r="BA48" t="s">
        <v>74</v>
      </c>
      <c r="BB48" t="s">
        <v>74</v>
      </c>
      <c r="BC48" t="s">
        <v>74</v>
      </c>
      <c r="BD48" t="s">
        <v>1120</v>
      </c>
      <c r="BE48" t="s">
        <v>1121</v>
      </c>
      <c r="BF48" t="str">
        <f>HYPERLINK("http://dx.doi.org/10.1117/12.2056562","http://dx.doi.org/10.1117/12.2056562")</f>
        <v>http://dx.doi.org/10.1117/12.2056562</v>
      </c>
      <c r="BG48" t="s">
        <v>74</v>
      </c>
      <c r="BH48" t="s">
        <v>74</v>
      </c>
      <c r="BI48">
        <v>11</v>
      </c>
      <c r="BJ48" t="s">
        <v>1122</v>
      </c>
      <c r="BK48" t="s">
        <v>905</v>
      </c>
      <c r="BL48" t="s">
        <v>1122</v>
      </c>
      <c r="BM48" t="s">
        <v>1123</v>
      </c>
      <c r="BN48" t="s">
        <v>74</v>
      </c>
      <c r="BO48" t="s">
        <v>74</v>
      </c>
      <c r="BP48" t="s">
        <v>74</v>
      </c>
      <c r="BQ48" t="s">
        <v>74</v>
      </c>
      <c r="BR48" t="s">
        <v>103</v>
      </c>
      <c r="BS48" t="s">
        <v>1124</v>
      </c>
      <c r="BT48" t="str">
        <f>HYPERLINK("https%3A%2F%2Fwww.webofscience.com%2Fwos%2Fwoscc%2Ffull-record%2FWOS:000354375800012","View Full Record in Web of Science")</f>
        <v>View Full Record in Web of Science</v>
      </c>
    </row>
    <row r="49" spans="1:72" x14ac:dyDescent="0.15">
      <c r="A49" t="s">
        <v>881</v>
      </c>
      <c r="B49" t="s">
        <v>1125</v>
      </c>
      <c r="C49" t="s">
        <v>74</v>
      </c>
      <c r="D49" t="s">
        <v>1126</v>
      </c>
      <c r="E49" t="s">
        <v>74</v>
      </c>
      <c r="F49" t="s">
        <v>1127</v>
      </c>
      <c r="G49" t="s">
        <v>74</v>
      </c>
      <c r="H49" t="s">
        <v>74</v>
      </c>
      <c r="I49" t="s">
        <v>1128</v>
      </c>
      <c r="J49" t="s">
        <v>1129</v>
      </c>
      <c r="K49" t="s">
        <v>1103</v>
      </c>
      <c r="L49" t="s">
        <v>74</v>
      </c>
      <c r="M49" t="s">
        <v>78</v>
      </c>
      <c r="N49" t="s">
        <v>888</v>
      </c>
      <c r="O49" t="s">
        <v>1130</v>
      </c>
      <c r="P49" t="s">
        <v>1131</v>
      </c>
      <c r="Q49" t="s">
        <v>1106</v>
      </c>
      <c r="R49" t="s">
        <v>74</v>
      </c>
      <c r="S49" t="s">
        <v>74</v>
      </c>
      <c r="T49" t="s">
        <v>1132</v>
      </c>
      <c r="U49" t="s">
        <v>74</v>
      </c>
      <c r="V49" t="s">
        <v>1133</v>
      </c>
      <c r="W49" t="s">
        <v>1134</v>
      </c>
      <c r="X49" t="s">
        <v>1135</v>
      </c>
      <c r="Y49" t="s">
        <v>1136</v>
      </c>
      <c r="Z49" t="s">
        <v>1137</v>
      </c>
      <c r="AA49" t="s">
        <v>1138</v>
      </c>
      <c r="AB49" t="s">
        <v>1139</v>
      </c>
      <c r="AC49" t="s">
        <v>74</v>
      </c>
      <c r="AD49" t="s">
        <v>74</v>
      </c>
      <c r="AE49" t="s">
        <v>74</v>
      </c>
      <c r="AF49" t="s">
        <v>74</v>
      </c>
      <c r="AG49">
        <v>4</v>
      </c>
      <c r="AH49">
        <v>4</v>
      </c>
      <c r="AI49">
        <v>4</v>
      </c>
      <c r="AJ49">
        <v>0</v>
      </c>
      <c r="AK49">
        <v>8</v>
      </c>
      <c r="AL49" t="s">
        <v>1114</v>
      </c>
      <c r="AM49" t="s">
        <v>1115</v>
      </c>
      <c r="AN49" t="s">
        <v>1116</v>
      </c>
      <c r="AO49" t="s">
        <v>1117</v>
      </c>
      <c r="AP49" t="s">
        <v>74</v>
      </c>
      <c r="AQ49" t="s">
        <v>1140</v>
      </c>
      <c r="AR49" t="s">
        <v>1119</v>
      </c>
      <c r="AS49" t="s">
        <v>74</v>
      </c>
      <c r="AT49" t="s">
        <v>74</v>
      </c>
      <c r="AU49">
        <v>2014</v>
      </c>
      <c r="AV49">
        <v>9154</v>
      </c>
      <c r="AW49" t="s">
        <v>74</v>
      </c>
      <c r="AX49" t="s">
        <v>74</v>
      </c>
      <c r="AY49" t="s">
        <v>74</v>
      </c>
      <c r="AZ49" t="s">
        <v>74</v>
      </c>
      <c r="BA49" t="s">
        <v>74</v>
      </c>
      <c r="BB49" t="s">
        <v>74</v>
      </c>
      <c r="BC49" t="s">
        <v>74</v>
      </c>
      <c r="BD49" t="s">
        <v>1141</v>
      </c>
      <c r="BE49" t="s">
        <v>1142</v>
      </c>
      <c r="BF49" t="str">
        <f>HYPERLINK("http://dx.doi.org/10.1117/12.2055416","http://dx.doi.org/10.1117/12.2055416")</f>
        <v>http://dx.doi.org/10.1117/12.2055416</v>
      </c>
      <c r="BG49" t="s">
        <v>74</v>
      </c>
      <c r="BH49" t="s">
        <v>74</v>
      </c>
      <c r="BI49">
        <v>8</v>
      </c>
      <c r="BJ49" t="s">
        <v>1143</v>
      </c>
      <c r="BK49" t="s">
        <v>905</v>
      </c>
      <c r="BL49" t="s">
        <v>1143</v>
      </c>
      <c r="BM49" t="s">
        <v>1144</v>
      </c>
      <c r="BN49" t="s">
        <v>74</v>
      </c>
      <c r="BO49" t="s">
        <v>1145</v>
      </c>
      <c r="BP49" t="s">
        <v>74</v>
      </c>
      <c r="BQ49" t="s">
        <v>74</v>
      </c>
      <c r="BR49" t="s">
        <v>103</v>
      </c>
      <c r="BS49" t="s">
        <v>1146</v>
      </c>
      <c r="BT49" t="str">
        <f>HYPERLINK("https%3A%2F%2Fwww.webofscience.com%2Fwos%2Fwoscc%2Ffull-record%2FWOS:000354528900054","View Full Record in Web of Science")</f>
        <v>View Full Record in Web of Science</v>
      </c>
    </row>
    <row r="50" spans="1:72" x14ac:dyDescent="0.15">
      <c r="A50" t="s">
        <v>72</v>
      </c>
      <c r="B50" t="s">
        <v>1147</v>
      </c>
      <c r="C50" t="s">
        <v>74</v>
      </c>
      <c r="D50" t="s">
        <v>74</v>
      </c>
      <c r="E50" t="s">
        <v>74</v>
      </c>
      <c r="F50" t="s">
        <v>1148</v>
      </c>
      <c r="G50" t="s">
        <v>74</v>
      </c>
      <c r="H50" t="s">
        <v>74</v>
      </c>
      <c r="I50" t="s">
        <v>1149</v>
      </c>
      <c r="J50" t="s">
        <v>1150</v>
      </c>
      <c r="K50" t="s">
        <v>74</v>
      </c>
      <c r="L50" t="s">
        <v>74</v>
      </c>
      <c r="M50" t="s">
        <v>78</v>
      </c>
      <c r="N50" t="s">
        <v>79</v>
      </c>
      <c r="O50" t="s">
        <v>74</v>
      </c>
      <c r="P50" t="s">
        <v>74</v>
      </c>
      <c r="Q50" t="s">
        <v>74</v>
      </c>
      <c r="R50" t="s">
        <v>74</v>
      </c>
      <c r="S50" t="s">
        <v>74</v>
      </c>
      <c r="T50" t="s">
        <v>1151</v>
      </c>
      <c r="U50" t="s">
        <v>1152</v>
      </c>
      <c r="V50" t="s">
        <v>1153</v>
      </c>
      <c r="W50" t="s">
        <v>1154</v>
      </c>
      <c r="X50" t="s">
        <v>1155</v>
      </c>
      <c r="Y50" t="s">
        <v>1156</v>
      </c>
      <c r="Z50" t="s">
        <v>1157</v>
      </c>
      <c r="AA50" t="s">
        <v>1158</v>
      </c>
      <c r="AB50" t="s">
        <v>1159</v>
      </c>
      <c r="AC50" t="s">
        <v>1160</v>
      </c>
      <c r="AD50" t="s">
        <v>1161</v>
      </c>
      <c r="AE50" t="s">
        <v>1162</v>
      </c>
      <c r="AF50" t="s">
        <v>74</v>
      </c>
      <c r="AG50">
        <v>46</v>
      </c>
      <c r="AH50">
        <v>20</v>
      </c>
      <c r="AI50">
        <v>20</v>
      </c>
      <c r="AJ50">
        <v>0</v>
      </c>
      <c r="AK50">
        <v>32</v>
      </c>
      <c r="AL50" t="s">
        <v>1067</v>
      </c>
      <c r="AM50" t="s">
        <v>1068</v>
      </c>
      <c r="AN50" t="s">
        <v>1163</v>
      </c>
      <c r="AO50" t="s">
        <v>1164</v>
      </c>
      <c r="AP50" t="s">
        <v>1165</v>
      </c>
      <c r="AQ50" t="s">
        <v>74</v>
      </c>
      <c r="AR50" t="s">
        <v>1150</v>
      </c>
      <c r="AS50" t="s">
        <v>1166</v>
      </c>
      <c r="AT50" t="s">
        <v>417</v>
      </c>
      <c r="AU50">
        <v>2014</v>
      </c>
      <c r="AV50">
        <v>721</v>
      </c>
      <c r="AW50">
        <v>1</v>
      </c>
      <c r="AX50" t="s">
        <v>74</v>
      </c>
      <c r="AY50" t="s">
        <v>74</v>
      </c>
      <c r="AZ50" t="s">
        <v>74</v>
      </c>
      <c r="BA50" t="s">
        <v>74</v>
      </c>
      <c r="BB50">
        <v>197</v>
      </c>
      <c r="BC50">
        <v>207</v>
      </c>
      <c r="BD50" t="s">
        <v>74</v>
      </c>
      <c r="BE50" t="s">
        <v>1167</v>
      </c>
      <c r="BF50" t="str">
        <f>HYPERLINK("http://dx.doi.org/10.1007/s10750-013-1661-z","http://dx.doi.org/10.1007/s10750-013-1661-z")</f>
        <v>http://dx.doi.org/10.1007/s10750-013-1661-z</v>
      </c>
      <c r="BG50" t="s">
        <v>74</v>
      </c>
      <c r="BH50" t="s">
        <v>74</v>
      </c>
      <c r="BI50">
        <v>11</v>
      </c>
      <c r="BJ50" t="s">
        <v>285</v>
      </c>
      <c r="BK50" t="s">
        <v>99</v>
      </c>
      <c r="BL50" t="s">
        <v>285</v>
      </c>
      <c r="BM50" t="s">
        <v>1168</v>
      </c>
      <c r="BN50" t="s">
        <v>74</v>
      </c>
      <c r="BO50" t="s">
        <v>74</v>
      </c>
      <c r="BP50" t="s">
        <v>74</v>
      </c>
      <c r="BQ50" t="s">
        <v>74</v>
      </c>
      <c r="BR50" t="s">
        <v>103</v>
      </c>
      <c r="BS50" t="s">
        <v>1169</v>
      </c>
      <c r="BT50" t="str">
        <f>HYPERLINK("https%3A%2F%2Fwww.webofscience.com%2Fwos%2Fwoscc%2Ffull-record%2FWOS:000327129300018","View Full Record in Web of Science")</f>
        <v>View Full Record in Web of Science</v>
      </c>
    </row>
    <row r="51" spans="1:72" x14ac:dyDescent="0.15">
      <c r="A51" t="s">
        <v>72</v>
      </c>
      <c r="B51" t="s">
        <v>1170</v>
      </c>
      <c r="C51" t="s">
        <v>74</v>
      </c>
      <c r="D51" t="s">
        <v>74</v>
      </c>
      <c r="E51" t="s">
        <v>74</v>
      </c>
      <c r="F51" t="s">
        <v>1171</v>
      </c>
      <c r="G51" t="s">
        <v>74</v>
      </c>
      <c r="H51" t="s">
        <v>74</v>
      </c>
      <c r="I51" t="s">
        <v>1172</v>
      </c>
      <c r="J51" t="s">
        <v>1150</v>
      </c>
      <c r="K51" t="s">
        <v>74</v>
      </c>
      <c r="L51" t="s">
        <v>74</v>
      </c>
      <c r="M51" t="s">
        <v>78</v>
      </c>
      <c r="N51" t="s">
        <v>79</v>
      </c>
      <c r="O51" t="s">
        <v>74</v>
      </c>
      <c r="P51" t="s">
        <v>74</v>
      </c>
      <c r="Q51" t="s">
        <v>74</v>
      </c>
      <c r="R51" t="s">
        <v>74</v>
      </c>
      <c r="S51" t="s">
        <v>74</v>
      </c>
      <c r="T51" t="s">
        <v>1173</v>
      </c>
      <c r="U51" t="s">
        <v>1174</v>
      </c>
      <c r="V51" t="s">
        <v>1175</v>
      </c>
      <c r="W51" t="s">
        <v>1176</v>
      </c>
      <c r="X51" t="s">
        <v>1177</v>
      </c>
      <c r="Y51" t="s">
        <v>1178</v>
      </c>
      <c r="Z51" t="s">
        <v>1179</v>
      </c>
      <c r="AA51" t="s">
        <v>74</v>
      </c>
      <c r="AB51" t="s">
        <v>1180</v>
      </c>
      <c r="AC51" t="s">
        <v>1181</v>
      </c>
      <c r="AD51" t="s">
        <v>1182</v>
      </c>
      <c r="AE51" t="s">
        <v>1183</v>
      </c>
      <c r="AF51" t="s">
        <v>74</v>
      </c>
      <c r="AG51">
        <v>59</v>
      </c>
      <c r="AH51">
        <v>13</v>
      </c>
      <c r="AI51">
        <v>15</v>
      </c>
      <c r="AJ51">
        <v>0</v>
      </c>
      <c r="AK51">
        <v>30</v>
      </c>
      <c r="AL51" t="s">
        <v>1067</v>
      </c>
      <c r="AM51" t="s">
        <v>1068</v>
      </c>
      <c r="AN51" t="s">
        <v>1163</v>
      </c>
      <c r="AO51" t="s">
        <v>1164</v>
      </c>
      <c r="AP51" t="s">
        <v>1165</v>
      </c>
      <c r="AQ51" t="s">
        <v>74</v>
      </c>
      <c r="AR51" t="s">
        <v>1150</v>
      </c>
      <c r="AS51" t="s">
        <v>1166</v>
      </c>
      <c r="AT51" t="s">
        <v>417</v>
      </c>
      <c r="AU51">
        <v>2014</v>
      </c>
      <c r="AV51">
        <v>721</v>
      </c>
      <c r="AW51">
        <v>1</v>
      </c>
      <c r="AX51" t="s">
        <v>74</v>
      </c>
      <c r="AY51" t="s">
        <v>74</v>
      </c>
      <c r="AZ51" t="s">
        <v>74</v>
      </c>
      <c r="BA51" t="s">
        <v>74</v>
      </c>
      <c r="BB51">
        <v>285</v>
      </c>
      <c r="BC51">
        <v>295</v>
      </c>
      <c r="BD51" t="s">
        <v>74</v>
      </c>
      <c r="BE51" t="s">
        <v>1184</v>
      </c>
      <c r="BF51" t="str">
        <f>HYPERLINK("http://dx.doi.org/10.1007/s10750-013-1669-4","http://dx.doi.org/10.1007/s10750-013-1669-4")</f>
        <v>http://dx.doi.org/10.1007/s10750-013-1669-4</v>
      </c>
      <c r="BG51" t="s">
        <v>74</v>
      </c>
      <c r="BH51" t="s">
        <v>74</v>
      </c>
      <c r="BI51">
        <v>11</v>
      </c>
      <c r="BJ51" t="s">
        <v>285</v>
      </c>
      <c r="BK51" t="s">
        <v>99</v>
      </c>
      <c r="BL51" t="s">
        <v>285</v>
      </c>
      <c r="BM51" t="s">
        <v>1168</v>
      </c>
      <c r="BN51" t="s">
        <v>74</v>
      </c>
      <c r="BO51" t="s">
        <v>74</v>
      </c>
      <c r="BP51" t="s">
        <v>74</v>
      </c>
      <c r="BQ51" t="s">
        <v>74</v>
      </c>
      <c r="BR51" t="s">
        <v>103</v>
      </c>
      <c r="BS51" t="s">
        <v>1185</v>
      </c>
      <c r="BT51" t="str">
        <f>HYPERLINK("https%3A%2F%2Fwww.webofscience.com%2Fwos%2Fwoscc%2Ffull-record%2FWOS:000327129300024","View Full Record in Web of Science")</f>
        <v>View Full Record in Web of Science</v>
      </c>
    </row>
    <row r="52" spans="1:72" x14ac:dyDescent="0.15">
      <c r="A52" t="s">
        <v>72</v>
      </c>
      <c r="B52" t="s">
        <v>1186</v>
      </c>
      <c r="C52" t="s">
        <v>74</v>
      </c>
      <c r="D52" t="s">
        <v>74</v>
      </c>
      <c r="E52" t="s">
        <v>74</v>
      </c>
      <c r="F52" t="s">
        <v>1187</v>
      </c>
      <c r="G52" t="s">
        <v>74</v>
      </c>
      <c r="H52" t="s">
        <v>74</v>
      </c>
      <c r="I52" t="s">
        <v>1188</v>
      </c>
      <c r="J52" t="s">
        <v>1189</v>
      </c>
      <c r="K52" t="s">
        <v>74</v>
      </c>
      <c r="L52" t="s">
        <v>74</v>
      </c>
      <c r="M52" t="s">
        <v>78</v>
      </c>
      <c r="N52" t="s">
        <v>79</v>
      </c>
      <c r="O52" t="s">
        <v>74</v>
      </c>
      <c r="P52" t="s">
        <v>74</v>
      </c>
      <c r="Q52" t="s">
        <v>74</v>
      </c>
      <c r="R52" t="s">
        <v>74</v>
      </c>
      <c r="S52" t="s">
        <v>74</v>
      </c>
      <c r="T52" t="s">
        <v>1190</v>
      </c>
      <c r="U52" t="s">
        <v>1191</v>
      </c>
      <c r="V52" t="s">
        <v>1192</v>
      </c>
      <c r="W52" t="s">
        <v>1193</v>
      </c>
      <c r="X52" t="s">
        <v>1194</v>
      </c>
      <c r="Y52" t="s">
        <v>1195</v>
      </c>
      <c r="Z52" t="s">
        <v>1196</v>
      </c>
      <c r="AA52" t="s">
        <v>1197</v>
      </c>
      <c r="AB52" t="s">
        <v>1198</v>
      </c>
      <c r="AC52" t="s">
        <v>1199</v>
      </c>
      <c r="AD52" t="s">
        <v>1200</v>
      </c>
      <c r="AE52" t="s">
        <v>1201</v>
      </c>
      <c r="AF52" t="s">
        <v>74</v>
      </c>
      <c r="AG52">
        <v>101</v>
      </c>
      <c r="AH52">
        <v>14</v>
      </c>
      <c r="AI52">
        <v>15</v>
      </c>
      <c r="AJ52">
        <v>0</v>
      </c>
      <c r="AK52">
        <v>43</v>
      </c>
      <c r="AL52" t="s">
        <v>410</v>
      </c>
      <c r="AM52" t="s">
        <v>411</v>
      </c>
      <c r="AN52" t="s">
        <v>412</v>
      </c>
      <c r="AO52" t="s">
        <v>1202</v>
      </c>
      <c r="AP52" t="s">
        <v>1203</v>
      </c>
      <c r="AQ52" t="s">
        <v>74</v>
      </c>
      <c r="AR52" t="s">
        <v>1204</v>
      </c>
      <c r="AS52" t="s">
        <v>1205</v>
      </c>
      <c r="AT52" t="s">
        <v>311</v>
      </c>
      <c r="AU52">
        <v>2014</v>
      </c>
      <c r="AV52">
        <v>28</v>
      </c>
      <c r="AW52">
        <v>1</v>
      </c>
      <c r="AX52" t="s">
        <v>74</v>
      </c>
      <c r="AY52" t="s">
        <v>74</v>
      </c>
      <c r="AZ52" t="s">
        <v>74</v>
      </c>
      <c r="BA52" t="s">
        <v>74</v>
      </c>
      <c r="BB52">
        <v>134</v>
      </c>
      <c r="BC52">
        <v>149</v>
      </c>
      <c r="BD52" t="s">
        <v>74</v>
      </c>
      <c r="BE52" t="s">
        <v>1206</v>
      </c>
      <c r="BF52" t="str">
        <f>HYPERLINK("http://dx.doi.org/10.1002/hyp.9526","http://dx.doi.org/10.1002/hyp.9526")</f>
        <v>http://dx.doi.org/10.1002/hyp.9526</v>
      </c>
      <c r="BG52" t="s">
        <v>74</v>
      </c>
      <c r="BH52" t="s">
        <v>74</v>
      </c>
      <c r="BI52">
        <v>16</v>
      </c>
      <c r="BJ52" t="s">
        <v>1207</v>
      </c>
      <c r="BK52" t="s">
        <v>99</v>
      </c>
      <c r="BL52" t="s">
        <v>1207</v>
      </c>
      <c r="BM52" t="s">
        <v>1208</v>
      </c>
      <c r="BN52" t="s">
        <v>74</v>
      </c>
      <c r="BO52" t="s">
        <v>450</v>
      </c>
      <c r="BP52" t="s">
        <v>74</v>
      </c>
      <c r="BQ52" t="s">
        <v>74</v>
      </c>
      <c r="BR52" t="s">
        <v>103</v>
      </c>
      <c r="BS52" t="s">
        <v>1209</v>
      </c>
      <c r="BT52" t="str">
        <f>HYPERLINK("https%3A%2F%2Fwww.webofscience.com%2Fwos%2Fwoscc%2Ffull-record%2FWOS:000328569800013","View Full Record in Web of Science")</f>
        <v>View Full Record in Web of Science</v>
      </c>
    </row>
    <row r="53" spans="1:72" x14ac:dyDescent="0.15">
      <c r="A53" t="s">
        <v>881</v>
      </c>
      <c r="B53" t="s">
        <v>1210</v>
      </c>
      <c r="C53" t="s">
        <v>74</v>
      </c>
      <c r="D53" t="s">
        <v>1211</v>
      </c>
      <c r="E53" t="s">
        <v>74</v>
      </c>
      <c r="F53" t="s">
        <v>1212</v>
      </c>
      <c r="G53" t="s">
        <v>74</v>
      </c>
      <c r="H53" t="s">
        <v>74</v>
      </c>
      <c r="I53" t="s">
        <v>1213</v>
      </c>
      <c r="J53" t="s">
        <v>1214</v>
      </c>
      <c r="K53" t="s">
        <v>1215</v>
      </c>
      <c r="L53" t="s">
        <v>74</v>
      </c>
      <c r="M53" t="s">
        <v>78</v>
      </c>
      <c r="N53" t="s">
        <v>888</v>
      </c>
      <c r="O53" t="s">
        <v>1216</v>
      </c>
      <c r="P53" t="s">
        <v>1217</v>
      </c>
      <c r="Q53" t="s">
        <v>1218</v>
      </c>
      <c r="R53" t="s">
        <v>74</v>
      </c>
      <c r="S53" t="s">
        <v>74</v>
      </c>
      <c r="T53" t="s">
        <v>74</v>
      </c>
      <c r="U53" t="s">
        <v>1219</v>
      </c>
      <c r="V53" t="s">
        <v>1220</v>
      </c>
      <c r="W53" t="s">
        <v>1221</v>
      </c>
      <c r="X53" t="s">
        <v>1222</v>
      </c>
      <c r="Y53" t="s">
        <v>1223</v>
      </c>
      <c r="Z53" t="s">
        <v>1224</v>
      </c>
      <c r="AA53" t="s">
        <v>1225</v>
      </c>
      <c r="AB53" t="s">
        <v>1226</v>
      </c>
      <c r="AC53" t="s">
        <v>74</v>
      </c>
      <c r="AD53" t="s">
        <v>74</v>
      </c>
      <c r="AE53" t="s">
        <v>74</v>
      </c>
      <c r="AF53" t="s">
        <v>74</v>
      </c>
      <c r="AG53">
        <v>17</v>
      </c>
      <c r="AH53">
        <v>9</v>
      </c>
      <c r="AI53">
        <v>11</v>
      </c>
      <c r="AJ53">
        <v>2</v>
      </c>
      <c r="AK53">
        <v>16</v>
      </c>
      <c r="AL53" t="s">
        <v>1227</v>
      </c>
      <c r="AM53" t="s">
        <v>1228</v>
      </c>
      <c r="AN53" t="s">
        <v>1229</v>
      </c>
      <c r="AO53" t="s">
        <v>1230</v>
      </c>
      <c r="AP53" t="s">
        <v>74</v>
      </c>
      <c r="AQ53" t="s">
        <v>1231</v>
      </c>
      <c r="AR53" t="s">
        <v>1232</v>
      </c>
      <c r="AS53" t="s">
        <v>74</v>
      </c>
      <c r="AT53" t="s">
        <v>74</v>
      </c>
      <c r="AU53">
        <v>2014</v>
      </c>
      <c r="AV53">
        <v>38</v>
      </c>
      <c r="AW53" t="s">
        <v>74</v>
      </c>
      <c r="AX53" t="s">
        <v>74</v>
      </c>
      <c r="AY53" t="s">
        <v>74</v>
      </c>
      <c r="AZ53" t="s">
        <v>74</v>
      </c>
      <c r="BA53" t="s">
        <v>74</v>
      </c>
      <c r="BB53">
        <v>217</v>
      </c>
      <c r="BC53">
        <v>222</v>
      </c>
      <c r="BD53" t="s">
        <v>74</v>
      </c>
      <c r="BE53" t="s">
        <v>1233</v>
      </c>
      <c r="BF53" t="str">
        <f>HYPERLINK("http://dx.doi.org/10.3303/CET1438037","http://dx.doi.org/10.3303/CET1438037")</f>
        <v>http://dx.doi.org/10.3303/CET1438037</v>
      </c>
      <c r="BG53" t="s">
        <v>74</v>
      </c>
      <c r="BH53" t="s">
        <v>74</v>
      </c>
      <c r="BI53">
        <v>6</v>
      </c>
      <c r="BJ53" t="s">
        <v>1234</v>
      </c>
      <c r="BK53" t="s">
        <v>905</v>
      </c>
      <c r="BL53" t="s">
        <v>1235</v>
      </c>
      <c r="BM53" t="s">
        <v>1236</v>
      </c>
      <c r="BN53" t="s">
        <v>74</v>
      </c>
      <c r="BO53" t="s">
        <v>74</v>
      </c>
      <c r="BP53" t="s">
        <v>74</v>
      </c>
      <c r="BQ53" t="s">
        <v>74</v>
      </c>
      <c r="BR53" t="s">
        <v>103</v>
      </c>
      <c r="BS53" t="s">
        <v>1237</v>
      </c>
      <c r="BT53" t="str">
        <f>HYPERLINK("https%3A%2F%2Fwww.webofscience.com%2Fwos%2Fwoscc%2Ffull-record%2FWOS:000346539600038","View Full Record in Web of Science")</f>
        <v>View Full Record in Web of Science</v>
      </c>
    </row>
    <row r="54" spans="1:72" x14ac:dyDescent="0.15">
      <c r="A54" t="s">
        <v>72</v>
      </c>
      <c r="B54" t="s">
        <v>1238</v>
      </c>
      <c r="C54" t="s">
        <v>74</v>
      </c>
      <c r="D54" t="s">
        <v>74</v>
      </c>
      <c r="E54" t="s">
        <v>74</v>
      </c>
      <c r="F54" t="s">
        <v>1239</v>
      </c>
      <c r="G54" t="s">
        <v>74</v>
      </c>
      <c r="H54" t="s">
        <v>74</v>
      </c>
      <c r="I54" t="s">
        <v>1240</v>
      </c>
      <c r="J54" t="s">
        <v>1241</v>
      </c>
      <c r="K54" t="s">
        <v>74</v>
      </c>
      <c r="L54" t="s">
        <v>74</v>
      </c>
      <c r="M54" t="s">
        <v>78</v>
      </c>
      <c r="N54" t="s">
        <v>79</v>
      </c>
      <c r="O54" t="s">
        <v>74</v>
      </c>
      <c r="P54" t="s">
        <v>74</v>
      </c>
      <c r="Q54" t="s">
        <v>74</v>
      </c>
      <c r="R54" t="s">
        <v>74</v>
      </c>
      <c r="S54" t="s">
        <v>74</v>
      </c>
      <c r="T54" t="s">
        <v>1242</v>
      </c>
      <c r="U54" t="s">
        <v>1243</v>
      </c>
      <c r="V54" t="s">
        <v>1244</v>
      </c>
      <c r="W54" t="s">
        <v>1245</v>
      </c>
      <c r="X54" t="s">
        <v>1246</v>
      </c>
      <c r="Y54" t="s">
        <v>1247</v>
      </c>
      <c r="Z54" t="s">
        <v>1248</v>
      </c>
      <c r="AA54" t="s">
        <v>74</v>
      </c>
      <c r="AB54" t="s">
        <v>74</v>
      </c>
      <c r="AC54" t="s">
        <v>1249</v>
      </c>
      <c r="AD54" t="s">
        <v>1249</v>
      </c>
      <c r="AE54" t="s">
        <v>1250</v>
      </c>
      <c r="AF54" t="s">
        <v>74</v>
      </c>
      <c r="AG54">
        <v>61</v>
      </c>
      <c r="AH54">
        <v>18</v>
      </c>
      <c r="AI54">
        <v>22</v>
      </c>
      <c r="AJ54">
        <v>0</v>
      </c>
      <c r="AK54">
        <v>44</v>
      </c>
      <c r="AL54" t="s">
        <v>410</v>
      </c>
      <c r="AM54" t="s">
        <v>411</v>
      </c>
      <c r="AN54" t="s">
        <v>412</v>
      </c>
      <c r="AO54" t="s">
        <v>1251</v>
      </c>
      <c r="AP54" t="s">
        <v>1252</v>
      </c>
      <c r="AQ54" t="s">
        <v>74</v>
      </c>
      <c r="AR54" t="s">
        <v>1241</v>
      </c>
      <c r="AS54" t="s">
        <v>1253</v>
      </c>
      <c r="AT54" t="s">
        <v>417</v>
      </c>
      <c r="AU54">
        <v>2014</v>
      </c>
      <c r="AV54">
        <v>156</v>
      </c>
      <c r="AW54">
        <v>1</v>
      </c>
      <c r="AX54" t="s">
        <v>74</v>
      </c>
      <c r="AY54" t="s">
        <v>74</v>
      </c>
      <c r="AZ54" t="s">
        <v>74</v>
      </c>
      <c r="BA54" t="s">
        <v>74</v>
      </c>
      <c r="BB54">
        <v>73</v>
      </c>
      <c r="BC54">
        <v>83</v>
      </c>
      <c r="BD54" t="s">
        <v>74</v>
      </c>
      <c r="BE54" t="s">
        <v>1254</v>
      </c>
      <c r="BF54" t="str">
        <f>HYPERLINK("http://dx.doi.org/10.1111/ibi.12122","http://dx.doi.org/10.1111/ibi.12122")</f>
        <v>http://dx.doi.org/10.1111/ibi.12122</v>
      </c>
      <c r="BG54" t="s">
        <v>74</v>
      </c>
      <c r="BH54" t="s">
        <v>74</v>
      </c>
      <c r="BI54">
        <v>11</v>
      </c>
      <c r="BJ54" t="s">
        <v>447</v>
      </c>
      <c r="BK54" t="s">
        <v>99</v>
      </c>
      <c r="BL54" t="s">
        <v>448</v>
      </c>
      <c r="BM54" t="s">
        <v>1255</v>
      </c>
      <c r="BN54" t="s">
        <v>74</v>
      </c>
      <c r="BO54" t="s">
        <v>74</v>
      </c>
      <c r="BP54" t="s">
        <v>74</v>
      </c>
      <c r="BQ54" t="s">
        <v>74</v>
      </c>
      <c r="BR54" t="s">
        <v>103</v>
      </c>
      <c r="BS54" t="s">
        <v>1256</v>
      </c>
      <c r="BT54" t="str">
        <f>HYPERLINK("https%3A%2F%2Fwww.webofscience.com%2Fwos%2Fwoscc%2Ffull-record%2FWOS:000328545700006","View Full Record in Web of Science")</f>
        <v>View Full Record in Web of Science</v>
      </c>
    </row>
    <row r="55" spans="1:72" x14ac:dyDescent="0.15">
      <c r="A55" t="s">
        <v>1053</v>
      </c>
      <c r="B55" t="s">
        <v>1257</v>
      </c>
      <c r="C55" t="s">
        <v>74</v>
      </c>
      <c r="D55" t="s">
        <v>1258</v>
      </c>
      <c r="E55" t="s">
        <v>74</v>
      </c>
      <c r="F55" t="s">
        <v>1259</v>
      </c>
      <c r="G55" t="s">
        <v>74</v>
      </c>
      <c r="H55" t="s">
        <v>74</v>
      </c>
      <c r="I55" t="s">
        <v>1260</v>
      </c>
      <c r="J55" t="s">
        <v>1261</v>
      </c>
      <c r="K55" t="s">
        <v>1262</v>
      </c>
      <c r="L55" t="s">
        <v>74</v>
      </c>
      <c r="M55" t="s">
        <v>78</v>
      </c>
      <c r="N55" t="s">
        <v>244</v>
      </c>
      <c r="O55" t="s">
        <v>74</v>
      </c>
      <c r="P55" t="s">
        <v>74</v>
      </c>
      <c r="Q55" t="s">
        <v>74</v>
      </c>
      <c r="R55" t="s">
        <v>74</v>
      </c>
      <c r="S55" t="s">
        <v>74</v>
      </c>
      <c r="T55" t="s">
        <v>74</v>
      </c>
      <c r="U55" t="s">
        <v>1263</v>
      </c>
      <c r="V55" t="s">
        <v>1264</v>
      </c>
      <c r="W55" t="s">
        <v>74</v>
      </c>
      <c r="X55" t="s">
        <v>74</v>
      </c>
      <c r="Y55" t="s">
        <v>74</v>
      </c>
      <c r="Z55" t="s">
        <v>74</v>
      </c>
      <c r="AA55" t="s">
        <v>74</v>
      </c>
      <c r="AB55" t="s">
        <v>1265</v>
      </c>
      <c r="AC55" t="s">
        <v>74</v>
      </c>
      <c r="AD55" t="s">
        <v>74</v>
      </c>
      <c r="AE55" t="s">
        <v>74</v>
      </c>
      <c r="AF55" t="s">
        <v>74</v>
      </c>
      <c r="AG55">
        <v>55</v>
      </c>
      <c r="AH55">
        <v>13</v>
      </c>
      <c r="AI55">
        <v>13</v>
      </c>
      <c r="AJ55">
        <v>0</v>
      </c>
      <c r="AK55">
        <v>0</v>
      </c>
      <c r="AL55" t="s">
        <v>1266</v>
      </c>
      <c r="AM55" t="s">
        <v>1267</v>
      </c>
      <c r="AN55" t="s">
        <v>1268</v>
      </c>
      <c r="AO55" t="s">
        <v>1269</v>
      </c>
      <c r="AP55" t="s">
        <v>74</v>
      </c>
      <c r="AQ55" t="s">
        <v>1270</v>
      </c>
      <c r="AR55" t="s">
        <v>1271</v>
      </c>
      <c r="AS55" t="s">
        <v>74</v>
      </c>
      <c r="AT55" t="s">
        <v>74</v>
      </c>
      <c r="AU55">
        <v>2014</v>
      </c>
      <c r="AV55">
        <v>55</v>
      </c>
      <c r="AW55" t="s">
        <v>74</v>
      </c>
      <c r="AX55" t="s">
        <v>74</v>
      </c>
      <c r="AY55" t="s">
        <v>74</v>
      </c>
      <c r="AZ55" t="s">
        <v>74</v>
      </c>
      <c r="BA55" t="s">
        <v>74</v>
      </c>
      <c r="BB55">
        <v>29</v>
      </c>
      <c r="BC55">
        <v>53</v>
      </c>
      <c r="BD55" t="s">
        <v>74</v>
      </c>
      <c r="BE55" t="s">
        <v>74</v>
      </c>
      <c r="BF55" t="s">
        <v>74</v>
      </c>
      <c r="BG55" t="s">
        <v>1272</v>
      </c>
      <c r="BH55" t="s">
        <v>74</v>
      </c>
      <c r="BI55">
        <v>25</v>
      </c>
      <c r="BJ55" t="s">
        <v>1273</v>
      </c>
      <c r="BK55" t="s">
        <v>1274</v>
      </c>
      <c r="BL55" t="s">
        <v>1275</v>
      </c>
      <c r="BM55" t="s">
        <v>1276</v>
      </c>
      <c r="BN55" t="s">
        <v>74</v>
      </c>
      <c r="BO55" t="s">
        <v>74</v>
      </c>
      <c r="BP55" t="s">
        <v>74</v>
      </c>
      <c r="BQ55" t="s">
        <v>74</v>
      </c>
      <c r="BR55" t="s">
        <v>103</v>
      </c>
      <c r="BS55" t="s">
        <v>1277</v>
      </c>
      <c r="BT55" t="str">
        <f>HYPERLINK("https%3A%2F%2Fwww.webofscience.com%2Fwos%2Fwoscc%2Ffull-record%2FWOS:000424510800002","View Full Record in Web of Science")</f>
        <v>View Full Record in Web of Science</v>
      </c>
    </row>
    <row r="56" spans="1:72" x14ac:dyDescent="0.15">
      <c r="A56" t="s">
        <v>72</v>
      </c>
      <c r="B56" t="s">
        <v>1278</v>
      </c>
      <c r="C56" t="s">
        <v>74</v>
      </c>
      <c r="D56" t="s">
        <v>74</v>
      </c>
      <c r="E56" t="s">
        <v>74</v>
      </c>
      <c r="F56" t="s">
        <v>1279</v>
      </c>
      <c r="G56" t="s">
        <v>74</v>
      </c>
      <c r="H56" t="s">
        <v>74</v>
      </c>
      <c r="I56" t="s">
        <v>1280</v>
      </c>
      <c r="J56" t="s">
        <v>1281</v>
      </c>
      <c r="K56" t="s">
        <v>74</v>
      </c>
      <c r="L56" t="s">
        <v>74</v>
      </c>
      <c r="M56" t="s">
        <v>78</v>
      </c>
      <c r="N56" t="s">
        <v>79</v>
      </c>
      <c r="O56" t="s">
        <v>74</v>
      </c>
      <c r="P56" t="s">
        <v>74</v>
      </c>
      <c r="Q56" t="s">
        <v>74</v>
      </c>
      <c r="R56" t="s">
        <v>74</v>
      </c>
      <c r="S56" t="s">
        <v>74</v>
      </c>
      <c r="T56" t="s">
        <v>1282</v>
      </c>
      <c r="U56" t="s">
        <v>1283</v>
      </c>
      <c r="V56" t="s">
        <v>1284</v>
      </c>
      <c r="W56" t="s">
        <v>1285</v>
      </c>
      <c r="X56" t="s">
        <v>1286</v>
      </c>
      <c r="Y56" t="s">
        <v>1287</v>
      </c>
      <c r="Z56" t="s">
        <v>1288</v>
      </c>
      <c r="AA56" t="s">
        <v>1289</v>
      </c>
      <c r="AB56" t="s">
        <v>1290</v>
      </c>
      <c r="AC56" t="s">
        <v>1291</v>
      </c>
      <c r="AD56" t="s">
        <v>1292</v>
      </c>
      <c r="AE56" t="s">
        <v>1293</v>
      </c>
      <c r="AF56" t="s">
        <v>74</v>
      </c>
      <c r="AG56">
        <v>62</v>
      </c>
      <c r="AH56">
        <v>22</v>
      </c>
      <c r="AI56">
        <v>27</v>
      </c>
      <c r="AJ56">
        <v>1</v>
      </c>
      <c r="AK56">
        <v>32</v>
      </c>
      <c r="AL56" t="s">
        <v>1294</v>
      </c>
      <c r="AM56" t="s">
        <v>1295</v>
      </c>
      <c r="AN56" t="s">
        <v>1296</v>
      </c>
      <c r="AO56" t="s">
        <v>1297</v>
      </c>
      <c r="AP56" t="s">
        <v>74</v>
      </c>
      <c r="AQ56" t="s">
        <v>74</v>
      </c>
      <c r="AR56" t="s">
        <v>1298</v>
      </c>
      <c r="AS56" t="s">
        <v>1299</v>
      </c>
      <c r="AT56" t="s">
        <v>74</v>
      </c>
      <c r="AU56">
        <v>2014</v>
      </c>
      <c r="AV56">
        <v>10</v>
      </c>
      <c r="AW56">
        <v>7</v>
      </c>
      <c r="AX56" t="s">
        <v>74</v>
      </c>
      <c r="AY56" t="s">
        <v>74</v>
      </c>
      <c r="AZ56" t="s">
        <v>74</v>
      </c>
      <c r="BA56" t="s">
        <v>74</v>
      </c>
      <c r="BB56">
        <v>715</v>
      </c>
      <c r="BC56">
        <v>732</v>
      </c>
      <c r="BD56" t="s">
        <v>74</v>
      </c>
      <c r="BE56" t="s">
        <v>1300</v>
      </c>
      <c r="BF56" t="str">
        <f>HYPERLINK("http://dx.doi.org/10.7150/ijbs.9126","http://dx.doi.org/10.7150/ijbs.9126")</f>
        <v>http://dx.doi.org/10.7150/ijbs.9126</v>
      </c>
      <c r="BG56" t="s">
        <v>74</v>
      </c>
      <c r="BH56" t="s">
        <v>74</v>
      </c>
      <c r="BI56">
        <v>18</v>
      </c>
      <c r="BJ56" t="s">
        <v>1301</v>
      </c>
      <c r="BK56" t="s">
        <v>99</v>
      </c>
      <c r="BL56" t="s">
        <v>1302</v>
      </c>
      <c r="BM56" t="s">
        <v>1303</v>
      </c>
      <c r="BN56">
        <v>25013380</v>
      </c>
      <c r="BO56" t="s">
        <v>1304</v>
      </c>
      <c r="BP56" t="s">
        <v>74</v>
      </c>
      <c r="BQ56" t="s">
        <v>74</v>
      </c>
      <c r="BR56" t="s">
        <v>103</v>
      </c>
      <c r="BS56" t="s">
        <v>1305</v>
      </c>
      <c r="BT56" t="str">
        <f>HYPERLINK("https%3A%2F%2Fwww.webofscience.com%2Fwos%2Fwoscc%2Ffull-record%2FWOS:000339317100006","View Full Record in Web of Science")</f>
        <v>View Full Record in Web of Science</v>
      </c>
    </row>
    <row r="57" spans="1:72" x14ac:dyDescent="0.15">
      <c r="A57" t="s">
        <v>72</v>
      </c>
      <c r="B57" t="s">
        <v>1306</v>
      </c>
      <c r="C57" t="s">
        <v>74</v>
      </c>
      <c r="D57" t="s">
        <v>74</v>
      </c>
      <c r="E57" t="s">
        <v>74</v>
      </c>
      <c r="F57" t="s">
        <v>1307</v>
      </c>
      <c r="G57" t="s">
        <v>74</v>
      </c>
      <c r="H57" t="s">
        <v>74</v>
      </c>
      <c r="I57" t="s">
        <v>1308</v>
      </c>
      <c r="J57" t="s">
        <v>1309</v>
      </c>
      <c r="K57" t="s">
        <v>74</v>
      </c>
      <c r="L57" t="s">
        <v>74</v>
      </c>
      <c r="M57" t="s">
        <v>78</v>
      </c>
      <c r="N57" t="s">
        <v>79</v>
      </c>
      <c r="O57" t="s">
        <v>74</v>
      </c>
      <c r="P57" t="s">
        <v>74</v>
      </c>
      <c r="Q57" t="s">
        <v>74</v>
      </c>
      <c r="R57" t="s">
        <v>74</v>
      </c>
      <c r="S57" t="s">
        <v>74</v>
      </c>
      <c r="T57" t="s">
        <v>1310</v>
      </c>
      <c r="U57" t="s">
        <v>1311</v>
      </c>
      <c r="V57" t="s">
        <v>1312</v>
      </c>
      <c r="W57" t="s">
        <v>1313</v>
      </c>
      <c r="X57" t="s">
        <v>1314</v>
      </c>
      <c r="Y57" t="s">
        <v>1315</v>
      </c>
      <c r="Z57" t="s">
        <v>1316</v>
      </c>
      <c r="AA57" t="s">
        <v>1317</v>
      </c>
      <c r="AB57" t="s">
        <v>1318</v>
      </c>
      <c r="AC57" t="s">
        <v>1319</v>
      </c>
      <c r="AD57" t="s">
        <v>1320</v>
      </c>
      <c r="AE57" t="s">
        <v>1321</v>
      </c>
      <c r="AF57" t="s">
        <v>74</v>
      </c>
      <c r="AG57">
        <v>58</v>
      </c>
      <c r="AH57">
        <v>68</v>
      </c>
      <c r="AI57">
        <v>68</v>
      </c>
      <c r="AJ57">
        <v>0</v>
      </c>
      <c r="AK57">
        <v>30</v>
      </c>
      <c r="AL57" t="s">
        <v>513</v>
      </c>
      <c r="AM57" t="s">
        <v>514</v>
      </c>
      <c r="AN57" t="s">
        <v>515</v>
      </c>
      <c r="AO57" t="s">
        <v>1322</v>
      </c>
      <c r="AP57" t="s">
        <v>1323</v>
      </c>
      <c r="AQ57" t="s">
        <v>74</v>
      </c>
      <c r="AR57" t="s">
        <v>1324</v>
      </c>
      <c r="AS57" t="s">
        <v>1325</v>
      </c>
      <c r="AT57" t="s">
        <v>74</v>
      </c>
      <c r="AU57">
        <v>2014</v>
      </c>
      <c r="AV57">
        <v>23</v>
      </c>
      <c r="AW57">
        <v>3</v>
      </c>
      <c r="AX57" t="s">
        <v>74</v>
      </c>
      <c r="AY57" t="s">
        <v>74</v>
      </c>
      <c r="AZ57" t="s">
        <v>74</v>
      </c>
      <c r="BA57" t="s">
        <v>74</v>
      </c>
      <c r="BB57">
        <v>309</v>
      </c>
      <c r="BC57">
        <v>321</v>
      </c>
      <c r="BD57" t="s">
        <v>74</v>
      </c>
      <c r="BE57" t="s">
        <v>1326</v>
      </c>
      <c r="BF57" t="str">
        <f>HYPERLINK("http://dx.doi.org/10.1071/WF13126","http://dx.doi.org/10.1071/WF13126")</f>
        <v>http://dx.doi.org/10.1071/WF13126</v>
      </c>
      <c r="BG57" t="s">
        <v>74</v>
      </c>
      <c r="BH57" t="s">
        <v>74</v>
      </c>
      <c r="BI57">
        <v>13</v>
      </c>
      <c r="BJ57" t="s">
        <v>1327</v>
      </c>
      <c r="BK57" t="s">
        <v>99</v>
      </c>
      <c r="BL57" t="s">
        <v>1327</v>
      </c>
      <c r="BM57" t="s">
        <v>1328</v>
      </c>
      <c r="BN57" t="s">
        <v>74</v>
      </c>
      <c r="BO57" t="s">
        <v>74</v>
      </c>
      <c r="BP57" t="s">
        <v>74</v>
      </c>
      <c r="BQ57" t="s">
        <v>74</v>
      </c>
      <c r="BR57" t="s">
        <v>103</v>
      </c>
      <c r="BS57" t="s">
        <v>1329</v>
      </c>
      <c r="BT57" t="str">
        <f>HYPERLINK("https%3A%2F%2Fwww.webofscience.com%2Fwos%2Fwoscc%2Ffull-record%2FWOS:000335468000002","View Full Record in Web of Science")</f>
        <v>View Full Record in Web of Science</v>
      </c>
    </row>
    <row r="58" spans="1:72" x14ac:dyDescent="0.15">
      <c r="A58" t="s">
        <v>72</v>
      </c>
      <c r="B58" t="s">
        <v>1330</v>
      </c>
      <c r="C58" t="s">
        <v>74</v>
      </c>
      <c r="D58" t="s">
        <v>74</v>
      </c>
      <c r="E58" t="s">
        <v>74</v>
      </c>
      <c r="F58" t="s">
        <v>1331</v>
      </c>
      <c r="G58" t="s">
        <v>74</v>
      </c>
      <c r="H58" t="s">
        <v>74</v>
      </c>
      <c r="I58" t="s">
        <v>1332</v>
      </c>
      <c r="J58" t="s">
        <v>1333</v>
      </c>
      <c r="K58" t="s">
        <v>74</v>
      </c>
      <c r="L58" t="s">
        <v>74</v>
      </c>
      <c r="M58" t="s">
        <v>78</v>
      </c>
      <c r="N58" t="s">
        <v>79</v>
      </c>
      <c r="O58" t="s">
        <v>74</v>
      </c>
      <c r="P58" t="s">
        <v>74</v>
      </c>
      <c r="Q58" t="s">
        <v>74</v>
      </c>
      <c r="R58" t="s">
        <v>74</v>
      </c>
      <c r="S58" t="s">
        <v>74</v>
      </c>
      <c r="T58" t="s">
        <v>1334</v>
      </c>
      <c r="U58" t="s">
        <v>1335</v>
      </c>
      <c r="V58" t="s">
        <v>1336</v>
      </c>
      <c r="W58" t="s">
        <v>1337</v>
      </c>
      <c r="X58" t="s">
        <v>1338</v>
      </c>
      <c r="Y58" t="s">
        <v>1339</v>
      </c>
      <c r="Z58" t="s">
        <v>1340</v>
      </c>
      <c r="AA58" t="s">
        <v>1341</v>
      </c>
      <c r="AB58" t="s">
        <v>1342</v>
      </c>
      <c r="AC58" t="s">
        <v>1343</v>
      </c>
      <c r="AD58" t="s">
        <v>1344</v>
      </c>
      <c r="AE58" t="s">
        <v>1345</v>
      </c>
      <c r="AF58" t="s">
        <v>74</v>
      </c>
      <c r="AG58">
        <v>318</v>
      </c>
      <c r="AH58">
        <v>195</v>
      </c>
      <c r="AI58">
        <v>216</v>
      </c>
      <c r="AJ58">
        <v>8</v>
      </c>
      <c r="AK58">
        <v>113</v>
      </c>
      <c r="AL58" t="s">
        <v>513</v>
      </c>
      <c r="AM58" t="s">
        <v>514</v>
      </c>
      <c r="AN58" t="s">
        <v>515</v>
      </c>
      <c r="AO58" t="s">
        <v>1346</v>
      </c>
      <c r="AP58" t="s">
        <v>1347</v>
      </c>
      <c r="AQ58" t="s">
        <v>74</v>
      </c>
      <c r="AR58" t="s">
        <v>1348</v>
      </c>
      <c r="AS58" t="s">
        <v>1349</v>
      </c>
      <c r="AT58" t="s">
        <v>74</v>
      </c>
      <c r="AU58">
        <v>2014</v>
      </c>
      <c r="AV58">
        <v>28</v>
      </c>
      <c r="AW58">
        <v>1</v>
      </c>
      <c r="AX58" t="s">
        <v>74</v>
      </c>
      <c r="AY58" t="s">
        <v>74</v>
      </c>
      <c r="AZ58" t="s">
        <v>74</v>
      </c>
      <c r="BA58" t="s">
        <v>74</v>
      </c>
      <c r="BB58">
        <v>32</v>
      </c>
      <c r="BC58">
        <v>115</v>
      </c>
      <c r="BD58" t="s">
        <v>74</v>
      </c>
      <c r="BE58" t="s">
        <v>1350</v>
      </c>
      <c r="BF58" t="str">
        <f>HYPERLINK("http://dx.doi.org/10.1071/IS13010","http://dx.doi.org/10.1071/IS13010")</f>
        <v>http://dx.doi.org/10.1071/IS13010</v>
      </c>
      <c r="BG58" t="s">
        <v>74</v>
      </c>
      <c r="BH58" t="s">
        <v>74</v>
      </c>
      <c r="BI58">
        <v>84</v>
      </c>
      <c r="BJ58" t="s">
        <v>1351</v>
      </c>
      <c r="BK58" t="s">
        <v>99</v>
      </c>
      <c r="BL58" t="s">
        <v>1351</v>
      </c>
      <c r="BM58" t="s">
        <v>1352</v>
      </c>
      <c r="BN58" t="s">
        <v>74</v>
      </c>
      <c r="BO58" t="s">
        <v>1353</v>
      </c>
      <c r="BP58" t="s">
        <v>120</v>
      </c>
      <c r="BQ58" t="s">
        <v>121</v>
      </c>
      <c r="BR58" t="s">
        <v>103</v>
      </c>
      <c r="BS58" t="s">
        <v>1354</v>
      </c>
      <c r="BT58" t="str">
        <f>HYPERLINK("https%3A%2F%2Fwww.webofscience.com%2Fwos%2Fwoscc%2Ffull-record%2FWOS:000333043200003","View Full Record in Web of Science")</f>
        <v>View Full Record in Web of Science</v>
      </c>
    </row>
    <row r="59" spans="1:72" x14ac:dyDescent="0.15">
      <c r="A59" t="s">
        <v>72</v>
      </c>
      <c r="B59" t="s">
        <v>1355</v>
      </c>
      <c r="C59" t="s">
        <v>74</v>
      </c>
      <c r="D59" t="s">
        <v>74</v>
      </c>
      <c r="E59" t="s">
        <v>74</v>
      </c>
      <c r="F59" t="s">
        <v>1356</v>
      </c>
      <c r="G59" t="s">
        <v>74</v>
      </c>
      <c r="H59" t="s">
        <v>74</v>
      </c>
      <c r="I59" t="s">
        <v>1357</v>
      </c>
      <c r="J59" t="s">
        <v>1358</v>
      </c>
      <c r="K59" t="s">
        <v>74</v>
      </c>
      <c r="L59" t="s">
        <v>74</v>
      </c>
      <c r="M59" t="s">
        <v>78</v>
      </c>
      <c r="N59" t="s">
        <v>79</v>
      </c>
      <c r="O59" t="s">
        <v>74</v>
      </c>
      <c r="P59" t="s">
        <v>74</v>
      </c>
      <c r="Q59" t="s">
        <v>74</v>
      </c>
      <c r="R59" t="s">
        <v>74</v>
      </c>
      <c r="S59" t="s">
        <v>74</v>
      </c>
      <c r="T59" t="s">
        <v>1359</v>
      </c>
      <c r="U59" t="s">
        <v>1360</v>
      </c>
      <c r="V59" t="s">
        <v>1361</v>
      </c>
      <c r="W59" t="s">
        <v>1362</v>
      </c>
      <c r="X59" t="s">
        <v>1363</v>
      </c>
      <c r="Y59" t="s">
        <v>1364</v>
      </c>
      <c r="Z59" t="s">
        <v>1365</v>
      </c>
      <c r="AA59" t="s">
        <v>1366</v>
      </c>
      <c r="AB59" t="s">
        <v>1367</v>
      </c>
      <c r="AC59" t="s">
        <v>1368</v>
      </c>
      <c r="AD59" t="s">
        <v>1369</v>
      </c>
      <c r="AE59" t="s">
        <v>1370</v>
      </c>
      <c r="AF59" t="s">
        <v>74</v>
      </c>
      <c r="AG59">
        <v>85</v>
      </c>
      <c r="AH59">
        <v>76</v>
      </c>
      <c r="AI59">
        <v>79</v>
      </c>
      <c r="AJ59">
        <v>0</v>
      </c>
      <c r="AK59">
        <v>24</v>
      </c>
      <c r="AL59" t="s">
        <v>1371</v>
      </c>
      <c r="AM59" t="s">
        <v>849</v>
      </c>
      <c r="AN59" t="s">
        <v>1372</v>
      </c>
      <c r="AO59" t="s">
        <v>1373</v>
      </c>
      <c r="AP59" t="s">
        <v>1374</v>
      </c>
      <c r="AQ59" t="s">
        <v>74</v>
      </c>
      <c r="AR59" t="s">
        <v>1375</v>
      </c>
      <c r="AS59" t="s">
        <v>1376</v>
      </c>
      <c r="AT59" t="s">
        <v>417</v>
      </c>
      <c r="AU59">
        <v>2014</v>
      </c>
      <c r="AV59">
        <v>8</v>
      </c>
      <c r="AW59">
        <v>1</v>
      </c>
      <c r="AX59" t="s">
        <v>74</v>
      </c>
      <c r="AY59" t="s">
        <v>74</v>
      </c>
      <c r="AZ59" t="s">
        <v>74</v>
      </c>
      <c r="BA59" t="s">
        <v>74</v>
      </c>
      <c r="BB59">
        <v>115</v>
      </c>
      <c r="BC59">
        <v>125</v>
      </c>
      <c r="BD59" t="s">
        <v>74</v>
      </c>
      <c r="BE59" t="s">
        <v>1377</v>
      </c>
      <c r="BF59" t="str">
        <f>HYPERLINK("http://dx.doi.org/10.1038/ismej.2013.142","http://dx.doi.org/10.1038/ismej.2013.142")</f>
        <v>http://dx.doi.org/10.1038/ismej.2013.142</v>
      </c>
      <c r="BG59" t="s">
        <v>74</v>
      </c>
      <c r="BH59" t="s">
        <v>74</v>
      </c>
      <c r="BI59">
        <v>11</v>
      </c>
      <c r="BJ59" t="s">
        <v>1378</v>
      </c>
      <c r="BK59" t="s">
        <v>99</v>
      </c>
      <c r="BL59" t="s">
        <v>1379</v>
      </c>
      <c r="BM59" t="s">
        <v>1380</v>
      </c>
      <c r="BN59">
        <v>23949660</v>
      </c>
      <c r="BO59" t="s">
        <v>1381</v>
      </c>
      <c r="BP59" t="s">
        <v>74</v>
      </c>
      <c r="BQ59" t="s">
        <v>74</v>
      </c>
      <c r="BR59" t="s">
        <v>103</v>
      </c>
      <c r="BS59" t="s">
        <v>1382</v>
      </c>
      <c r="BT59" t="str">
        <f>HYPERLINK("https%3A%2F%2Fwww.webofscience.com%2Fwos%2Fwoscc%2Ffull-record%2FWOS:000328605200012","View Full Record in Web of Science")</f>
        <v>View Full Record in Web of Science</v>
      </c>
    </row>
    <row r="60" spans="1:72" x14ac:dyDescent="0.15">
      <c r="A60" t="s">
        <v>881</v>
      </c>
      <c r="B60" t="s">
        <v>1383</v>
      </c>
      <c r="C60" t="s">
        <v>74</v>
      </c>
      <c r="D60" t="s">
        <v>1384</v>
      </c>
      <c r="E60" t="s">
        <v>74</v>
      </c>
      <c r="F60" t="s">
        <v>1385</v>
      </c>
      <c r="G60" t="s">
        <v>74</v>
      </c>
      <c r="H60" t="s">
        <v>74</v>
      </c>
      <c r="I60" t="s">
        <v>1386</v>
      </c>
      <c r="J60" t="s">
        <v>1387</v>
      </c>
      <c r="K60" t="s">
        <v>1388</v>
      </c>
      <c r="L60" t="s">
        <v>74</v>
      </c>
      <c r="M60" t="s">
        <v>78</v>
      </c>
      <c r="N60" t="s">
        <v>888</v>
      </c>
      <c r="O60" t="s">
        <v>1389</v>
      </c>
      <c r="P60" t="s">
        <v>1390</v>
      </c>
      <c r="Q60" t="s">
        <v>1391</v>
      </c>
      <c r="R60" t="s">
        <v>74</v>
      </c>
      <c r="S60" t="s">
        <v>74</v>
      </c>
      <c r="T60" t="s">
        <v>1392</v>
      </c>
      <c r="U60" t="s">
        <v>74</v>
      </c>
      <c r="V60" t="s">
        <v>1393</v>
      </c>
      <c r="W60" t="s">
        <v>1394</v>
      </c>
      <c r="X60" t="s">
        <v>1395</v>
      </c>
      <c r="Y60" t="s">
        <v>1396</v>
      </c>
      <c r="Z60" t="s">
        <v>1397</v>
      </c>
      <c r="AA60" t="s">
        <v>1398</v>
      </c>
      <c r="AB60" t="s">
        <v>74</v>
      </c>
      <c r="AC60" t="s">
        <v>74</v>
      </c>
      <c r="AD60" t="s">
        <v>74</v>
      </c>
      <c r="AE60" t="s">
        <v>74</v>
      </c>
      <c r="AF60" t="s">
        <v>74</v>
      </c>
      <c r="AG60">
        <v>10</v>
      </c>
      <c r="AH60">
        <v>2</v>
      </c>
      <c r="AI60">
        <v>2</v>
      </c>
      <c r="AJ60">
        <v>0</v>
      </c>
      <c r="AK60">
        <v>3</v>
      </c>
      <c r="AL60" t="s">
        <v>91</v>
      </c>
      <c r="AM60" t="s">
        <v>92</v>
      </c>
      <c r="AN60" t="s">
        <v>1399</v>
      </c>
      <c r="AO60" t="s">
        <v>1400</v>
      </c>
      <c r="AP60" t="s">
        <v>74</v>
      </c>
      <c r="AQ60" t="s">
        <v>74</v>
      </c>
      <c r="AR60" t="s">
        <v>1401</v>
      </c>
      <c r="AS60" t="s">
        <v>74</v>
      </c>
      <c r="AT60" t="s">
        <v>74</v>
      </c>
      <c r="AU60">
        <v>2014</v>
      </c>
      <c r="AV60" t="s">
        <v>1402</v>
      </c>
      <c r="AW60" t="s">
        <v>74</v>
      </c>
      <c r="AX60" t="s">
        <v>74</v>
      </c>
      <c r="AY60" t="s">
        <v>74</v>
      </c>
      <c r="AZ60" t="s">
        <v>74</v>
      </c>
      <c r="BA60" t="s">
        <v>74</v>
      </c>
      <c r="BB60">
        <v>505</v>
      </c>
      <c r="BC60">
        <v>509</v>
      </c>
      <c r="BD60" t="s">
        <v>74</v>
      </c>
      <c r="BE60" t="s">
        <v>1403</v>
      </c>
      <c r="BF60" t="str">
        <f>HYPERLINK("http://dx.doi.org/10.5194/isprsarchives-XL-8-505-2014","http://dx.doi.org/10.5194/isprsarchives-XL-8-505-2014")</f>
        <v>http://dx.doi.org/10.5194/isprsarchives-XL-8-505-2014</v>
      </c>
      <c r="BG60" t="s">
        <v>74</v>
      </c>
      <c r="BH60" t="s">
        <v>74</v>
      </c>
      <c r="BI60">
        <v>5</v>
      </c>
      <c r="BJ60" t="s">
        <v>1404</v>
      </c>
      <c r="BK60" t="s">
        <v>905</v>
      </c>
      <c r="BL60" t="s">
        <v>1405</v>
      </c>
      <c r="BM60" t="s">
        <v>1406</v>
      </c>
      <c r="BN60" t="s">
        <v>74</v>
      </c>
      <c r="BO60" t="s">
        <v>138</v>
      </c>
      <c r="BP60" t="s">
        <v>74</v>
      </c>
      <c r="BQ60" t="s">
        <v>74</v>
      </c>
      <c r="BR60" t="s">
        <v>103</v>
      </c>
      <c r="BS60" t="s">
        <v>1407</v>
      </c>
      <c r="BT60" t="str">
        <f>HYPERLINK("https%3A%2F%2Fwww.webofscience.com%2Fwos%2Fwoscc%2Ffull-record%2FWOS:000368425300079","View Full Record in Web of Science")</f>
        <v>View Full Record in Web of Science</v>
      </c>
    </row>
    <row r="61" spans="1:72" x14ac:dyDescent="0.15">
      <c r="A61" t="s">
        <v>881</v>
      </c>
      <c r="B61" t="s">
        <v>1408</v>
      </c>
      <c r="C61" t="s">
        <v>74</v>
      </c>
      <c r="D61" t="s">
        <v>1384</v>
      </c>
      <c r="E61" t="s">
        <v>74</v>
      </c>
      <c r="F61" t="s">
        <v>1409</v>
      </c>
      <c r="G61" t="s">
        <v>74</v>
      </c>
      <c r="H61" t="s">
        <v>74</v>
      </c>
      <c r="I61" t="s">
        <v>1410</v>
      </c>
      <c r="J61" t="s">
        <v>1387</v>
      </c>
      <c r="K61" t="s">
        <v>1388</v>
      </c>
      <c r="L61" t="s">
        <v>74</v>
      </c>
      <c r="M61" t="s">
        <v>78</v>
      </c>
      <c r="N61" t="s">
        <v>888</v>
      </c>
      <c r="O61" t="s">
        <v>1389</v>
      </c>
      <c r="P61" t="s">
        <v>1390</v>
      </c>
      <c r="Q61" t="s">
        <v>1391</v>
      </c>
      <c r="R61" t="s">
        <v>74</v>
      </c>
      <c r="S61" t="s">
        <v>74</v>
      </c>
      <c r="T61" t="s">
        <v>1411</v>
      </c>
      <c r="U61" t="s">
        <v>1412</v>
      </c>
      <c r="V61" t="s">
        <v>1413</v>
      </c>
      <c r="W61" t="s">
        <v>1414</v>
      </c>
      <c r="X61" t="s">
        <v>1415</v>
      </c>
      <c r="Y61" t="s">
        <v>1416</v>
      </c>
      <c r="Z61" t="s">
        <v>1417</v>
      </c>
      <c r="AA61" t="s">
        <v>1418</v>
      </c>
      <c r="AB61" t="s">
        <v>1419</v>
      </c>
      <c r="AC61" t="s">
        <v>74</v>
      </c>
      <c r="AD61" t="s">
        <v>74</v>
      </c>
      <c r="AE61" t="s">
        <v>74</v>
      </c>
      <c r="AF61" t="s">
        <v>74</v>
      </c>
      <c r="AG61">
        <v>31</v>
      </c>
      <c r="AH61">
        <v>8</v>
      </c>
      <c r="AI61">
        <v>8</v>
      </c>
      <c r="AJ61">
        <v>1</v>
      </c>
      <c r="AK61">
        <v>5</v>
      </c>
      <c r="AL61" t="s">
        <v>91</v>
      </c>
      <c r="AM61" t="s">
        <v>92</v>
      </c>
      <c r="AN61" t="s">
        <v>1399</v>
      </c>
      <c r="AO61" t="s">
        <v>1400</v>
      </c>
      <c r="AP61" t="s">
        <v>74</v>
      </c>
      <c r="AQ61" t="s">
        <v>74</v>
      </c>
      <c r="AR61" t="s">
        <v>1401</v>
      </c>
      <c r="AS61" t="s">
        <v>74</v>
      </c>
      <c r="AT61" t="s">
        <v>74</v>
      </c>
      <c r="AU61">
        <v>2014</v>
      </c>
      <c r="AV61" t="s">
        <v>1402</v>
      </c>
      <c r="AW61" t="s">
        <v>74</v>
      </c>
      <c r="AX61" t="s">
        <v>74</v>
      </c>
      <c r="AY61" t="s">
        <v>74</v>
      </c>
      <c r="AZ61" t="s">
        <v>74</v>
      </c>
      <c r="BA61" t="s">
        <v>74</v>
      </c>
      <c r="BB61">
        <v>517</v>
      </c>
      <c r="BC61">
        <v>524</v>
      </c>
      <c r="BD61" t="s">
        <v>74</v>
      </c>
      <c r="BE61" t="s">
        <v>1420</v>
      </c>
      <c r="BF61" t="str">
        <f>HYPERLINK("http://dx.doi.org/10.5194/isprsarchives-XL-8-517-2014","http://dx.doi.org/10.5194/isprsarchives-XL-8-517-2014")</f>
        <v>http://dx.doi.org/10.5194/isprsarchives-XL-8-517-2014</v>
      </c>
      <c r="BG61" t="s">
        <v>74</v>
      </c>
      <c r="BH61" t="s">
        <v>74</v>
      </c>
      <c r="BI61">
        <v>8</v>
      </c>
      <c r="BJ61" t="s">
        <v>1404</v>
      </c>
      <c r="BK61" t="s">
        <v>905</v>
      </c>
      <c r="BL61" t="s">
        <v>1405</v>
      </c>
      <c r="BM61" t="s">
        <v>1406</v>
      </c>
      <c r="BN61" t="s">
        <v>74</v>
      </c>
      <c r="BO61" t="s">
        <v>657</v>
      </c>
      <c r="BP61" t="s">
        <v>74</v>
      </c>
      <c r="BQ61" t="s">
        <v>74</v>
      </c>
      <c r="BR61" t="s">
        <v>103</v>
      </c>
      <c r="BS61" t="s">
        <v>1421</v>
      </c>
      <c r="BT61" t="str">
        <f>HYPERLINK("https%3A%2F%2Fwww.webofscience.com%2Fwos%2Fwoscc%2Ffull-record%2FWOS:000368425300081","View Full Record in Web of Science")</f>
        <v>View Full Record in Web of Science</v>
      </c>
    </row>
    <row r="62" spans="1:72" x14ac:dyDescent="0.15">
      <c r="A62" t="s">
        <v>881</v>
      </c>
      <c r="B62" t="s">
        <v>1422</v>
      </c>
      <c r="C62" t="s">
        <v>74</v>
      </c>
      <c r="D62" t="s">
        <v>1384</v>
      </c>
      <c r="E62" t="s">
        <v>74</v>
      </c>
      <c r="F62" t="s">
        <v>1423</v>
      </c>
      <c r="G62" t="s">
        <v>74</v>
      </c>
      <c r="H62" t="s">
        <v>74</v>
      </c>
      <c r="I62" t="s">
        <v>1424</v>
      </c>
      <c r="J62" t="s">
        <v>1387</v>
      </c>
      <c r="K62" t="s">
        <v>1388</v>
      </c>
      <c r="L62" t="s">
        <v>74</v>
      </c>
      <c r="M62" t="s">
        <v>78</v>
      </c>
      <c r="N62" t="s">
        <v>888</v>
      </c>
      <c r="O62" t="s">
        <v>1389</v>
      </c>
      <c r="P62" t="s">
        <v>1390</v>
      </c>
      <c r="Q62" t="s">
        <v>1391</v>
      </c>
      <c r="R62" t="s">
        <v>74</v>
      </c>
      <c r="S62" t="s">
        <v>74</v>
      </c>
      <c r="T62" t="s">
        <v>1425</v>
      </c>
      <c r="U62" t="s">
        <v>1426</v>
      </c>
      <c r="V62" t="s">
        <v>1427</v>
      </c>
      <c r="W62" t="s">
        <v>1428</v>
      </c>
      <c r="X62" t="s">
        <v>1429</v>
      </c>
      <c r="Y62" t="s">
        <v>1430</v>
      </c>
      <c r="Z62" t="s">
        <v>1431</v>
      </c>
      <c r="AA62" t="s">
        <v>1432</v>
      </c>
      <c r="AB62" t="s">
        <v>1433</v>
      </c>
      <c r="AC62" t="s">
        <v>74</v>
      </c>
      <c r="AD62" t="s">
        <v>74</v>
      </c>
      <c r="AE62" t="s">
        <v>74</v>
      </c>
      <c r="AF62" t="s">
        <v>74</v>
      </c>
      <c r="AG62">
        <v>18</v>
      </c>
      <c r="AH62">
        <v>2</v>
      </c>
      <c r="AI62">
        <v>2</v>
      </c>
      <c r="AJ62">
        <v>0</v>
      </c>
      <c r="AK62">
        <v>1</v>
      </c>
      <c r="AL62" t="s">
        <v>91</v>
      </c>
      <c r="AM62" t="s">
        <v>92</v>
      </c>
      <c r="AN62" t="s">
        <v>1399</v>
      </c>
      <c r="AO62" t="s">
        <v>1400</v>
      </c>
      <c r="AP62" t="s">
        <v>74</v>
      </c>
      <c r="AQ62" t="s">
        <v>74</v>
      </c>
      <c r="AR62" t="s">
        <v>1401</v>
      </c>
      <c r="AS62" t="s">
        <v>74</v>
      </c>
      <c r="AT62" t="s">
        <v>74</v>
      </c>
      <c r="AU62">
        <v>2014</v>
      </c>
      <c r="AV62" t="s">
        <v>1402</v>
      </c>
      <c r="AW62" t="s">
        <v>74</v>
      </c>
      <c r="AX62" t="s">
        <v>74</v>
      </c>
      <c r="AY62" t="s">
        <v>74</v>
      </c>
      <c r="AZ62" t="s">
        <v>74</v>
      </c>
      <c r="BA62" t="s">
        <v>74</v>
      </c>
      <c r="BB62">
        <v>525</v>
      </c>
      <c r="BC62">
        <v>529</v>
      </c>
      <c r="BD62" t="s">
        <v>74</v>
      </c>
      <c r="BE62" t="s">
        <v>1434</v>
      </c>
      <c r="BF62" t="str">
        <f>HYPERLINK("http://dx.doi.org/10.5194/isprsarchives-XL-8-525-2014","http://dx.doi.org/10.5194/isprsarchives-XL-8-525-2014")</f>
        <v>http://dx.doi.org/10.5194/isprsarchives-XL-8-525-2014</v>
      </c>
      <c r="BG62" t="s">
        <v>74</v>
      </c>
      <c r="BH62" t="s">
        <v>74</v>
      </c>
      <c r="BI62">
        <v>5</v>
      </c>
      <c r="BJ62" t="s">
        <v>1404</v>
      </c>
      <c r="BK62" t="s">
        <v>905</v>
      </c>
      <c r="BL62" t="s">
        <v>1405</v>
      </c>
      <c r="BM62" t="s">
        <v>1406</v>
      </c>
      <c r="BN62" t="s">
        <v>74</v>
      </c>
      <c r="BO62" t="s">
        <v>138</v>
      </c>
      <c r="BP62" t="s">
        <v>74</v>
      </c>
      <c r="BQ62" t="s">
        <v>74</v>
      </c>
      <c r="BR62" t="s">
        <v>103</v>
      </c>
      <c r="BS62" t="s">
        <v>1435</v>
      </c>
      <c r="BT62" t="str">
        <f>HYPERLINK("https%3A%2F%2Fwww.webofscience.com%2Fwos%2Fwoscc%2Ffull-record%2FWOS:000368425300082","View Full Record in Web of Science")</f>
        <v>View Full Record in Web of Science</v>
      </c>
    </row>
    <row r="63" spans="1:72" x14ac:dyDescent="0.15">
      <c r="A63" t="s">
        <v>881</v>
      </c>
      <c r="B63" t="s">
        <v>1436</v>
      </c>
      <c r="C63" t="s">
        <v>74</v>
      </c>
      <c r="D63" t="s">
        <v>1384</v>
      </c>
      <c r="E63" t="s">
        <v>74</v>
      </c>
      <c r="F63" t="s">
        <v>1437</v>
      </c>
      <c r="G63" t="s">
        <v>74</v>
      </c>
      <c r="H63" t="s">
        <v>74</v>
      </c>
      <c r="I63" t="s">
        <v>1438</v>
      </c>
      <c r="J63" t="s">
        <v>1387</v>
      </c>
      <c r="K63" t="s">
        <v>1388</v>
      </c>
      <c r="L63" t="s">
        <v>74</v>
      </c>
      <c r="M63" t="s">
        <v>78</v>
      </c>
      <c r="N63" t="s">
        <v>888</v>
      </c>
      <c r="O63" t="s">
        <v>1389</v>
      </c>
      <c r="P63" t="s">
        <v>1390</v>
      </c>
      <c r="Q63" t="s">
        <v>1391</v>
      </c>
      <c r="R63" t="s">
        <v>74</v>
      </c>
      <c r="S63" t="s">
        <v>74</v>
      </c>
      <c r="T63" t="s">
        <v>1439</v>
      </c>
      <c r="U63" t="s">
        <v>1440</v>
      </c>
      <c r="V63" t="s">
        <v>1441</v>
      </c>
      <c r="W63" t="s">
        <v>1442</v>
      </c>
      <c r="X63" t="s">
        <v>1443</v>
      </c>
      <c r="Y63" t="s">
        <v>1444</v>
      </c>
      <c r="Z63" t="s">
        <v>1445</v>
      </c>
      <c r="AA63" t="s">
        <v>1418</v>
      </c>
      <c r="AB63" t="s">
        <v>1419</v>
      </c>
      <c r="AC63" t="s">
        <v>74</v>
      </c>
      <c r="AD63" t="s">
        <v>74</v>
      </c>
      <c r="AE63" t="s">
        <v>74</v>
      </c>
      <c r="AF63" t="s">
        <v>74</v>
      </c>
      <c r="AG63">
        <v>34</v>
      </c>
      <c r="AH63">
        <v>1</v>
      </c>
      <c r="AI63">
        <v>3</v>
      </c>
      <c r="AJ63">
        <v>1</v>
      </c>
      <c r="AK63">
        <v>17</v>
      </c>
      <c r="AL63" t="s">
        <v>91</v>
      </c>
      <c r="AM63" t="s">
        <v>92</v>
      </c>
      <c r="AN63" t="s">
        <v>1399</v>
      </c>
      <c r="AO63" t="s">
        <v>1400</v>
      </c>
      <c r="AP63" t="s">
        <v>74</v>
      </c>
      <c r="AQ63" t="s">
        <v>74</v>
      </c>
      <c r="AR63" t="s">
        <v>1401</v>
      </c>
      <c r="AS63" t="s">
        <v>74</v>
      </c>
      <c r="AT63" t="s">
        <v>74</v>
      </c>
      <c r="AU63">
        <v>2014</v>
      </c>
      <c r="AV63" t="s">
        <v>1402</v>
      </c>
      <c r="AW63" t="s">
        <v>74</v>
      </c>
      <c r="AX63" t="s">
        <v>74</v>
      </c>
      <c r="AY63" t="s">
        <v>74</v>
      </c>
      <c r="AZ63" t="s">
        <v>74</v>
      </c>
      <c r="BA63" t="s">
        <v>74</v>
      </c>
      <c r="BB63">
        <v>573</v>
      </c>
      <c r="BC63">
        <v>580</v>
      </c>
      <c r="BD63" t="s">
        <v>74</v>
      </c>
      <c r="BE63" t="s">
        <v>1446</v>
      </c>
      <c r="BF63" t="str">
        <f>HYPERLINK("http://dx.doi.org/10.5194/isprsarchives-XL-8-573-2014","http://dx.doi.org/10.5194/isprsarchives-XL-8-573-2014")</f>
        <v>http://dx.doi.org/10.5194/isprsarchives-XL-8-573-2014</v>
      </c>
      <c r="BG63" t="s">
        <v>74</v>
      </c>
      <c r="BH63" t="s">
        <v>74</v>
      </c>
      <c r="BI63">
        <v>8</v>
      </c>
      <c r="BJ63" t="s">
        <v>1404</v>
      </c>
      <c r="BK63" t="s">
        <v>905</v>
      </c>
      <c r="BL63" t="s">
        <v>1405</v>
      </c>
      <c r="BM63" t="s">
        <v>1406</v>
      </c>
      <c r="BN63" t="s">
        <v>74</v>
      </c>
      <c r="BO63" t="s">
        <v>138</v>
      </c>
      <c r="BP63" t="s">
        <v>74</v>
      </c>
      <c r="BQ63" t="s">
        <v>74</v>
      </c>
      <c r="BR63" t="s">
        <v>103</v>
      </c>
      <c r="BS63" t="s">
        <v>1447</v>
      </c>
      <c r="BT63" t="str">
        <f>HYPERLINK("https%3A%2F%2Fwww.webofscience.com%2Fwos%2Fwoscc%2Ffull-record%2FWOS:000368425300090","View Full Record in Web of Science")</f>
        <v>View Full Record in Web of Science</v>
      </c>
    </row>
    <row r="64" spans="1:72" x14ac:dyDescent="0.15">
      <c r="A64" t="s">
        <v>881</v>
      </c>
      <c r="B64" t="s">
        <v>1436</v>
      </c>
      <c r="C64" t="s">
        <v>74</v>
      </c>
      <c r="D64" t="s">
        <v>1384</v>
      </c>
      <c r="E64" t="s">
        <v>74</v>
      </c>
      <c r="F64" t="s">
        <v>1437</v>
      </c>
      <c r="G64" t="s">
        <v>74</v>
      </c>
      <c r="H64" t="s">
        <v>74</v>
      </c>
      <c r="I64" t="s">
        <v>1448</v>
      </c>
      <c r="J64" t="s">
        <v>1387</v>
      </c>
      <c r="K64" t="s">
        <v>1388</v>
      </c>
      <c r="L64" t="s">
        <v>74</v>
      </c>
      <c r="M64" t="s">
        <v>78</v>
      </c>
      <c r="N64" t="s">
        <v>888</v>
      </c>
      <c r="O64" t="s">
        <v>1389</v>
      </c>
      <c r="P64" t="s">
        <v>1390</v>
      </c>
      <c r="Q64" t="s">
        <v>1391</v>
      </c>
      <c r="R64" t="s">
        <v>74</v>
      </c>
      <c r="S64" t="s">
        <v>74</v>
      </c>
      <c r="T64" t="s">
        <v>1449</v>
      </c>
      <c r="U64" t="s">
        <v>74</v>
      </c>
      <c r="V64" t="s">
        <v>1450</v>
      </c>
      <c r="W64" t="s">
        <v>1442</v>
      </c>
      <c r="X64" t="s">
        <v>1443</v>
      </c>
      <c r="Y64" t="s">
        <v>1444</v>
      </c>
      <c r="Z64" t="s">
        <v>1445</v>
      </c>
      <c r="AA64" t="s">
        <v>1418</v>
      </c>
      <c r="AB64" t="s">
        <v>1451</v>
      </c>
      <c r="AC64" t="s">
        <v>74</v>
      </c>
      <c r="AD64" t="s">
        <v>74</v>
      </c>
      <c r="AE64" t="s">
        <v>74</v>
      </c>
      <c r="AF64" t="s">
        <v>74</v>
      </c>
      <c r="AG64">
        <v>28</v>
      </c>
      <c r="AH64">
        <v>1</v>
      </c>
      <c r="AI64">
        <v>1</v>
      </c>
      <c r="AJ64">
        <v>0</v>
      </c>
      <c r="AK64">
        <v>2</v>
      </c>
      <c r="AL64" t="s">
        <v>91</v>
      </c>
      <c r="AM64" t="s">
        <v>92</v>
      </c>
      <c r="AN64" t="s">
        <v>1399</v>
      </c>
      <c r="AO64" t="s">
        <v>1400</v>
      </c>
      <c r="AP64" t="s">
        <v>74</v>
      </c>
      <c r="AQ64" t="s">
        <v>74</v>
      </c>
      <c r="AR64" t="s">
        <v>1401</v>
      </c>
      <c r="AS64" t="s">
        <v>74</v>
      </c>
      <c r="AT64" t="s">
        <v>74</v>
      </c>
      <c r="AU64">
        <v>2014</v>
      </c>
      <c r="AV64" t="s">
        <v>1402</v>
      </c>
      <c r="AW64" t="s">
        <v>74</v>
      </c>
      <c r="AX64" t="s">
        <v>74</v>
      </c>
      <c r="AY64" t="s">
        <v>74</v>
      </c>
      <c r="AZ64" t="s">
        <v>74</v>
      </c>
      <c r="BA64" t="s">
        <v>74</v>
      </c>
      <c r="BB64">
        <v>773</v>
      </c>
      <c r="BC64">
        <v>779</v>
      </c>
      <c r="BD64" t="s">
        <v>74</v>
      </c>
      <c r="BE64" t="s">
        <v>1452</v>
      </c>
      <c r="BF64" t="str">
        <f>HYPERLINK("http://dx.doi.org/10.5194/isprsarchives-XL-8-773-2014","http://dx.doi.org/10.5194/isprsarchives-XL-8-773-2014")</f>
        <v>http://dx.doi.org/10.5194/isprsarchives-XL-8-773-2014</v>
      </c>
      <c r="BG64" t="s">
        <v>74</v>
      </c>
      <c r="BH64" t="s">
        <v>74</v>
      </c>
      <c r="BI64">
        <v>7</v>
      </c>
      <c r="BJ64" t="s">
        <v>1404</v>
      </c>
      <c r="BK64" t="s">
        <v>905</v>
      </c>
      <c r="BL64" t="s">
        <v>1405</v>
      </c>
      <c r="BM64" t="s">
        <v>1406</v>
      </c>
      <c r="BN64" t="s">
        <v>74</v>
      </c>
      <c r="BO64" t="s">
        <v>138</v>
      </c>
      <c r="BP64" t="s">
        <v>74</v>
      </c>
      <c r="BQ64" t="s">
        <v>74</v>
      </c>
      <c r="BR64" t="s">
        <v>103</v>
      </c>
      <c r="BS64" t="s">
        <v>1453</v>
      </c>
      <c r="BT64" t="str">
        <f>HYPERLINK("https%3A%2F%2Fwww.webofscience.com%2Fwos%2Fwoscc%2Ffull-record%2FWOS:000368425300120","View Full Record in Web of Science")</f>
        <v>View Full Record in Web of Science</v>
      </c>
    </row>
    <row r="65" spans="1:72" x14ac:dyDescent="0.15">
      <c r="A65" t="s">
        <v>72</v>
      </c>
      <c r="B65" t="s">
        <v>1454</v>
      </c>
      <c r="C65" t="s">
        <v>74</v>
      </c>
      <c r="D65" t="s">
        <v>74</v>
      </c>
      <c r="E65" t="s">
        <v>74</v>
      </c>
      <c r="F65" t="s">
        <v>1455</v>
      </c>
      <c r="G65" t="s">
        <v>74</v>
      </c>
      <c r="H65" t="s">
        <v>74</v>
      </c>
      <c r="I65" t="s">
        <v>1456</v>
      </c>
      <c r="J65" t="s">
        <v>1457</v>
      </c>
      <c r="K65" t="s">
        <v>74</v>
      </c>
      <c r="L65" t="s">
        <v>74</v>
      </c>
      <c r="M65" t="s">
        <v>78</v>
      </c>
      <c r="N65" t="s">
        <v>79</v>
      </c>
      <c r="O65" t="s">
        <v>74</v>
      </c>
      <c r="P65" t="s">
        <v>74</v>
      </c>
      <c r="Q65" t="s">
        <v>74</v>
      </c>
      <c r="R65" t="s">
        <v>74</v>
      </c>
      <c r="S65" t="s">
        <v>74</v>
      </c>
      <c r="T65" t="s">
        <v>74</v>
      </c>
      <c r="U65" t="s">
        <v>1458</v>
      </c>
      <c r="V65" t="s">
        <v>1459</v>
      </c>
      <c r="W65" t="s">
        <v>1460</v>
      </c>
      <c r="X65" t="s">
        <v>1461</v>
      </c>
      <c r="Y65" t="s">
        <v>1462</v>
      </c>
      <c r="Z65" t="s">
        <v>1463</v>
      </c>
      <c r="AA65" t="s">
        <v>1464</v>
      </c>
      <c r="AB65" t="s">
        <v>1465</v>
      </c>
      <c r="AC65" t="s">
        <v>1466</v>
      </c>
      <c r="AD65" t="s">
        <v>1467</v>
      </c>
      <c r="AE65" t="s">
        <v>1468</v>
      </c>
      <c r="AF65" t="s">
        <v>74</v>
      </c>
      <c r="AG65">
        <v>32</v>
      </c>
      <c r="AH65">
        <v>19</v>
      </c>
      <c r="AI65">
        <v>19</v>
      </c>
      <c r="AJ65">
        <v>1</v>
      </c>
      <c r="AK65">
        <v>44</v>
      </c>
      <c r="AL65" t="s">
        <v>1469</v>
      </c>
      <c r="AM65" t="s">
        <v>1470</v>
      </c>
      <c r="AN65" t="s">
        <v>1471</v>
      </c>
      <c r="AO65" t="s">
        <v>1472</v>
      </c>
      <c r="AP65" t="s">
        <v>1473</v>
      </c>
      <c r="AQ65" t="s">
        <v>74</v>
      </c>
      <c r="AR65" t="s">
        <v>1474</v>
      </c>
      <c r="AS65" t="s">
        <v>1475</v>
      </c>
      <c r="AT65" t="s">
        <v>74</v>
      </c>
      <c r="AU65">
        <v>2014</v>
      </c>
      <c r="AV65">
        <v>29</v>
      </c>
      <c r="AW65">
        <v>5</v>
      </c>
      <c r="AX65" t="s">
        <v>74</v>
      </c>
      <c r="AY65" t="s">
        <v>74</v>
      </c>
      <c r="AZ65" t="s">
        <v>74</v>
      </c>
      <c r="BA65" t="s">
        <v>74</v>
      </c>
      <c r="BB65">
        <v>926</v>
      </c>
      <c r="BC65">
        <v>933</v>
      </c>
      <c r="BD65" t="s">
        <v>74</v>
      </c>
      <c r="BE65" t="s">
        <v>1476</v>
      </c>
      <c r="BF65" t="str">
        <f>HYPERLINK("http://dx.doi.org/10.1039/c3ja50388g","http://dx.doi.org/10.1039/c3ja50388g")</f>
        <v>http://dx.doi.org/10.1039/c3ja50388g</v>
      </c>
      <c r="BG65" t="s">
        <v>74</v>
      </c>
      <c r="BH65" t="s">
        <v>74</v>
      </c>
      <c r="BI65">
        <v>8</v>
      </c>
      <c r="BJ65" t="s">
        <v>1477</v>
      </c>
      <c r="BK65" t="s">
        <v>99</v>
      </c>
      <c r="BL65" t="s">
        <v>1478</v>
      </c>
      <c r="BM65" t="s">
        <v>1479</v>
      </c>
      <c r="BN65" t="s">
        <v>74</v>
      </c>
      <c r="BO65" t="s">
        <v>831</v>
      </c>
      <c r="BP65" t="s">
        <v>74</v>
      </c>
      <c r="BQ65" t="s">
        <v>74</v>
      </c>
      <c r="BR65" t="s">
        <v>103</v>
      </c>
      <c r="BS65" t="s">
        <v>1480</v>
      </c>
      <c r="BT65" t="str">
        <f>HYPERLINK("https%3A%2F%2Fwww.webofscience.com%2Fwos%2Fwoscc%2Ffull-record%2FWOS:000334737300016","View Full Record in Web of Science")</f>
        <v>View Full Record in Web of Science</v>
      </c>
    </row>
    <row r="66" spans="1:72" x14ac:dyDescent="0.15">
      <c r="A66" t="s">
        <v>72</v>
      </c>
      <c r="B66" t="s">
        <v>1481</v>
      </c>
      <c r="C66" t="s">
        <v>74</v>
      </c>
      <c r="D66" t="s">
        <v>74</v>
      </c>
      <c r="E66" t="s">
        <v>74</v>
      </c>
      <c r="F66" t="s">
        <v>1482</v>
      </c>
      <c r="G66" t="s">
        <v>74</v>
      </c>
      <c r="H66" t="s">
        <v>74</v>
      </c>
      <c r="I66" t="s">
        <v>1483</v>
      </c>
      <c r="J66" t="s">
        <v>1484</v>
      </c>
      <c r="K66" t="s">
        <v>74</v>
      </c>
      <c r="L66" t="s">
        <v>74</v>
      </c>
      <c r="M66" t="s">
        <v>78</v>
      </c>
      <c r="N66" t="s">
        <v>79</v>
      </c>
      <c r="O66" t="s">
        <v>74</v>
      </c>
      <c r="P66" t="s">
        <v>74</v>
      </c>
      <c r="Q66" t="s">
        <v>74</v>
      </c>
      <c r="R66" t="s">
        <v>74</v>
      </c>
      <c r="S66" t="s">
        <v>74</v>
      </c>
      <c r="T66" t="s">
        <v>1485</v>
      </c>
      <c r="U66" t="s">
        <v>1486</v>
      </c>
      <c r="V66" t="s">
        <v>1487</v>
      </c>
      <c r="W66" t="s">
        <v>1488</v>
      </c>
      <c r="X66" t="s">
        <v>1489</v>
      </c>
      <c r="Y66" t="s">
        <v>1490</v>
      </c>
      <c r="Z66" t="s">
        <v>1491</v>
      </c>
      <c r="AA66" t="s">
        <v>74</v>
      </c>
      <c r="AB66" t="s">
        <v>74</v>
      </c>
      <c r="AC66" t="s">
        <v>1492</v>
      </c>
      <c r="AD66" t="s">
        <v>1493</v>
      </c>
      <c r="AE66" t="s">
        <v>1494</v>
      </c>
      <c r="AF66" t="s">
        <v>74</v>
      </c>
      <c r="AG66">
        <v>32</v>
      </c>
      <c r="AH66">
        <v>45</v>
      </c>
      <c r="AI66">
        <v>47</v>
      </c>
      <c r="AJ66">
        <v>0</v>
      </c>
      <c r="AK66">
        <v>26</v>
      </c>
      <c r="AL66" t="s">
        <v>1495</v>
      </c>
      <c r="AM66" t="s">
        <v>1496</v>
      </c>
      <c r="AN66" t="s">
        <v>1497</v>
      </c>
      <c r="AO66" t="s">
        <v>1498</v>
      </c>
      <c r="AP66" t="s">
        <v>1499</v>
      </c>
      <c r="AQ66" t="s">
        <v>74</v>
      </c>
      <c r="AR66" t="s">
        <v>1500</v>
      </c>
      <c r="AS66" t="s">
        <v>1501</v>
      </c>
      <c r="AT66" t="s">
        <v>417</v>
      </c>
      <c r="AU66">
        <v>2014</v>
      </c>
      <c r="AV66">
        <v>27</v>
      </c>
      <c r="AW66">
        <v>1</v>
      </c>
      <c r="AX66" t="s">
        <v>74</v>
      </c>
      <c r="AY66" t="s">
        <v>74</v>
      </c>
      <c r="AZ66" t="s">
        <v>74</v>
      </c>
      <c r="BA66" t="s">
        <v>74</v>
      </c>
      <c r="BB66">
        <v>202</v>
      </c>
      <c r="BC66">
        <v>214</v>
      </c>
      <c r="BD66" t="s">
        <v>74</v>
      </c>
      <c r="BE66" t="s">
        <v>1502</v>
      </c>
      <c r="BF66" t="str">
        <f>HYPERLINK("http://dx.doi.org/10.1175/JCLI-D-12-00139.1","http://dx.doi.org/10.1175/JCLI-D-12-00139.1")</f>
        <v>http://dx.doi.org/10.1175/JCLI-D-12-00139.1</v>
      </c>
      <c r="BG66" t="s">
        <v>74</v>
      </c>
      <c r="BH66" t="s">
        <v>74</v>
      </c>
      <c r="BI66">
        <v>13</v>
      </c>
      <c r="BJ66" t="s">
        <v>1503</v>
      </c>
      <c r="BK66" t="s">
        <v>99</v>
      </c>
      <c r="BL66" t="s">
        <v>1503</v>
      </c>
      <c r="BM66" t="s">
        <v>1504</v>
      </c>
      <c r="BN66" t="s">
        <v>74</v>
      </c>
      <c r="BO66" t="s">
        <v>1145</v>
      </c>
      <c r="BP66" t="s">
        <v>74</v>
      </c>
      <c r="BQ66" t="s">
        <v>74</v>
      </c>
      <c r="BR66" t="s">
        <v>103</v>
      </c>
      <c r="BS66" t="s">
        <v>1505</v>
      </c>
      <c r="BT66" t="str">
        <f>HYPERLINK("https%3A%2F%2Fwww.webofscience.com%2Fwos%2Fwoscc%2Ffull-record%2FWOS:000329276000013","View Full Record in Web of Science")</f>
        <v>View Full Record in Web of Science</v>
      </c>
    </row>
    <row r="67" spans="1:72" x14ac:dyDescent="0.15">
      <c r="A67" t="s">
        <v>72</v>
      </c>
      <c r="B67" t="s">
        <v>1506</v>
      </c>
      <c r="C67" t="s">
        <v>74</v>
      </c>
      <c r="D67" t="s">
        <v>74</v>
      </c>
      <c r="E67" t="s">
        <v>74</v>
      </c>
      <c r="F67" t="s">
        <v>1507</v>
      </c>
      <c r="G67" t="s">
        <v>74</v>
      </c>
      <c r="H67" t="s">
        <v>74</v>
      </c>
      <c r="I67" t="s">
        <v>1508</v>
      </c>
      <c r="J67" t="s">
        <v>1484</v>
      </c>
      <c r="K67" t="s">
        <v>74</v>
      </c>
      <c r="L67" t="s">
        <v>74</v>
      </c>
      <c r="M67" t="s">
        <v>78</v>
      </c>
      <c r="N67" t="s">
        <v>79</v>
      </c>
      <c r="O67" t="s">
        <v>74</v>
      </c>
      <c r="P67" t="s">
        <v>74</v>
      </c>
      <c r="Q67" t="s">
        <v>74</v>
      </c>
      <c r="R67" t="s">
        <v>74</v>
      </c>
      <c r="S67" t="s">
        <v>74</v>
      </c>
      <c r="T67" t="s">
        <v>1509</v>
      </c>
      <c r="U67" t="s">
        <v>1510</v>
      </c>
      <c r="V67" t="s">
        <v>1511</v>
      </c>
      <c r="W67" t="s">
        <v>1512</v>
      </c>
      <c r="X67" t="s">
        <v>1513</v>
      </c>
      <c r="Y67" t="s">
        <v>1514</v>
      </c>
      <c r="Z67" t="s">
        <v>1515</v>
      </c>
      <c r="AA67" t="s">
        <v>1516</v>
      </c>
      <c r="AB67" t="s">
        <v>1517</v>
      </c>
      <c r="AC67" t="s">
        <v>1518</v>
      </c>
      <c r="AD67" t="s">
        <v>1519</v>
      </c>
      <c r="AE67" t="s">
        <v>1520</v>
      </c>
      <c r="AF67" t="s">
        <v>74</v>
      </c>
      <c r="AG67">
        <v>34</v>
      </c>
      <c r="AH67">
        <v>50</v>
      </c>
      <c r="AI67">
        <v>56</v>
      </c>
      <c r="AJ67">
        <v>0</v>
      </c>
      <c r="AK67">
        <v>17</v>
      </c>
      <c r="AL67" t="s">
        <v>1495</v>
      </c>
      <c r="AM67" t="s">
        <v>1496</v>
      </c>
      <c r="AN67" t="s">
        <v>1497</v>
      </c>
      <c r="AO67" t="s">
        <v>1498</v>
      </c>
      <c r="AP67" t="s">
        <v>1499</v>
      </c>
      <c r="AQ67" t="s">
        <v>74</v>
      </c>
      <c r="AR67" t="s">
        <v>1500</v>
      </c>
      <c r="AS67" t="s">
        <v>1501</v>
      </c>
      <c r="AT67" t="s">
        <v>417</v>
      </c>
      <c r="AU67">
        <v>2014</v>
      </c>
      <c r="AV67">
        <v>27</v>
      </c>
      <c r="AW67">
        <v>1</v>
      </c>
      <c r="AX67" t="s">
        <v>74</v>
      </c>
      <c r="AY67" t="s">
        <v>74</v>
      </c>
      <c r="AZ67" t="s">
        <v>74</v>
      </c>
      <c r="BA67" t="s">
        <v>74</v>
      </c>
      <c r="BB67">
        <v>411</v>
      </c>
      <c r="BC67">
        <v>425</v>
      </c>
      <c r="BD67" t="s">
        <v>74</v>
      </c>
      <c r="BE67" t="s">
        <v>1521</v>
      </c>
      <c r="BF67" t="str">
        <f>HYPERLINK("http://dx.doi.org/10.1175/JCLI-D-12-00759.1","http://dx.doi.org/10.1175/JCLI-D-12-00759.1")</f>
        <v>http://dx.doi.org/10.1175/JCLI-D-12-00759.1</v>
      </c>
      <c r="BG67" t="s">
        <v>74</v>
      </c>
      <c r="BH67" t="s">
        <v>74</v>
      </c>
      <c r="BI67">
        <v>15</v>
      </c>
      <c r="BJ67" t="s">
        <v>1503</v>
      </c>
      <c r="BK67" t="s">
        <v>99</v>
      </c>
      <c r="BL67" t="s">
        <v>1503</v>
      </c>
      <c r="BM67" t="s">
        <v>1504</v>
      </c>
      <c r="BN67" t="s">
        <v>74</v>
      </c>
      <c r="BO67" t="s">
        <v>524</v>
      </c>
      <c r="BP67" t="s">
        <v>74</v>
      </c>
      <c r="BQ67" t="s">
        <v>74</v>
      </c>
      <c r="BR67" t="s">
        <v>103</v>
      </c>
      <c r="BS67" t="s">
        <v>1522</v>
      </c>
      <c r="BT67" t="str">
        <f>HYPERLINK("https%3A%2F%2Fwww.webofscience.com%2Fwos%2Fwoscc%2Ffull-record%2FWOS:000329276000027","View Full Record in Web of Science")</f>
        <v>View Full Record in Web of Science</v>
      </c>
    </row>
    <row r="68" spans="1:72" x14ac:dyDescent="0.15">
      <c r="A68" t="s">
        <v>72</v>
      </c>
      <c r="B68" t="s">
        <v>1523</v>
      </c>
      <c r="C68" t="s">
        <v>74</v>
      </c>
      <c r="D68" t="s">
        <v>74</v>
      </c>
      <c r="E68" t="s">
        <v>74</v>
      </c>
      <c r="F68" t="s">
        <v>1524</v>
      </c>
      <c r="G68" t="s">
        <v>74</v>
      </c>
      <c r="H68" t="s">
        <v>74</v>
      </c>
      <c r="I68" t="s">
        <v>1525</v>
      </c>
      <c r="J68" t="s">
        <v>1526</v>
      </c>
      <c r="K68" t="s">
        <v>74</v>
      </c>
      <c r="L68" t="s">
        <v>74</v>
      </c>
      <c r="M68" t="s">
        <v>78</v>
      </c>
      <c r="N68" t="s">
        <v>213</v>
      </c>
      <c r="O68" t="s">
        <v>74</v>
      </c>
      <c r="P68" t="s">
        <v>74</v>
      </c>
      <c r="Q68" t="s">
        <v>74</v>
      </c>
      <c r="R68" t="s">
        <v>74</v>
      </c>
      <c r="S68" t="s">
        <v>74</v>
      </c>
      <c r="T68" t="s">
        <v>1527</v>
      </c>
      <c r="U68" t="s">
        <v>1528</v>
      </c>
      <c r="V68" t="s">
        <v>1529</v>
      </c>
      <c r="W68" t="s">
        <v>1530</v>
      </c>
      <c r="X68" t="s">
        <v>1531</v>
      </c>
      <c r="Y68" t="s">
        <v>1532</v>
      </c>
      <c r="Z68" t="s">
        <v>1533</v>
      </c>
      <c r="AA68" t="s">
        <v>1534</v>
      </c>
      <c r="AB68" t="s">
        <v>1535</v>
      </c>
      <c r="AC68" t="s">
        <v>1536</v>
      </c>
      <c r="AD68" t="s">
        <v>1537</v>
      </c>
      <c r="AE68" t="s">
        <v>1538</v>
      </c>
      <c r="AF68" t="s">
        <v>74</v>
      </c>
      <c r="AG68">
        <v>66</v>
      </c>
      <c r="AH68">
        <v>148</v>
      </c>
      <c r="AI68">
        <v>164</v>
      </c>
      <c r="AJ68">
        <v>1</v>
      </c>
      <c r="AK68">
        <v>164</v>
      </c>
      <c r="AL68" t="s">
        <v>1539</v>
      </c>
      <c r="AM68" t="s">
        <v>1470</v>
      </c>
      <c r="AN68" t="s">
        <v>1540</v>
      </c>
      <c r="AO68" t="s">
        <v>1541</v>
      </c>
      <c r="AP68" t="s">
        <v>1542</v>
      </c>
      <c r="AQ68" t="s">
        <v>74</v>
      </c>
      <c r="AR68" t="s">
        <v>1543</v>
      </c>
      <c r="AS68" t="s">
        <v>1544</v>
      </c>
      <c r="AT68" t="s">
        <v>417</v>
      </c>
      <c r="AU68">
        <v>2014</v>
      </c>
      <c r="AV68">
        <v>217</v>
      </c>
      <c r="AW68">
        <v>1</v>
      </c>
      <c r="AX68" t="s">
        <v>74</v>
      </c>
      <c r="AY68" t="s">
        <v>74</v>
      </c>
      <c r="AZ68" t="s">
        <v>283</v>
      </c>
      <c r="BA68" t="s">
        <v>74</v>
      </c>
      <c r="BB68">
        <v>16</v>
      </c>
      <c r="BC68">
        <v>22</v>
      </c>
      <c r="BD68" t="s">
        <v>74</v>
      </c>
      <c r="BE68" t="s">
        <v>1545</v>
      </c>
      <c r="BF68" t="str">
        <f>HYPERLINK("http://dx.doi.org/10.1242/jeb.089946","http://dx.doi.org/10.1242/jeb.089946")</f>
        <v>http://dx.doi.org/10.1242/jeb.089946</v>
      </c>
      <c r="BG68" t="s">
        <v>74</v>
      </c>
      <c r="BH68" t="s">
        <v>74</v>
      </c>
      <c r="BI68">
        <v>7</v>
      </c>
      <c r="BJ68" t="s">
        <v>1546</v>
      </c>
      <c r="BK68" t="s">
        <v>99</v>
      </c>
      <c r="BL68" t="s">
        <v>1547</v>
      </c>
      <c r="BM68" t="s">
        <v>1548</v>
      </c>
      <c r="BN68">
        <v>24353200</v>
      </c>
      <c r="BO68" t="s">
        <v>1549</v>
      </c>
      <c r="BP68" t="s">
        <v>74</v>
      </c>
      <c r="BQ68" t="s">
        <v>74</v>
      </c>
      <c r="BR68" t="s">
        <v>103</v>
      </c>
      <c r="BS68" t="s">
        <v>1550</v>
      </c>
      <c r="BT68" t="str">
        <f>HYPERLINK("https%3A%2F%2Fwww.webofscience.com%2Fwos%2Fwoscc%2Ffull-record%2FWOS:000328892000004","View Full Record in Web of Science")</f>
        <v>View Full Record in Web of Science</v>
      </c>
    </row>
    <row r="69" spans="1:72" x14ac:dyDescent="0.15">
      <c r="A69" t="s">
        <v>72</v>
      </c>
      <c r="B69" t="s">
        <v>1551</v>
      </c>
      <c r="C69" t="s">
        <v>74</v>
      </c>
      <c r="D69" t="s">
        <v>74</v>
      </c>
      <c r="E69" t="s">
        <v>74</v>
      </c>
      <c r="F69" t="s">
        <v>1552</v>
      </c>
      <c r="G69" t="s">
        <v>74</v>
      </c>
      <c r="H69" t="s">
        <v>74</v>
      </c>
      <c r="I69" t="s">
        <v>1553</v>
      </c>
      <c r="J69" t="s">
        <v>1526</v>
      </c>
      <c r="K69" t="s">
        <v>74</v>
      </c>
      <c r="L69" t="s">
        <v>74</v>
      </c>
      <c r="M69" t="s">
        <v>78</v>
      </c>
      <c r="N69" t="s">
        <v>213</v>
      </c>
      <c r="O69" t="s">
        <v>74</v>
      </c>
      <c r="P69" t="s">
        <v>74</v>
      </c>
      <c r="Q69" t="s">
        <v>74</v>
      </c>
      <c r="R69" t="s">
        <v>74</v>
      </c>
      <c r="S69" t="s">
        <v>74</v>
      </c>
      <c r="T69" t="s">
        <v>1554</v>
      </c>
      <c r="U69" t="s">
        <v>1555</v>
      </c>
      <c r="V69" t="s">
        <v>1556</v>
      </c>
      <c r="W69" t="s">
        <v>1557</v>
      </c>
      <c r="X69" t="s">
        <v>1558</v>
      </c>
      <c r="Y69" t="s">
        <v>1559</v>
      </c>
      <c r="Z69" t="s">
        <v>1560</v>
      </c>
      <c r="AA69" t="s">
        <v>1561</v>
      </c>
      <c r="AB69" t="s">
        <v>1562</v>
      </c>
      <c r="AC69" t="s">
        <v>1563</v>
      </c>
      <c r="AD69" t="s">
        <v>1564</v>
      </c>
      <c r="AE69" t="s">
        <v>1565</v>
      </c>
      <c r="AF69" t="s">
        <v>74</v>
      </c>
      <c r="AG69">
        <v>88</v>
      </c>
      <c r="AH69">
        <v>52</v>
      </c>
      <c r="AI69">
        <v>66</v>
      </c>
      <c r="AJ69">
        <v>1</v>
      </c>
      <c r="AK69">
        <v>106</v>
      </c>
      <c r="AL69" t="s">
        <v>1539</v>
      </c>
      <c r="AM69" t="s">
        <v>1470</v>
      </c>
      <c r="AN69" t="s">
        <v>1540</v>
      </c>
      <c r="AO69" t="s">
        <v>1541</v>
      </c>
      <c r="AP69" t="s">
        <v>1542</v>
      </c>
      <c r="AQ69" t="s">
        <v>74</v>
      </c>
      <c r="AR69" t="s">
        <v>1543</v>
      </c>
      <c r="AS69" t="s">
        <v>1544</v>
      </c>
      <c r="AT69" t="s">
        <v>417</v>
      </c>
      <c r="AU69">
        <v>2014</v>
      </c>
      <c r="AV69">
        <v>217</v>
      </c>
      <c r="AW69">
        <v>1</v>
      </c>
      <c r="AX69" t="s">
        <v>74</v>
      </c>
      <c r="AY69" t="s">
        <v>74</v>
      </c>
      <c r="AZ69" t="s">
        <v>283</v>
      </c>
      <c r="BA69" t="s">
        <v>74</v>
      </c>
      <c r="BB69">
        <v>84</v>
      </c>
      <c r="BC69">
        <v>93</v>
      </c>
      <c r="BD69" t="s">
        <v>74</v>
      </c>
      <c r="BE69" t="s">
        <v>1566</v>
      </c>
      <c r="BF69" t="str">
        <f>HYPERLINK("http://dx.doi.org/10.1242/jeb.089490","http://dx.doi.org/10.1242/jeb.089490")</f>
        <v>http://dx.doi.org/10.1242/jeb.089490</v>
      </c>
      <c r="BG69" t="s">
        <v>74</v>
      </c>
      <c r="BH69" t="s">
        <v>74</v>
      </c>
      <c r="BI69">
        <v>10</v>
      </c>
      <c r="BJ69" t="s">
        <v>1546</v>
      </c>
      <c r="BK69" t="s">
        <v>99</v>
      </c>
      <c r="BL69" t="s">
        <v>1547</v>
      </c>
      <c r="BM69" t="s">
        <v>1548</v>
      </c>
      <c r="BN69">
        <v>24353207</v>
      </c>
      <c r="BO69" t="s">
        <v>475</v>
      </c>
      <c r="BP69" t="s">
        <v>74</v>
      </c>
      <c r="BQ69" t="s">
        <v>74</v>
      </c>
      <c r="BR69" t="s">
        <v>103</v>
      </c>
      <c r="BS69" t="s">
        <v>1567</v>
      </c>
      <c r="BT69" t="str">
        <f>HYPERLINK("https%3A%2F%2Fwww.webofscience.com%2Fwos%2Fwoscc%2Ffull-record%2FWOS:000328892000011","View Full Record in Web of Science")</f>
        <v>View Full Record in Web of Science</v>
      </c>
    </row>
    <row r="70" spans="1:72" x14ac:dyDescent="0.15">
      <c r="A70" t="s">
        <v>72</v>
      </c>
      <c r="B70" t="s">
        <v>1568</v>
      </c>
      <c r="C70" t="s">
        <v>74</v>
      </c>
      <c r="D70" t="s">
        <v>74</v>
      </c>
      <c r="E70" t="s">
        <v>74</v>
      </c>
      <c r="F70" t="s">
        <v>1569</v>
      </c>
      <c r="G70" t="s">
        <v>74</v>
      </c>
      <c r="H70" t="s">
        <v>74</v>
      </c>
      <c r="I70" t="s">
        <v>1570</v>
      </c>
      <c r="J70" t="s">
        <v>1571</v>
      </c>
      <c r="K70" t="s">
        <v>74</v>
      </c>
      <c r="L70" t="s">
        <v>74</v>
      </c>
      <c r="M70" t="s">
        <v>78</v>
      </c>
      <c r="N70" t="s">
        <v>79</v>
      </c>
      <c r="O70" t="s">
        <v>74</v>
      </c>
      <c r="P70" t="s">
        <v>74</v>
      </c>
      <c r="Q70" t="s">
        <v>74</v>
      </c>
      <c r="R70" t="s">
        <v>74</v>
      </c>
      <c r="S70" t="s">
        <v>74</v>
      </c>
      <c r="T70" t="s">
        <v>1572</v>
      </c>
      <c r="U70" t="s">
        <v>1573</v>
      </c>
      <c r="V70" t="s">
        <v>1574</v>
      </c>
      <c r="W70" t="s">
        <v>1575</v>
      </c>
      <c r="X70" t="s">
        <v>1576</v>
      </c>
      <c r="Y70" t="s">
        <v>1577</v>
      </c>
      <c r="Z70" t="s">
        <v>1578</v>
      </c>
      <c r="AA70" t="s">
        <v>1579</v>
      </c>
      <c r="AB70" t="s">
        <v>1580</v>
      </c>
      <c r="AC70" t="s">
        <v>1581</v>
      </c>
      <c r="AD70" t="s">
        <v>1582</v>
      </c>
      <c r="AE70" t="s">
        <v>1583</v>
      </c>
      <c r="AF70" t="s">
        <v>74</v>
      </c>
      <c r="AG70">
        <v>68</v>
      </c>
      <c r="AH70">
        <v>84</v>
      </c>
      <c r="AI70">
        <v>91</v>
      </c>
      <c r="AJ70">
        <v>0</v>
      </c>
      <c r="AK70">
        <v>106</v>
      </c>
      <c r="AL70" t="s">
        <v>304</v>
      </c>
      <c r="AM70" t="s">
        <v>305</v>
      </c>
      <c r="AN70" t="s">
        <v>306</v>
      </c>
      <c r="AO70" t="s">
        <v>1584</v>
      </c>
      <c r="AP70" t="s">
        <v>1585</v>
      </c>
      <c r="AQ70" t="s">
        <v>74</v>
      </c>
      <c r="AR70" t="s">
        <v>1586</v>
      </c>
      <c r="AS70" t="s">
        <v>1587</v>
      </c>
      <c r="AT70" t="s">
        <v>417</v>
      </c>
      <c r="AU70">
        <v>2014</v>
      </c>
      <c r="AV70">
        <v>450</v>
      </c>
      <c r="AW70" t="s">
        <v>74</v>
      </c>
      <c r="AX70" t="s">
        <v>74</v>
      </c>
      <c r="AY70" t="s">
        <v>74</v>
      </c>
      <c r="AZ70" t="s">
        <v>283</v>
      </c>
      <c r="BA70" t="s">
        <v>74</v>
      </c>
      <c r="BB70">
        <v>68</v>
      </c>
      <c r="BC70">
        <v>78</v>
      </c>
      <c r="BD70" t="s">
        <v>74</v>
      </c>
      <c r="BE70" t="s">
        <v>1588</v>
      </c>
      <c r="BF70" t="str">
        <f>HYPERLINK("http://dx.doi.org/10.1016/j.jembe.2013.10.021","http://dx.doi.org/10.1016/j.jembe.2013.10.021")</f>
        <v>http://dx.doi.org/10.1016/j.jembe.2013.10.021</v>
      </c>
      <c r="BG70" t="s">
        <v>74</v>
      </c>
      <c r="BH70" t="s">
        <v>74</v>
      </c>
      <c r="BI70">
        <v>11</v>
      </c>
      <c r="BJ70" t="s">
        <v>1589</v>
      </c>
      <c r="BK70" t="s">
        <v>99</v>
      </c>
      <c r="BL70" t="s">
        <v>680</v>
      </c>
      <c r="BM70" t="s">
        <v>1590</v>
      </c>
      <c r="BN70" t="s">
        <v>74</v>
      </c>
      <c r="BO70" t="s">
        <v>74</v>
      </c>
      <c r="BP70" t="s">
        <v>74</v>
      </c>
      <c r="BQ70" t="s">
        <v>74</v>
      </c>
      <c r="BR70" t="s">
        <v>103</v>
      </c>
      <c r="BS70" t="s">
        <v>1591</v>
      </c>
      <c r="BT70" t="str">
        <f>HYPERLINK("https%3A%2F%2Fwww.webofscience.com%2Fwos%2Fwoscc%2Ffull-record%2FWOS:000330081700009","View Full Record in Web of Science")</f>
        <v>View Full Record in Web of Science</v>
      </c>
    </row>
    <row r="71" spans="1:72" x14ac:dyDescent="0.15">
      <c r="A71" t="s">
        <v>72</v>
      </c>
      <c r="B71" t="s">
        <v>1592</v>
      </c>
      <c r="C71" t="s">
        <v>74</v>
      </c>
      <c r="D71" t="s">
        <v>74</v>
      </c>
      <c r="E71" t="s">
        <v>74</v>
      </c>
      <c r="F71" t="s">
        <v>1593</v>
      </c>
      <c r="G71" t="s">
        <v>74</v>
      </c>
      <c r="H71" t="s">
        <v>74</v>
      </c>
      <c r="I71" t="s">
        <v>1594</v>
      </c>
      <c r="J71" t="s">
        <v>1595</v>
      </c>
      <c r="K71" t="s">
        <v>74</v>
      </c>
      <c r="L71" t="s">
        <v>74</v>
      </c>
      <c r="M71" t="s">
        <v>78</v>
      </c>
      <c r="N71" t="s">
        <v>79</v>
      </c>
      <c r="O71" t="s">
        <v>74</v>
      </c>
      <c r="P71" t="s">
        <v>74</v>
      </c>
      <c r="Q71" t="s">
        <v>74</v>
      </c>
      <c r="R71" t="s">
        <v>74</v>
      </c>
      <c r="S71" t="s">
        <v>74</v>
      </c>
      <c r="T71" t="s">
        <v>1596</v>
      </c>
      <c r="U71" t="s">
        <v>1597</v>
      </c>
      <c r="V71" t="s">
        <v>1598</v>
      </c>
      <c r="W71" t="s">
        <v>1599</v>
      </c>
      <c r="X71" t="s">
        <v>1600</v>
      </c>
      <c r="Y71" t="s">
        <v>1601</v>
      </c>
      <c r="Z71" t="s">
        <v>165</v>
      </c>
      <c r="AA71" t="s">
        <v>74</v>
      </c>
      <c r="AB71" t="s">
        <v>1602</v>
      </c>
      <c r="AC71" t="s">
        <v>1603</v>
      </c>
      <c r="AD71" t="s">
        <v>1604</v>
      </c>
      <c r="AE71" t="s">
        <v>1605</v>
      </c>
      <c r="AF71" t="s">
        <v>74</v>
      </c>
      <c r="AG71">
        <v>47</v>
      </c>
      <c r="AH71">
        <v>19</v>
      </c>
      <c r="AI71">
        <v>22</v>
      </c>
      <c r="AJ71">
        <v>0</v>
      </c>
      <c r="AK71">
        <v>16</v>
      </c>
      <c r="AL71" t="s">
        <v>1606</v>
      </c>
      <c r="AM71" t="s">
        <v>808</v>
      </c>
      <c r="AN71" t="s">
        <v>1607</v>
      </c>
      <c r="AO71" t="s">
        <v>1608</v>
      </c>
      <c r="AP71" t="s">
        <v>1609</v>
      </c>
      <c r="AQ71" t="s">
        <v>74</v>
      </c>
      <c r="AR71" t="s">
        <v>1610</v>
      </c>
      <c r="AS71" t="s">
        <v>1611</v>
      </c>
      <c r="AT71" t="s">
        <v>417</v>
      </c>
      <c r="AU71">
        <v>2014</v>
      </c>
      <c r="AV71">
        <v>119</v>
      </c>
      <c r="AW71">
        <v>1</v>
      </c>
      <c r="AX71" t="s">
        <v>74</v>
      </c>
      <c r="AY71" t="s">
        <v>74</v>
      </c>
      <c r="AZ71" t="s">
        <v>74</v>
      </c>
      <c r="BA71" t="s">
        <v>74</v>
      </c>
      <c r="BB71">
        <v>87</v>
      </c>
      <c r="BC71">
        <v>97</v>
      </c>
      <c r="BD71" t="s">
        <v>74</v>
      </c>
      <c r="BE71" t="s">
        <v>1612</v>
      </c>
      <c r="BF71" t="str">
        <f>HYPERLINK("http://dx.doi.org/10.1002/2013JC009240","http://dx.doi.org/10.1002/2013JC009240")</f>
        <v>http://dx.doi.org/10.1002/2013JC009240</v>
      </c>
      <c r="BG71" t="s">
        <v>74</v>
      </c>
      <c r="BH71" t="s">
        <v>74</v>
      </c>
      <c r="BI71">
        <v>11</v>
      </c>
      <c r="BJ71" t="s">
        <v>1613</v>
      </c>
      <c r="BK71" t="s">
        <v>99</v>
      </c>
      <c r="BL71" t="s">
        <v>1613</v>
      </c>
      <c r="BM71" t="s">
        <v>1614</v>
      </c>
      <c r="BN71" t="s">
        <v>74</v>
      </c>
      <c r="BO71" t="s">
        <v>315</v>
      </c>
      <c r="BP71" t="s">
        <v>74</v>
      </c>
      <c r="BQ71" t="s">
        <v>74</v>
      </c>
      <c r="BR71" t="s">
        <v>103</v>
      </c>
      <c r="BS71" t="s">
        <v>1615</v>
      </c>
      <c r="BT71" t="str">
        <f>HYPERLINK("https%3A%2F%2Fwww.webofscience.com%2Fwos%2Fwoscc%2Ffull-record%2FWOS:000331879100006","View Full Record in Web of Science")</f>
        <v>View Full Record in Web of Science</v>
      </c>
    </row>
    <row r="72" spans="1:72" x14ac:dyDescent="0.15">
      <c r="A72" t="s">
        <v>72</v>
      </c>
      <c r="B72" t="s">
        <v>1616</v>
      </c>
      <c r="C72" t="s">
        <v>74</v>
      </c>
      <c r="D72" t="s">
        <v>74</v>
      </c>
      <c r="E72" t="s">
        <v>74</v>
      </c>
      <c r="F72" t="s">
        <v>1617</v>
      </c>
      <c r="G72" t="s">
        <v>74</v>
      </c>
      <c r="H72" t="s">
        <v>74</v>
      </c>
      <c r="I72" t="s">
        <v>1618</v>
      </c>
      <c r="J72" t="s">
        <v>1595</v>
      </c>
      <c r="K72" t="s">
        <v>74</v>
      </c>
      <c r="L72" t="s">
        <v>74</v>
      </c>
      <c r="M72" t="s">
        <v>78</v>
      </c>
      <c r="N72" t="s">
        <v>79</v>
      </c>
      <c r="O72" t="s">
        <v>74</v>
      </c>
      <c r="P72" t="s">
        <v>74</v>
      </c>
      <c r="Q72" t="s">
        <v>74</v>
      </c>
      <c r="R72" t="s">
        <v>74</v>
      </c>
      <c r="S72" t="s">
        <v>74</v>
      </c>
      <c r="T72" t="s">
        <v>1619</v>
      </c>
      <c r="U72" t="s">
        <v>1620</v>
      </c>
      <c r="V72" t="s">
        <v>1621</v>
      </c>
      <c r="W72" t="s">
        <v>1622</v>
      </c>
      <c r="X72" t="s">
        <v>709</v>
      </c>
      <c r="Y72" t="s">
        <v>1623</v>
      </c>
      <c r="Z72" t="s">
        <v>1624</v>
      </c>
      <c r="AA72" t="s">
        <v>1625</v>
      </c>
      <c r="AB72" t="s">
        <v>1626</v>
      </c>
      <c r="AC72" t="s">
        <v>1627</v>
      </c>
      <c r="AD72" t="s">
        <v>1628</v>
      </c>
      <c r="AE72" t="s">
        <v>74</v>
      </c>
      <c r="AF72" t="s">
        <v>74</v>
      </c>
      <c r="AG72">
        <v>41</v>
      </c>
      <c r="AH72">
        <v>36</v>
      </c>
      <c r="AI72">
        <v>36</v>
      </c>
      <c r="AJ72">
        <v>0</v>
      </c>
      <c r="AK72">
        <v>31</v>
      </c>
      <c r="AL72" t="s">
        <v>1606</v>
      </c>
      <c r="AM72" t="s">
        <v>808</v>
      </c>
      <c r="AN72" t="s">
        <v>1607</v>
      </c>
      <c r="AO72" t="s">
        <v>1608</v>
      </c>
      <c r="AP72" t="s">
        <v>1609</v>
      </c>
      <c r="AQ72" t="s">
        <v>74</v>
      </c>
      <c r="AR72" t="s">
        <v>1610</v>
      </c>
      <c r="AS72" t="s">
        <v>1611</v>
      </c>
      <c r="AT72" t="s">
        <v>417</v>
      </c>
      <c r="AU72">
        <v>2014</v>
      </c>
      <c r="AV72">
        <v>119</v>
      </c>
      <c r="AW72">
        <v>1</v>
      </c>
      <c r="AX72" t="s">
        <v>74</v>
      </c>
      <c r="AY72" t="s">
        <v>74</v>
      </c>
      <c r="AZ72" t="s">
        <v>74</v>
      </c>
      <c r="BA72" t="s">
        <v>74</v>
      </c>
      <c r="BB72">
        <v>241</v>
      </c>
      <c r="BC72">
        <v>252</v>
      </c>
      <c r="BD72" t="s">
        <v>74</v>
      </c>
      <c r="BE72" t="s">
        <v>1629</v>
      </c>
      <c r="BF72" t="str">
        <f>HYPERLINK("http://dx.doi.org/10.1002/2013JC009348","http://dx.doi.org/10.1002/2013JC009348")</f>
        <v>http://dx.doi.org/10.1002/2013JC009348</v>
      </c>
      <c r="BG72" t="s">
        <v>74</v>
      </c>
      <c r="BH72" t="s">
        <v>74</v>
      </c>
      <c r="BI72">
        <v>12</v>
      </c>
      <c r="BJ72" t="s">
        <v>1613</v>
      </c>
      <c r="BK72" t="s">
        <v>99</v>
      </c>
      <c r="BL72" t="s">
        <v>1613</v>
      </c>
      <c r="BM72" t="s">
        <v>1614</v>
      </c>
      <c r="BN72" t="s">
        <v>74</v>
      </c>
      <c r="BO72" t="s">
        <v>1630</v>
      </c>
      <c r="BP72" t="s">
        <v>74</v>
      </c>
      <c r="BQ72" t="s">
        <v>74</v>
      </c>
      <c r="BR72" t="s">
        <v>103</v>
      </c>
      <c r="BS72" t="s">
        <v>1631</v>
      </c>
      <c r="BT72" t="str">
        <f>HYPERLINK("https%3A%2F%2Fwww.webofscience.com%2Fwos%2Fwoscc%2Ffull-record%2FWOS:000331879100018","View Full Record in Web of Science")</f>
        <v>View Full Record in Web of Science</v>
      </c>
    </row>
    <row r="73" spans="1:72" x14ac:dyDescent="0.15">
      <c r="A73" t="s">
        <v>72</v>
      </c>
      <c r="B73" t="s">
        <v>1632</v>
      </c>
      <c r="C73" t="s">
        <v>74</v>
      </c>
      <c r="D73" t="s">
        <v>74</v>
      </c>
      <c r="E73" t="s">
        <v>74</v>
      </c>
      <c r="F73" t="s">
        <v>1633</v>
      </c>
      <c r="G73" t="s">
        <v>74</v>
      </c>
      <c r="H73" t="s">
        <v>74</v>
      </c>
      <c r="I73" t="s">
        <v>1634</v>
      </c>
      <c r="J73" t="s">
        <v>1595</v>
      </c>
      <c r="K73" t="s">
        <v>74</v>
      </c>
      <c r="L73" t="s">
        <v>74</v>
      </c>
      <c r="M73" t="s">
        <v>78</v>
      </c>
      <c r="N73" t="s">
        <v>79</v>
      </c>
      <c r="O73" t="s">
        <v>74</v>
      </c>
      <c r="P73" t="s">
        <v>74</v>
      </c>
      <c r="Q73" t="s">
        <v>74</v>
      </c>
      <c r="R73" t="s">
        <v>74</v>
      </c>
      <c r="S73" t="s">
        <v>74</v>
      </c>
      <c r="T73" t="s">
        <v>1635</v>
      </c>
      <c r="U73" t="s">
        <v>1636</v>
      </c>
      <c r="V73" t="s">
        <v>1637</v>
      </c>
      <c r="W73" t="s">
        <v>1638</v>
      </c>
      <c r="X73" t="s">
        <v>1639</v>
      </c>
      <c r="Y73" t="s">
        <v>1640</v>
      </c>
      <c r="Z73" t="s">
        <v>1641</v>
      </c>
      <c r="AA73" t="s">
        <v>1642</v>
      </c>
      <c r="AB73" t="s">
        <v>1643</v>
      </c>
      <c r="AC73" t="s">
        <v>1644</v>
      </c>
      <c r="AD73" t="s">
        <v>1645</v>
      </c>
      <c r="AE73" t="s">
        <v>1646</v>
      </c>
      <c r="AF73" t="s">
        <v>74</v>
      </c>
      <c r="AG73">
        <v>37</v>
      </c>
      <c r="AH73">
        <v>52</v>
      </c>
      <c r="AI73">
        <v>55</v>
      </c>
      <c r="AJ73">
        <v>2</v>
      </c>
      <c r="AK73">
        <v>30</v>
      </c>
      <c r="AL73" t="s">
        <v>1606</v>
      </c>
      <c r="AM73" t="s">
        <v>808</v>
      </c>
      <c r="AN73" t="s">
        <v>1607</v>
      </c>
      <c r="AO73" t="s">
        <v>1608</v>
      </c>
      <c r="AP73" t="s">
        <v>1609</v>
      </c>
      <c r="AQ73" t="s">
        <v>74</v>
      </c>
      <c r="AR73" t="s">
        <v>1610</v>
      </c>
      <c r="AS73" t="s">
        <v>1611</v>
      </c>
      <c r="AT73" t="s">
        <v>417</v>
      </c>
      <c r="AU73">
        <v>2014</v>
      </c>
      <c r="AV73">
        <v>119</v>
      </c>
      <c r="AW73">
        <v>1</v>
      </c>
      <c r="AX73" t="s">
        <v>74</v>
      </c>
      <c r="AY73" t="s">
        <v>74</v>
      </c>
      <c r="AZ73" t="s">
        <v>74</v>
      </c>
      <c r="BA73" t="s">
        <v>74</v>
      </c>
      <c r="BB73">
        <v>313</v>
      </c>
      <c r="BC73">
        <v>331</v>
      </c>
      <c r="BD73" t="s">
        <v>74</v>
      </c>
      <c r="BE73" t="s">
        <v>1647</v>
      </c>
      <c r="BF73" t="str">
        <f>HYPERLINK("http://dx.doi.org/10.1002/2013JC009356","http://dx.doi.org/10.1002/2013JC009356")</f>
        <v>http://dx.doi.org/10.1002/2013JC009356</v>
      </c>
      <c r="BG73" t="s">
        <v>74</v>
      </c>
      <c r="BH73" t="s">
        <v>74</v>
      </c>
      <c r="BI73">
        <v>19</v>
      </c>
      <c r="BJ73" t="s">
        <v>1613</v>
      </c>
      <c r="BK73" t="s">
        <v>99</v>
      </c>
      <c r="BL73" t="s">
        <v>1613</v>
      </c>
      <c r="BM73" t="s">
        <v>1614</v>
      </c>
      <c r="BN73" t="s">
        <v>74</v>
      </c>
      <c r="BO73" t="s">
        <v>1648</v>
      </c>
      <c r="BP73" t="s">
        <v>74</v>
      </c>
      <c r="BQ73" t="s">
        <v>74</v>
      </c>
      <c r="BR73" t="s">
        <v>103</v>
      </c>
      <c r="BS73" t="s">
        <v>1649</v>
      </c>
      <c r="BT73" t="str">
        <f>HYPERLINK("https%3A%2F%2Fwww.webofscience.com%2Fwos%2Fwoscc%2Ffull-record%2FWOS:000331879100024","View Full Record in Web of Science")</f>
        <v>View Full Record in Web of Science</v>
      </c>
    </row>
    <row r="74" spans="1:72" x14ac:dyDescent="0.15">
      <c r="A74" t="s">
        <v>72</v>
      </c>
      <c r="B74" t="s">
        <v>1650</v>
      </c>
      <c r="C74" t="s">
        <v>74</v>
      </c>
      <c r="D74" t="s">
        <v>74</v>
      </c>
      <c r="E74" t="s">
        <v>74</v>
      </c>
      <c r="F74" t="s">
        <v>1651</v>
      </c>
      <c r="G74" t="s">
        <v>74</v>
      </c>
      <c r="H74" t="s">
        <v>74</v>
      </c>
      <c r="I74" t="s">
        <v>1652</v>
      </c>
      <c r="J74" t="s">
        <v>1595</v>
      </c>
      <c r="K74" t="s">
        <v>74</v>
      </c>
      <c r="L74" t="s">
        <v>74</v>
      </c>
      <c r="M74" t="s">
        <v>78</v>
      </c>
      <c r="N74" t="s">
        <v>79</v>
      </c>
      <c r="O74" t="s">
        <v>74</v>
      </c>
      <c r="P74" t="s">
        <v>74</v>
      </c>
      <c r="Q74" t="s">
        <v>74</v>
      </c>
      <c r="R74" t="s">
        <v>74</v>
      </c>
      <c r="S74" t="s">
        <v>74</v>
      </c>
      <c r="T74" t="s">
        <v>1653</v>
      </c>
      <c r="U74" t="s">
        <v>1654</v>
      </c>
      <c r="V74" t="s">
        <v>1655</v>
      </c>
      <c r="W74" t="s">
        <v>1656</v>
      </c>
      <c r="X74" t="s">
        <v>1657</v>
      </c>
      <c r="Y74" t="s">
        <v>1658</v>
      </c>
      <c r="Z74" t="s">
        <v>1659</v>
      </c>
      <c r="AA74" t="s">
        <v>1660</v>
      </c>
      <c r="AB74" t="s">
        <v>1661</v>
      </c>
      <c r="AC74" t="s">
        <v>1662</v>
      </c>
      <c r="AD74" t="s">
        <v>1663</v>
      </c>
      <c r="AE74" t="s">
        <v>1664</v>
      </c>
      <c r="AF74" t="s">
        <v>74</v>
      </c>
      <c r="AG74">
        <v>40</v>
      </c>
      <c r="AH74">
        <v>31</v>
      </c>
      <c r="AI74">
        <v>42</v>
      </c>
      <c r="AJ74">
        <v>3</v>
      </c>
      <c r="AK74">
        <v>35</v>
      </c>
      <c r="AL74" t="s">
        <v>1606</v>
      </c>
      <c r="AM74" t="s">
        <v>808</v>
      </c>
      <c r="AN74" t="s">
        <v>1607</v>
      </c>
      <c r="AO74" t="s">
        <v>1608</v>
      </c>
      <c r="AP74" t="s">
        <v>1609</v>
      </c>
      <c r="AQ74" t="s">
        <v>74</v>
      </c>
      <c r="AR74" t="s">
        <v>1610</v>
      </c>
      <c r="AS74" t="s">
        <v>1611</v>
      </c>
      <c r="AT74" t="s">
        <v>417</v>
      </c>
      <c r="AU74">
        <v>2014</v>
      </c>
      <c r="AV74">
        <v>119</v>
      </c>
      <c r="AW74">
        <v>1</v>
      </c>
      <c r="AX74" t="s">
        <v>74</v>
      </c>
      <c r="AY74" t="s">
        <v>74</v>
      </c>
      <c r="AZ74" t="s">
        <v>74</v>
      </c>
      <c r="BA74" t="s">
        <v>74</v>
      </c>
      <c r="BB74">
        <v>537</v>
      </c>
      <c r="BC74">
        <v>547</v>
      </c>
      <c r="BD74" t="s">
        <v>74</v>
      </c>
      <c r="BE74" t="s">
        <v>1665</v>
      </c>
      <c r="BF74" t="str">
        <f>HYPERLINK("http://dx.doi.org/10.1002/2012JC008731","http://dx.doi.org/10.1002/2012JC008731")</f>
        <v>http://dx.doi.org/10.1002/2012JC008731</v>
      </c>
      <c r="BG74" t="s">
        <v>74</v>
      </c>
      <c r="BH74" t="s">
        <v>74</v>
      </c>
      <c r="BI74">
        <v>11</v>
      </c>
      <c r="BJ74" t="s">
        <v>1613</v>
      </c>
      <c r="BK74" t="s">
        <v>99</v>
      </c>
      <c r="BL74" t="s">
        <v>1613</v>
      </c>
      <c r="BM74" t="s">
        <v>1614</v>
      </c>
      <c r="BN74" t="s">
        <v>74</v>
      </c>
      <c r="BO74" t="s">
        <v>1666</v>
      </c>
      <c r="BP74" t="s">
        <v>74</v>
      </c>
      <c r="BQ74" t="s">
        <v>74</v>
      </c>
      <c r="BR74" t="s">
        <v>103</v>
      </c>
      <c r="BS74" t="s">
        <v>1667</v>
      </c>
      <c r="BT74" t="str">
        <f>HYPERLINK("https%3A%2F%2Fwww.webofscience.com%2Fwos%2Fwoscc%2Ffull-record%2FWOS:000331879100038","View Full Record in Web of Science")</f>
        <v>View Full Record in Web of Science</v>
      </c>
    </row>
    <row r="75" spans="1:72" x14ac:dyDescent="0.15">
      <c r="A75" t="s">
        <v>72</v>
      </c>
      <c r="B75" t="s">
        <v>1668</v>
      </c>
      <c r="C75" t="s">
        <v>74</v>
      </c>
      <c r="D75" t="s">
        <v>74</v>
      </c>
      <c r="E75" t="s">
        <v>74</v>
      </c>
      <c r="F75" t="s">
        <v>1669</v>
      </c>
      <c r="G75" t="s">
        <v>74</v>
      </c>
      <c r="H75" t="s">
        <v>74</v>
      </c>
      <c r="I75" t="s">
        <v>1670</v>
      </c>
      <c r="J75" t="s">
        <v>1595</v>
      </c>
      <c r="K75" t="s">
        <v>74</v>
      </c>
      <c r="L75" t="s">
        <v>74</v>
      </c>
      <c r="M75" t="s">
        <v>78</v>
      </c>
      <c r="N75" t="s">
        <v>79</v>
      </c>
      <c r="O75" t="s">
        <v>74</v>
      </c>
      <c r="P75" t="s">
        <v>74</v>
      </c>
      <c r="Q75" t="s">
        <v>74</v>
      </c>
      <c r="R75" t="s">
        <v>74</v>
      </c>
      <c r="S75" t="s">
        <v>74</v>
      </c>
      <c r="T75" t="s">
        <v>1671</v>
      </c>
      <c r="U75" t="s">
        <v>1672</v>
      </c>
      <c r="V75" t="s">
        <v>1673</v>
      </c>
      <c r="W75" t="s">
        <v>1674</v>
      </c>
      <c r="X75" t="s">
        <v>1675</v>
      </c>
      <c r="Y75" t="s">
        <v>1676</v>
      </c>
      <c r="Z75" t="s">
        <v>1677</v>
      </c>
      <c r="AA75" t="s">
        <v>1678</v>
      </c>
      <c r="AB75" t="s">
        <v>1679</v>
      </c>
      <c r="AC75" t="s">
        <v>1680</v>
      </c>
      <c r="AD75" t="s">
        <v>1681</v>
      </c>
      <c r="AE75" t="s">
        <v>1682</v>
      </c>
      <c r="AF75" t="s">
        <v>74</v>
      </c>
      <c r="AG75">
        <v>107</v>
      </c>
      <c r="AH75">
        <v>37</v>
      </c>
      <c r="AI75">
        <v>42</v>
      </c>
      <c r="AJ75">
        <v>1</v>
      </c>
      <c r="AK75">
        <v>38</v>
      </c>
      <c r="AL75" t="s">
        <v>1606</v>
      </c>
      <c r="AM75" t="s">
        <v>808</v>
      </c>
      <c r="AN75" t="s">
        <v>1607</v>
      </c>
      <c r="AO75" t="s">
        <v>1608</v>
      </c>
      <c r="AP75" t="s">
        <v>1609</v>
      </c>
      <c r="AQ75" t="s">
        <v>74</v>
      </c>
      <c r="AR75" t="s">
        <v>1610</v>
      </c>
      <c r="AS75" t="s">
        <v>1611</v>
      </c>
      <c r="AT75" t="s">
        <v>417</v>
      </c>
      <c r="AU75">
        <v>2014</v>
      </c>
      <c r="AV75">
        <v>119</v>
      </c>
      <c r="AW75">
        <v>1</v>
      </c>
      <c r="AX75" t="s">
        <v>74</v>
      </c>
      <c r="AY75" t="s">
        <v>74</v>
      </c>
      <c r="AZ75" t="s">
        <v>74</v>
      </c>
      <c r="BA75" t="s">
        <v>74</v>
      </c>
      <c r="BB75">
        <v>572</v>
      </c>
      <c r="BC75">
        <v>594</v>
      </c>
      <c r="BD75" t="s">
        <v>74</v>
      </c>
      <c r="BE75" t="s">
        <v>1683</v>
      </c>
      <c r="BF75" t="str">
        <f>HYPERLINK("http://dx.doi.org/10.1002/2013JC009441","http://dx.doi.org/10.1002/2013JC009441")</f>
        <v>http://dx.doi.org/10.1002/2013JC009441</v>
      </c>
      <c r="BG75" t="s">
        <v>74</v>
      </c>
      <c r="BH75" t="s">
        <v>74</v>
      </c>
      <c r="BI75">
        <v>23</v>
      </c>
      <c r="BJ75" t="s">
        <v>1613</v>
      </c>
      <c r="BK75" t="s">
        <v>99</v>
      </c>
      <c r="BL75" t="s">
        <v>1613</v>
      </c>
      <c r="BM75" t="s">
        <v>1614</v>
      </c>
      <c r="BN75" t="s">
        <v>74</v>
      </c>
      <c r="BO75" t="s">
        <v>475</v>
      </c>
      <c r="BP75" t="s">
        <v>74</v>
      </c>
      <c r="BQ75" t="s">
        <v>74</v>
      </c>
      <c r="BR75" t="s">
        <v>103</v>
      </c>
      <c r="BS75" t="s">
        <v>1684</v>
      </c>
      <c r="BT75" t="str">
        <f>HYPERLINK("https%3A%2F%2Fwww.webofscience.com%2Fwos%2Fwoscc%2Ffull-record%2FWOS:000331879100041","View Full Record in Web of Science")</f>
        <v>View Full Record in Web of Science</v>
      </c>
    </row>
    <row r="76" spans="1:72" x14ac:dyDescent="0.15">
      <c r="A76" t="s">
        <v>72</v>
      </c>
      <c r="B76" t="s">
        <v>1685</v>
      </c>
      <c r="C76" t="s">
        <v>74</v>
      </c>
      <c r="D76" t="s">
        <v>74</v>
      </c>
      <c r="E76" t="s">
        <v>74</v>
      </c>
      <c r="F76" t="s">
        <v>1686</v>
      </c>
      <c r="G76" t="s">
        <v>74</v>
      </c>
      <c r="H76" t="s">
        <v>74</v>
      </c>
      <c r="I76" t="s">
        <v>1687</v>
      </c>
      <c r="J76" t="s">
        <v>1688</v>
      </c>
      <c r="K76" t="s">
        <v>74</v>
      </c>
      <c r="L76" t="s">
        <v>74</v>
      </c>
      <c r="M76" t="s">
        <v>78</v>
      </c>
      <c r="N76" t="s">
        <v>213</v>
      </c>
      <c r="O76" t="s">
        <v>74</v>
      </c>
      <c r="P76" t="s">
        <v>74</v>
      </c>
      <c r="Q76" t="s">
        <v>74</v>
      </c>
      <c r="R76" t="s">
        <v>74</v>
      </c>
      <c r="S76" t="s">
        <v>74</v>
      </c>
      <c r="T76" t="s">
        <v>1689</v>
      </c>
      <c r="U76" t="s">
        <v>1690</v>
      </c>
      <c r="V76" t="s">
        <v>1691</v>
      </c>
      <c r="W76" t="s">
        <v>1692</v>
      </c>
      <c r="X76" t="s">
        <v>709</v>
      </c>
      <c r="Y76" t="s">
        <v>1693</v>
      </c>
      <c r="Z76" t="s">
        <v>1694</v>
      </c>
      <c r="AA76" t="s">
        <v>1695</v>
      </c>
      <c r="AB76" t="s">
        <v>1696</v>
      </c>
      <c r="AC76" t="s">
        <v>1697</v>
      </c>
      <c r="AD76" t="s">
        <v>1698</v>
      </c>
      <c r="AE76" t="s">
        <v>1699</v>
      </c>
      <c r="AF76" t="s">
        <v>74</v>
      </c>
      <c r="AG76">
        <v>117</v>
      </c>
      <c r="AH76">
        <v>172</v>
      </c>
      <c r="AI76">
        <v>174</v>
      </c>
      <c r="AJ76">
        <v>3</v>
      </c>
      <c r="AK76">
        <v>30</v>
      </c>
      <c r="AL76" t="s">
        <v>1606</v>
      </c>
      <c r="AM76" t="s">
        <v>808</v>
      </c>
      <c r="AN76" t="s">
        <v>1607</v>
      </c>
      <c r="AO76" t="s">
        <v>1700</v>
      </c>
      <c r="AP76" t="s">
        <v>1701</v>
      </c>
      <c r="AQ76" t="s">
        <v>74</v>
      </c>
      <c r="AR76" t="s">
        <v>1702</v>
      </c>
      <c r="AS76" t="s">
        <v>1703</v>
      </c>
      <c r="AT76" t="s">
        <v>417</v>
      </c>
      <c r="AU76">
        <v>2014</v>
      </c>
      <c r="AV76">
        <v>119</v>
      </c>
      <c r="AW76">
        <v>1</v>
      </c>
      <c r="AX76" t="s">
        <v>74</v>
      </c>
      <c r="AY76" t="s">
        <v>74</v>
      </c>
      <c r="AZ76" t="s">
        <v>74</v>
      </c>
      <c r="BA76" t="s">
        <v>74</v>
      </c>
      <c r="BB76">
        <v>268</v>
      </c>
      <c r="BC76">
        <v>289</v>
      </c>
      <c r="BD76" t="s">
        <v>74</v>
      </c>
      <c r="BE76" t="s">
        <v>1704</v>
      </c>
      <c r="BF76" t="str">
        <f>HYPERLINK("http://dx.doi.org/10.1002/2013JA019281","http://dx.doi.org/10.1002/2013JA019281")</f>
        <v>http://dx.doi.org/10.1002/2013JA019281</v>
      </c>
      <c r="BG76" t="s">
        <v>74</v>
      </c>
      <c r="BH76" t="s">
        <v>74</v>
      </c>
      <c r="BI76">
        <v>22</v>
      </c>
      <c r="BJ76" t="s">
        <v>1705</v>
      </c>
      <c r="BK76" t="s">
        <v>99</v>
      </c>
      <c r="BL76" t="s">
        <v>1705</v>
      </c>
      <c r="BM76" t="s">
        <v>1706</v>
      </c>
      <c r="BN76" t="s">
        <v>74</v>
      </c>
      <c r="BO76" t="s">
        <v>1707</v>
      </c>
      <c r="BP76" t="s">
        <v>74</v>
      </c>
      <c r="BQ76" t="s">
        <v>74</v>
      </c>
      <c r="BR76" t="s">
        <v>103</v>
      </c>
      <c r="BS76" t="s">
        <v>1708</v>
      </c>
      <c r="BT76" t="str">
        <f>HYPERLINK("https%3A%2F%2Fwww.webofscience.com%2Fwos%2Fwoscc%2Ffull-record%2FWOS:000333028600025","View Full Record in Web of Science")</f>
        <v>View Full Record in Web of Science</v>
      </c>
    </row>
    <row r="77" spans="1:72" x14ac:dyDescent="0.15">
      <c r="A77" t="s">
        <v>72</v>
      </c>
      <c r="B77" t="s">
        <v>1709</v>
      </c>
      <c r="C77" t="s">
        <v>74</v>
      </c>
      <c r="D77" t="s">
        <v>74</v>
      </c>
      <c r="E77" t="s">
        <v>74</v>
      </c>
      <c r="F77" t="s">
        <v>1710</v>
      </c>
      <c r="G77" t="s">
        <v>74</v>
      </c>
      <c r="H77" t="s">
        <v>74</v>
      </c>
      <c r="I77" t="s">
        <v>1711</v>
      </c>
      <c r="J77" t="s">
        <v>1712</v>
      </c>
      <c r="K77" t="s">
        <v>74</v>
      </c>
      <c r="L77" t="s">
        <v>74</v>
      </c>
      <c r="M77" t="s">
        <v>78</v>
      </c>
      <c r="N77" t="s">
        <v>79</v>
      </c>
      <c r="O77" t="s">
        <v>74</v>
      </c>
      <c r="P77" t="s">
        <v>74</v>
      </c>
      <c r="Q77" t="s">
        <v>74</v>
      </c>
      <c r="R77" t="s">
        <v>74</v>
      </c>
      <c r="S77" t="s">
        <v>74</v>
      </c>
      <c r="T77" t="s">
        <v>1713</v>
      </c>
      <c r="U77" t="s">
        <v>1714</v>
      </c>
      <c r="V77" t="s">
        <v>1715</v>
      </c>
      <c r="W77" t="s">
        <v>1716</v>
      </c>
      <c r="X77" t="s">
        <v>1717</v>
      </c>
      <c r="Y77" t="s">
        <v>1718</v>
      </c>
      <c r="Z77" t="s">
        <v>1719</v>
      </c>
      <c r="AA77" t="s">
        <v>1720</v>
      </c>
      <c r="AB77" t="s">
        <v>1721</v>
      </c>
      <c r="AC77" t="s">
        <v>1722</v>
      </c>
      <c r="AD77" t="s">
        <v>1723</v>
      </c>
      <c r="AE77" t="s">
        <v>1724</v>
      </c>
      <c r="AF77" t="s">
        <v>74</v>
      </c>
      <c r="AG77">
        <v>41</v>
      </c>
      <c r="AH77">
        <v>11</v>
      </c>
      <c r="AI77">
        <v>12</v>
      </c>
      <c r="AJ77">
        <v>2</v>
      </c>
      <c r="AK77">
        <v>21</v>
      </c>
      <c r="AL77" t="s">
        <v>1725</v>
      </c>
      <c r="AM77" t="s">
        <v>1470</v>
      </c>
      <c r="AN77" t="s">
        <v>1726</v>
      </c>
      <c r="AO77" t="s">
        <v>1727</v>
      </c>
      <c r="AP77" t="s">
        <v>1728</v>
      </c>
      <c r="AQ77" t="s">
        <v>74</v>
      </c>
      <c r="AR77" t="s">
        <v>1729</v>
      </c>
      <c r="AS77" t="s">
        <v>1730</v>
      </c>
      <c r="AT77" t="s">
        <v>74</v>
      </c>
      <c r="AU77">
        <v>2014</v>
      </c>
      <c r="AV77">
        <v>60</v>
      </c>
      <c r="AW77">
        <v>219</v>
      </c>
      <c r="AX77" t="s">
        <v>74</v>
      </c>
      <c r="AY77" t="s">
        <v>74</v>
      </c>
      <c r="AZ77" t="s">
        <v>74</v>
      </c>
      <c r="BA77" t="s">
        <v>74</v>
      </c>
      <c r="BB77">
        <v>41</v>
      </c>
      <c r="BC77">
        <v>50</v>
      </c>
      <c r="BD77" t="s">
        <v>74</v>
      </c>
      <c r="BE77" t="s">
        <v>1731</v>
      </c>
      <c r="BF77" t="str">
        <f>HYPERLINK("http://dx.doi.org/10.3189/2014JoG13J116","http://dx.doi.org/10.3189/2014JoG13J116")</f>
        <v>http://dx.doi.org/10.3189/2014JoG13J116</v>
      </c>
      <c r="BG77" t="s">
        <v>74</v>
      </c>
      <c r="BH77" t="s">
        <v>74</v>
      </c>
      <c r="BI77">
        <v>10</v>
      </c>
      <c r="BJ77" t="s">
        <v>98</v>
      </c>
      <c r="BK77" t="s">
        <v>99</v>
      </c>
      <c r="BL77" t="s">
        <v>100</v>
      </c>
      <c r="BM77" t="s">
        <v>1732</v>
      </c>
      <c r="BN77" t="s">
        <v>74</v>
      </c>
      <c r="BO77" t="s">
        <v>1733</v>
      </c>
      <c r="BP77" t="s">
        <v>74</v>
      </c>
      <c r="BQ77" t="s">
        <v>74</v>
      </c>
      <c r="BR77" t="s">
        <v>103</v>
      </c>
      <c r="BS77" t="s">
        <v>1734</v>
      </c>
      <c r="BT77" t="str">
        <f>HYPERLINK("https%3A%2F%2Fwww.webofscience.com%2Fwos%2Fwoscc%2Ffull-record%2FWOS:000332813200004","View Full Record in Web of Science")</f>
        <v>View Full Record in Web of Science</v>
      </c>
    </row>
    <row r="78" spans="1:72" x14ac:dyDescent="0.15">
      <c r="A78" t="s">
        <v>72</v>
      </c>
      <c r="B78" t="s">
        <v>1735</v>
      </c>
      <c r="C78" t="s">
        <v>74</v>
      </c>
      <c r="D78" t="s">
        <v>74</v>
      </c>
      <c r="E78" t="s">
        <v>74</v>
      </c>
      <c r="F78" t="s">
        <v>1736</v>
      </c>
      <c r="G78" t="s">
        <v>74</v>
      </c>
      <c r="H78" t="s">
        <v>74</v>
      </c>
      <c r="I78" t="s">
        <v>1737</v>
      </c>
      <c r="J78" t="s">
        <v>1712</v>
      </c>
      <c r="K78" t="s">
        <v>74</v>
      </c>
      <c r="L78" t="s">
        <v>74</v>
      </c>
      <c r="M78" t="s">
        <v>78</v>
      </c>
      <c r="N78" t="s">
        <v>79</v>
      </c>
      <c r="O78" t="s">
        <v>74</v>
      </c>
      <c r="P78" t="s">
        <v>74</v>
      </c>
      <c r="Q78" t="s">
        <v>74</v>
      </c>
      <c r="R78" t="s">
        <v>74</v>
      </c>
      <c r="S78" t="s">
        <v>74</v>
      </c>
      <c r="T78" t="s">
        <v>1738</v>
      </c>
      <c r="U78" t="s">
        <v>1739</v>
      </c>
      <c r="V78" t="s">
        <v>1740</v>
      </c>
      <c r="W78" t="s">
        <v>1741</v>
      </c>
      <c r="X78" t="s">
        <v>709</v>
      </c>
      <c r="Y78" t="s">
        <v>1742</v>
      </c>
      <c r="Z78" t="s">
        <v>1743</v>
      </c>
      <c r="AA78" t="s">
        <v>1744</v>
      </c>
      <c r="AB78" t="s">
        <v>1745</v>
      </c>
      <c r="AC78" t="s">
        <v>1746</v>
      </c>
      <c r="AD78" t="s">
        <v>1747</v>
      </c>
      <c r="AE78" t="s">
        <v>74</v>
      </c>
      <c r="AF78" t="s">
        <v>74</v>
      </c>
      <c r="AG78">
        <v>50</v>
      </c>
      <c r="AH78">
        <v>16</v>
      </c>
      <c r="AI78">
        <v>17</v>
      </c>
      <c r="AJ78">
        <v>0</v>
      </c>
      <c r="AK78">
        <v>11</v>
      </c>
      <c r="AL78" t="s">
        <v>1748</v>
      </c>
      <c r="AM78" t="s">
        <v>1470</v>
      </c>
      <c r="AN78" t="s">
        <v>1749</v>
      </c>
      <c r="AO78" t="s">
        <v>1727</v>
      </c>
      <c r="AP78" t="s">
        <v>1728</v>
      </c>
      <c r="AQ78" t="s">
        <v>74</v>
      </c>
      <c r="AR78" t="s">
        <v>1729</v>
      </c>
      <c r="AS78" t="s">
        <v>1730</v>
      </c>
      <c r="AT78" t="s">
        <v>74</v>
      </c>
      <c r="AU78">
        <v>2014</v>
      </c>
      <c r="AV78">
        <v>60</v>
      </c>
      <c r="AW78">
        <v>219</v>
      </c>
      <c r="AX78" t="s">
        <v>74</v>
      </c>
      <c r="AY78" t="s">
        <v>74</v>
      </c>
      <c r="AZ78" t="s">
        <v>74</v>
      </c>
      <c r="BA78" t="s">
        <v>74</v>
      </c>
      <c r="BB78">
        <v>139</v>
      </c>
      <c r="BC78">
        <v>146</v>
      </c>
      <c r="BD78" t="s">
        <v>74</v>
      </c>
      <c r="BE78" t="s">
        <v>1750</v>
      </c>
      <c r="BF78" t="str">
        <f>HYPERLINK("http://dx.doi.org/10.3189/2014JoG13J089","http://dx.doi.org/10.3189/2014JoG13J089")</f>
        <v>http://dx.doi.org/10.3189/2014JoG13J089</v>
      </c>
      <c r="BG78" t="s">
        <v>74</v>
      </c>
      <c r="BH78" t="s">
        <v>74</v>
      </c>
      <c r="BI78">
        <v>8</v>
      </c>
      <c r="BJ78" t="s">
        <v>98</v>
      </c>
      <c r="BK78" t="s">
        <v>99</v>
      </c>
      <c r="BL78" t="s">
        <v>100</v>
      </c>
      <c r="BM78" t="s">
        <v>1732</v>
      </c>
      <c r="BN78" t="s">
        <v>74</v>
      </c>
      <c r="BO78" t="s">
        <v>1630</v>
      </c>
      <c r="BP78" t="s">
        <v>74</v>
      </c>
      <c r="BQ78" t="s">
        <v>74</v>
      </c>
      <c r="BR78" t="s">
        <v>103</v>
      </c>
      <c r="BS78" t="s">
        <v>1751</v>
      </c>
      <c r="BT78" t="str">
        <f>HYPERLINK("https%3A%2F%2Fwww.webofscience.com%2Fwos%2Fwoscc%2Ffull-record%2FWOS:000332813200013","View Full Record in Web of Science")</f>
        <v>View Full Record in Web of Science</v>
      </c>
    </row>
    <row r="79" spans="1:72" x14ac:dyDescent="0.15">
      <c r="A79" t="s">
        <v>72</v>
      </c>
      <c r="B79" t="s">
        <v>1752</v>
      </c>
      <c r="C79" t="s">
        <v>74</v>
      </c>
      <c r="D79" t="s">
        <v>74</v>
      </c>
      <c r="E79" t="s">
        <v>74</v>
      </c>
      <c r="F79" t="s">
        <v>1753</v>
      </c>
      <c r="G79" t="s">
        <v>74</v>
      </c>
      <c r="H79" t="s">
        <v>74</v>
      </c>
      <c r="I79" t="s">
        <v>1754</v>
      </c>
      <c r="J79" t="s">
        <v>1712</v>
      </c>
      <c r="K79" t="s">
        <v>74</v>
      </c>
      <c r="L79" t="s">
        <v>74</v>
      </c>
      <c r="M79" t="s">
        <v>78</v>
      </c>
      <c r="N79" t="s">
        <v>79</v>
      </c>
      <c r="O79" t="s">
        <v>74</v>
      </c>
      <c r="P79" t="s">
        <v>74</v>
      </c>
      <c r="Q79" t="s">
        <v>74</v>
      </c>
      <c r="R79" t="s">
        <v>74</v>
      </c>
      <c r="S79" t="s">
        <v>74</v>
      </c>
      <c r="T79" t="s">
        <v>1755</v>
      </c>
      <c r="U79" t="s">
        <v>1756</v>
      </c>
      <c r="V79" t="s">
        <v>1757</v>
      </c>
      <c r="W79" t="s">
        <v>1758</v>
      </c>
      <c r="X79" t="s">
        <v>1759</v>
      </c>
      <c r="Y79" t="s">
        <v>1760</v>
      </c>
      <c r="Z79" t="s">
        <v>1761</v>
      </c>
      <c r="AA79" t="s">
        <v>1762</v>
      </c>
      <c r="AB79" t="s">
        <v>1763</v>
      </c>
      <c r="AC79" t="s">
        <v>1764</v>
      </c>
      <c r="AD79" t="s">
        <v>1765</v>
      </c>
      <c r="AE79" t="s">
        <v>1766</v>
      </c>
      <c r="AF79" t="s">
        <v>74</v>
      </c>
      <c r="AG79">
        <v>44</v>
      </c>
      <c r="AH79">
        <v>103</v>
      </c>
      <c r="AI79">
        <v>112</v>
      </c>
      <c r="AJ79">
        <v>1</v>
      </c>
      <c r="AK79">
        <v>31</v>
      </c>
      <c r="AL79" t="s">
        <v>1748</v>
      </c>
      <c r="AM79" t="s">
        <v>1470</v>
      </c>
      <c r="AN79" t="s">
        <v>1749</v>
      </c>
      <c r="AO79" t="s">
        <v>1727</v>
      </c>
      <c r="AP79" t="s">
        <v>1728</v>
      </c>
      <c r="AQ79" t="s">
        <v>74</v>
      </c>
      <c r="AR79" t="s">
        <v>1729</v>
      </c>
      <c r="AS79" t="s">
        <v>1730</v>
      </c>
      <c r="AT79" t="s">
        <v>74</v>
      </c>
      <c r="AU79">
        <v>2014</v>
      </c>
      <c r="AV79">
        <v>60</v>
      </c>
      <c r="AW79">
        <v>220</v>
      </c>
      <c r="AX79" t="s">
        <v>74</v>
      </c>
      <c r="AY79" t="s">
        <v>74</v>
      </c>
      <c r="AZ79" t="s">
        <v>74</v>
      </c>
      <c r="BA79" t="s">
        <v>74</v>
      </c>
      <c r="BB79">
        <v>205</v>
      </c>
      <c r="BC79">
        <v>214</v>
      </c>
      <c r="BD79" t="s">
        <v>74</v>
      </c>
      <c r="BE79" t="s">
        <v>1767</v>
      </c>
      <c r="BF79" t="str">
        <f>HYPERLINK("http://dx.doi.org/10.3189/2014JoG13J183","http://dx.doi.org/10.3189/2014JoG13J183")</f>
        <v>http://dx.doi.org/10.3189/2014JoG13J183</v>
      </c>
      <c r="BG79" t="s">
        <v>74</v>
      </c>
      <c r="BH79" t="s">
        <v>74</v>
      </c>
      <c r="BI79">
        <v>10</v>
      </c>
      <c r="BJ79" t="s">
        <v>98</v>
      </c>
      <c r="BK79" t="s">
        <v>99</v>
      </c>
      <c r="BL79" t="s">
        <v>100</v>
      </c>
      <c r="BM79" t="s">
        <v>1768</v>
      </c>
      <c r="BN79" t="s">
        <v>74</v>
      </c>
      <c r="BO79" t="s">
        <v>1769</v>
      </c>
      <c r="BP79" t="s">
        <v>74</v>
      </c>
      <c r="BQ79" t="s">
        <v>74</v>
      </c>
      <c r="BR79" t="s">
        <v>103</v>
      </c>
      <c r="BS79" t="s">
        <v>1770</v>
      </c>
      <c r="BT79" t="str">
        <f>HYPERLINK("https%3A%2F%2Fwww.webofscience.com%2Fwos%2Fwoscc%2Ffull-record%2FWOS:000336198100001","View Full Record in Web of Science")</f>
        <v>View Full Record in Web of Science</v>
      </c>
    </row>
    <row r="80" spans="1:72" x14ac:dyDescent="0.15">
      <c r="A80" t="s">
        <v>72</v>
      </c>
      <c r="B80" t="s">
        <v>1771</v>
      </c>
      <c r="C80" t="s">
        <v>74</v>
      </c>
      <c r="D80" t="s">
        <v>74</v>
      </c>
      <c r="E80" t="s">
        <v>74</v>
      </c>
      <c r="F80" t="s">
        <v>1772</v>
      </c>
      <c r="G80" t="s">
        <v>74</v>
      </c>
      <c r="H80" t="s">
        <v>74</v>
      </c>
      <c r="I80" t="s">
        <v>1773</v>
      </c>
      <c r="J80" t="s">
        <v>1712</v>
      </c>
      <c r="K80" t="s">
        <v>74</v>
      </c>
      <c r="L80" t="s">
        <v>74</v>
      </c>
      <c r="M80" t="s">
        <v>78</v>
      </c>
      <c r="N80" t="s">
        <v>79</v>
      </c>
      <c r="O80" t="s">
        <v>74</v>
      </c>
      <c r="P80" t="s">
        <v>74</v>
      </c>
      <c r="Q80" t="s">
        <v>74</v>
      </c>
      <c r="R80" t="s">
        <v>74</v>
      </c>
      <c r="S80" t="s">
        <v>74</v>
      </c>
      <c r="T80" t="s">
        <v>1774</v>
      </c>
      <c r="U80" t="s">
        <v>1775</v>
      </c>
      <c r="V80" t="s">
        <v>1776</v>
      </c>
      <c r="W80" t="s">
        <v>1777</v>
      </c>
      <c r="X80" t="s">
        <v>709</v>
      </c>
      <c r="Y80" t="s">
        <v>1778</v>
      </c>
      <c r="Z80" t="s">
        <v>1779</v>
      </c>
      <c r="AA80" t="s">
        <v>1780</v>
      </c>
      <c r="AB80" t="s">
        <v>1781</v>
      </c>
      <c r="AC80" t="s">
        <v>1782</v>
      </c>
      <c r="AD80" t="s">
        <v>1783</v>
      </c>
      <c r="AE80" t="s">
        <v>1784</v>
      </c>
      <c r="AF80" t="s">
        <v>74</v>
      </c>
      <c r="AG80">
        <v>39</v>
      </c>
      <c r="AH80">
        <v>5</v>
      </c>
      <c r="AI80">
        <v>5</v>
      </c>
      <c r="AJ80">
        <v>0</v>
      </c>
      <c r="AK80">
        <v>6</v>
      </c>
      <c r="AL80" t="s">
        <v>1748</v>
      </c>
      <c r="AM80" t="s">
        <v>1470</v>
      </c>
      <c r="AN80" t="s">
        <v>1749</v>
      </c>
      <c r="AO80" t="s">
        <v>1727</v>
      </c>
      <c r="AP80" t="s">
        <v>1728</v>
      </c>
      <c r="AQ80" t="s">
        <v>74</v>
      </c>
      <c r="AR80" t="s">
        <v>1729</v>
      </c>
      <c r="AS80" t="s">
        <v>1730</v>
      </c>
      <c r="AT80" t="s">
        <v>74</v>
      </c>
      <c r="AU80">
        <v>2014</v>
      </c>
      <c r="AV80">
        <v>60</v>
      </c>
      <c r="AW80">
        <v>220</v>
      </c>
      <c r="AX80" t="s">
        <v>74</v>
      </c>
      <c r="AY80" t="s">
        <v>74</v>
      </c>
      <c r="AZ80" t="s">
        <v>74</v>
      </c>
      <c r="BA80" t="s">
        <v>74</v>
      </c>
      <c r="BB80">
        <v>294</v>
      </c>
      <c r="BC80">
        <v>304</v>
      </c>
      <c r="BD80" t="s">
        <v>74</v>
      </c>
      <c r="BE80" t="s">
        <v>1785</v>
      </c>
      <c r="BF80" t="str">
        <f>HYPERLINK("http://dx.doi.org/10.3189/2014JoG13J092","http://dx.doi.org/10.3189/2014JoG13J092")</f>
        <v>http://dx.doi.org/10.3189/2014JoG13J092</v>
      </c>
      <c r="BG80" t="s">
        <v>74</v>
      </c>
      <c r="BH80" t="s">
        <v>74</v>
      </c>
      <c r="BI80">
        <v>11</v>
      </c>
      <c r="BJ80" t="s">
        <v>98</v>
      </c>
      <c r="BK80" t="s">
        <v>99</v>
      </c>
      <c r="BL80" t="s">
        <v>100</v>
      </c>
      <c r="BM80" t="s">
        <v>1768</v>
      </c>
      <c r="BN80" t="s">
        <v>74</v>
      </c>
      <c r="BO80" t="s">
        <v>1630</v>
      </c>
      <c r="BP80" t="s">
        <v>74</v>
      </c>
      <c r="BQ80" t="s">
        <v>74</v>
      </c>
      <c r="BR80" t="s">
        <v>103</v>
      </c>
      <c r="BS80" t="s">
        <v>1786</v>
      </c>
      <c r="BT80" t="str">
        <f>HYPERLINK("https%3A%2F%2Fwww.webofscience.com%2Fwos%2Fwoscc%2Ffull-record%2FWOS:000336198100009","View Full Record in Web of Science")</f>
        <v>View Full Record in Web of Science</v>
      </c>
    </row>
    <row r="81" spans="1:72" x14ac:dyDescent="0.15">
      <c r="A81" t="s">
        <v>72</v>
      </c>
      <c r="B81" t="s">
        <v>1787</v>
      </c>
      <c r="C81" t="s">
        <v>74</v>
      </c>
      <c r="D81" t="s">
        <v>74</v>
      </c>
      <c r="E81" t="s">
        <v>74</v>
      </c>
      <c r="F81" t="s">
        <v>1788</v>
      </c>
      <c r="G81" t="s">
        <v>74</v>
      </c>
      <c r="H81" t="s">
        <v>74</v>
      </c>
      <c r="I81" t="s">
        <v>1789</v>
      </c>
      <c r="J81" t="s">
        <v>1712</v>
      </c>
      <c r="K81" t="s">
        <v>74</v>
      </c>
      <c r="L81" t="s">
        <v>74</v>
      </c>
      <c r="M81" t="s">
        <v>78</v>
      </c>
      <c r="N81" t="s">
        <v>79</v>
      </c>
      <c r="O81" t="s">
        <v>74</v>
      </c>
      <c r="P81" t="s">
        <v>74</v>
      </c>
      <c r="Q81" t="s">
        <v>74</v>
      </c>
      <c r="R81" t="s">
        <v>74</v>
      </c>
      <c r="S81" t="s">
        <v>74</v>
      </c>
      <c r="T81" t="s">
        <v>1790</v>
      </c>
      <c r="U81" t="s">
        <v>1791</v>
      </c>
      <c r="V81" t="s">
        <v>1792</v>
      </c>
      <c r="W81" t="s">
        <v>1793</v>
      </c>
      <c r="X81" t="s">
        <v>1794</v>
      </c>
      <c r="Y81" t="s">
        <v>1795</v>
      </c>
      <c r="Z81" t="s">
        <v>1796</v>
      </c>
      <c r="AA81" t="s">
        <v>1797</v>
      </c>
      <c r="AB81" t="s">
        <v>1798</v>
      </c>
      <c r="AC81" t="s">
        <v>1799</v>
      </c>
      <c r="AD81" t="s">
        <v>1800</v>
      </c>
      <c r="AE81" t="s">
        <v>1801</v>
      </c>
      <c r="AF81" t="s">
        <v>74</v>
      </c>
      <c r="AG81">
        <v>42</v>
      </c>
      <c r="AH81">
        <v>13</v>
      </c>
      <c r="AI81">
        <v>16</v>
      </c>
      <c r="AJ81">
        <v>0</v>
      </c>
      <c r="AK81">
        <v>16</v>
      </c>
      <c r="AL81" t="s">
        <v>1748</v>
      </c>
      <c r="AM81" t="s">
        <v>1470</v>
      </c>
      <c r="AN81" t="s">
        <v>1749</v>
      </c>
      <c r="AO81" t="s">
        <v>1727</v>
      </c>
      <c r="AP81" t="s">
        <v>1728</v>
      </c>
      <c r="AQ81" t="s">
        <v>74</v>
      </c>
      <c r="AR81" t="s">
        <v>1729</v>
      </c>
      <c r="AS81" t="s">
        <v>1730</v>
      </c>
      <c r="AT81" t="s">
        <v>74</v>
      </c>
      <c r="AU81">
        <v>2014</v>
      </c>
      <c r="AV81">
        <v>60</v>
      </c>
      <c r="AW81">
        <v>220</v>
      </c>
      <c r="AX81" t="s">
        <v>74</v>
      </c>
      <c r="AY81" t="s">
        <v>74</v>
      </c>
      <c r="AZ81" t="s">
        <v>74</v>
      </c>
      <c r="BA81" t="s">
        <v>74</v>
      </c>
      <c r="BB81">
        <v>305</v>
      </c>
      <c r="BC81">
        <v>313</v>
      </c>
      <c r="BD81" t="s">
        <v>74</v>
      </c>
      <c r="BE81" t="s">
        <v>1802</v>
      </c>
      <c r="BF81" t="str">
        <f>HYPERLINK("http://dx.doi.org/10.3189/2014JoG13J117","http://dx.doi.org/10.3189/2014JoG13J117")</f>
        <v>http://dx.doi.org/10.3189/2014JoG13J117</v>
      </c>
      <c r="BG81" t="s">
        <v>74</v>
      </c>
      <c r="BH81" t="s">
        <v>74</v>
      </c>
      <c r="BI81">
        <v>9</v>
      </c>
      <c r="BJ81" t="s">
        <v>98</v>
      </c>
      <c r="BK81" t="s">
        <v>99</v>
      </c>
      <c r="BL81" t="s">
        <v>100</v>
      </c>
      <c r="BM81" t="s">
        <v>1768</v>
      </c>
      <c r="BN81" t="s">
        <v>74</v>
      </c>
      <c r="BO81" t="s">
        <v>475</v>
      </c>
      <c r="BP81" t="s">
        <v>74</v>
      </c>
      <c r="BQ81" t="s">
        <v>74</v>
      </c>
      <c r="BR81" t="s">
        <v>103</v>
      </c>
      <c r="BS81" t="s">
        <v>1803</v>
      </c>
      <c r="BT81" t="str">
        <f>HYPERLINK("https%3A%2F%2Fwww.webofscience.com%2Fwos%2Fwoscc%2Ffull-record%2FWOS:000336198100010","View Full Record in Web of Science")</f>
        <v>View Full Record in Web of Science</v>
      </c>
    </row>
    <row r="82" spans="1:72" x14ac:dyDescent="0.15">
      <c r="A82" t="s">
        <v>72</v>
      </c>
      <c r="B82" t="s">
        <v>1804</v>
      </c>
      <c r="C82" t="s">
        <v>74</v>
      </c>
      <c r="D82" t="s">
        <v>74</v>
      </c>
      <c r="E82" t="s">
        <v>74</v>
      </c>
      <c r="F82" t="s">
        <v>1805</v>
      </c>
      <c r="G82" t="s">
        <v>74</v>
      </c>
      <c r="H82" t="s">
        <v>74</v>
      </c>
      <c r="I82" t="s">
        <v>1806</v>
      </c>
      <c r="J82" t="s">
        <v>1712</v>
      </c>
      <c r="K82" t="s">
        <v>74</v>
      </c>
      <c r="L82" t="s">
        <v>74</v>
      </c>
      <c r="M82" t="s">
        <v>78</v>
      </c>
      <c r="N82" t="s">
        <v>79</v>
      </c>
      <c r="O82" t="s">
        <v>74</v>
      </c>
      <c r="P82" t="s">
        <v>74</v>
      </c>
      <c r="Q82" t="s">
        <v>74</v>
      </c>
      <c r="R82" t="s">
        <v>74</v>
      </c>
      <c r="S82" t="s">
        <v>74</v>
      </c>
      <c r="T82" t="s">
        <v>1807</v>
      </c>
      <c r="U82" t="s">
        <v>1808</v>
      </c>
      <c r="V82" t="s">
        <v>1809</v>
      </c>
      <c r="W82" t="s">
        <v>1810</v>
      </c>
      <c r="X82" t="s">
        <v>1811</v>
      </c>
      <c r="Y82" t="s">
        <v>1812</v>
      </c>
      <c r="Z82" t="s">
        <v>1813</v>
      </c>
      <c r="AA82" t="s">
        <v>1814</v>
      </c>
      <c r="AB82" t="s">
        <v>1815</v>
      </c>
      <c r="AC82" t="s">
        <v>1816</v>
      </c>
      <c r="AD82" t="s">
        <v>1817</v>
      </c>
      <c r="AE82" t="s">
        <v>1818</v>
      </c>
      <c r="AF82" t="s">
        <v>74</v>
      </c>
      <c r="AG82">
        <v>28</v>
      </c>
      <c r="AH82">
        <v>18</v>
      </c>
      <c r="AI82">
        <v>24</v>
      </c>
      <c r="AJ82">
        <v>0</v>
      </c>
      <c r="AK82">
        <v>29</v>
      </c>
      <c r="AL82" t="s">
        <v>1725</v>
      </c>
      <c r="AM82" t="s">
        <v>1470</v>
      </c>
      <c r="AN82" t="s">
        <v>1726</v>
      </c>
      <c r="AO82" t="s">
        <v>1727</v>
      </c>
      <c r="AP82" t="s">
        <v>1728</v>
      </c>
      <c r="AQ82" t="s">
        <v>74</v>
      </c>
      <c r="AR82" t="s">
        <v>1729</v>
      </c>
      <c r="AS82" t="s">
        <v>1730</v>
      </c>
      <c r="AT82" t="s">
        <v>74</v>
      </c>
      <c r="AU82">
        <v>2014</v>
      </c>
      <c r="AV82">
        <v>60</v>
      </c>
      <c r="AW82">
        <v>220</v>
      </c>
      <c r="AX82" t="s">
        <v>74</v>
      </c>
      <c r="AY82" t="s">
        <v>74</v>
      </c>
      <c r="AZ82" t="s">
        <v>74</v>
      </c>
      <c r="BA82" t="s">
        <v>74</v>
      </c>
      <c r="BB82">
        <v>345</v>
      </c>
      <c r="BC82">
        <v>352</v>
      </c>
      <c r="BD82" t="s">
        <v>74</v>
      </c>
      <c r="BE82" t="s">
        <v>1819</v>
      </c>
      <c r="BF82" t="str">
        <f>HYPERLINK("http://dx.doi.org/10.3189/2014JoG13J014","http://dx.doi.org/10.3189/2014JoG13J014")</f>
        <v>http://dx.doi.org/10.3189/2014JoG13J014</v>
      </c>
      <c r="BG82" t="s">
        <v>74</v>
      </c>
      <c r="BH82" t="s">
        <v>74</v>
      </c>
      <c r="BI82">
        <v>8</v>
      </c>
      <c r="BJ82" t="s">
        <v>98</v>
      </c>
      <c r="BK82" t="s">
        <v>99</v>
      </c>
      <c r="BL82" t="s">
        <v>100</v>
      </c>
      <c r="BM82" t="s">
        <v>1768</v>
      </c>
      <c r="BN82" t="s">
        <v>74</v>
      </c>
      <c r="BO82" t="s">
        <v>524</v>
      </c>
      <c r="BP82" t="s">
        <v>74</v>
      </c>
      <c r="BQ82" t="s">
        <v>74</v>
      </c>
      <c r="BR82" t="s">
        <v>103</v>
      </c>
      <c r="BS82" t="s">
        <v>1820</v>
      </c>
      <c r="BT82" t="str">
        <f>HYPERLINK("https%3A%2F%2Fwww.webofscience.com%2Fwos%2Fwoscc%2Ffull-record%2FWOS:000336198100014","View Full Record in Web of Science")</f>
        <v>View Full Record in Web of Science</v>
      </c>
    </row>
    <row r="83" spans="1:72" x14ac:dyDescent="0.15">
      <c r="A83" t="s">
        <v>72</v>
      </c>
      <c r="B83" t="s">
        <v>1821</v>
      </c>
      <c r="C83" t="s">
        <v>74</v>
      </c>
      <c r="D83" t="s">
        <v>74</v>
      </c>
      <c r="E83" t="s">
        <v>74</v>
      </c>
      <c r="F83" t="s">
        <v>1822</v>
      </c>
      <c r="G83" t="s">
        <v>74</v>
      </c>
      <c r="H83" t="s">
        <v>74</v>
      </c>
      <c r="I83" t="s">
        <v>1823</v>
      </c>
      <c r="J83" t="s">
        <v>1712</v>
      </c>
      <c r="K83" t="s">
        <v>74</v>
      </c>
      <c r="L83" t="s">
        <v>74</v>
      </c>
      <c r="M83" t="s">
        <v>78</v>
      </c>
      <c r="N83" t="s">
        <v>79</v>
      </c>
      <c r="O83" t="s">
        <v>74</v>
      </c>
      <c r="P83" t="s">
        <v>74</v>
      </c>
      <c r="Q83" t="s">
        <v>74</v>
      </c>
      <c r="R83" t="s">
        <v>74</v>
      </c>
      <c r="S83" t="s">
        <v>74</v>
      </c>
      <c r="T83" t="s">
        <v>1790</v>
      </c>
      <c r="U83" t="s">
        <v>1824</v>
      </c>
      <c r="V83" t="s">
        <v>1825</v>
      </c>
      <c r="W83" t="s">
        <v>1826</v>
      </c>
      <c r="X83" t="s">
        <v>1827</v>
      </c>
      <c r="Y83" t="s">
        <v>1828</v>
      </c>
      <c r="Z83" t="s">
        <v>1829</v>
      </c>
      <c r="AA83" t="s">
        <v>1830</v>
      </c>
      <c r="AB83" t="s">
        <v>1831</v>
      </c>
      <c r="AC83" t="s">
        <v>1832</v>
      </c>
      <c r="AD83" t="s">
        <v>1832</v>
      </c>
      <c r="AE83" t="s">
        <v>1833</v>
      </c>
      <c r="AF83" t="s">
        <v>74</v>
      </c>
      <c r="AG83">
        <v>23</v>
      </c>
      <c r="AH83">
        <v>78</v>
      </c>
      <c r="AI83">
        <v>79</v>
      </c>
      <c r="AJ83">
        <v>0</v>
      </c>
      <c r="AK83">
        <v>9</v>
      </c>
      <c r="AL83" t="s">
        <v>1748</v>
      </c>
      <c r="AM83" t="s">
        <v>1470</v>
      </c>
      <c r="AN83" t="s">
        <v>1749</v>
      </c>
      <c r="AO83" t="s">
        <v>1727</v>
      </c>
      <c r="AP83" t="s">
        <v>1728</v>
      </c>
      <c r="AQ83" t="s">
        <v>74</v>
      </c>
      <c r="AR83" t="s">
        <v>1729</v>
      </c>
      <c r="AS83" t="s">
        <v>1730</v>
      </c>
      <c r="AT83" t="s">
        <v>74</v>
      </c>
      <c r="AU83">
        <v>2014</v>
      </c>
      <c r="AV83">
        <v>60</v>
      </c>
      <c r="AW83">
        <v>220</v>
      </c>
      <c r="AX83" t="s">
        <v>74</v>
      </c>
      <c r="AY83" t="s">
        <v>74</v>
      </c>
      <c r="AZ83" t="s">
        <v>74</v>
      </c>
      <c r="BA83" t="s">
        <v>74</v>
      </c>
      <c r="BB83">
        <v>353</v>
      </c>
      <c r="BC83">
        <v>360</v>
      </c>
      <c r="BD83" t="s">
        <v>74</v>
      </c>
      <c r="BE83" t="s">
        <v>1834</v>
      </c>
      <c r="BF83" t="str">
        <f>HYPERLINK("http://dx.doi.org/10.3189/2014JoG13J093","http://dx.doi.org/10.3189/2014JoG13J093")</f>
        <v>http://dx.doi.org/10.3189/2014JoG13J093</v>
      </c>
      <c r="BG83" t="s">
        <v>74</v>
      </c>
      <c r="BH83" t="s">
        <v>74</v>
      </c>
      <c r="BI83">
        <v>8</v>
      </c>
      <c r="BJ83" t="s">
        <v>98</v>
      </c>
      <c r="BK83" t="s">
        <v>99</v>
      </c>
      <c r="BL83" t="s">
        <v>100</v>
      </c>
      <c r="BM83" t="s">
        <v>1768</v>
      </c>
      <c r="BN83" t="s">
        <v>74</v>
      </c>
      <c r="BO83" t="s">
        <v>475</v>
      </c>
      <c r="BP83" t="s">
        <v>74</v>
      </c>
      <c r="BQ83" t="s">
        <v>74</v>
      </c>
      <c r="BR83" t="s">
        <v>103</v>
      </c>
      <c r="BS83" t="s">
        <v>1835</v>
      </c>
      <c r="BT83" t="str">
        <f>HYPERLINK("https%3A%2F%2Fwww.webofscience.com%2Fwos%2Fwoscc%2Ffull-record%2FWOS:000336198100015","View Full Record in Web of Science")</f>
        <v>View Full Record in Web of Science</v>
      </c>
    </row>
    <row r="84" spans="1:72" x14ac:dyDescent="0.15">
      <c r="A84" t="s">
        <v>72</v>
      </c>
      <c r="B84" t="s">
        <v>1836</v>
      </c>
      <c r="C84" t="s">
        <v>74</v>
      </c>
      <c r="D84" t="s">
        <v>74</v>
      </c>
      <c r="E84" t="s">
        <v>74</v>
      </c>
      <c r="F84" t="s">
        <v>1837</v>
      </c>
      <c r="G84" t="s">
        <v>74</v>
      </c>
      <c r="H84" t="s">
        <v>1838</v>
      </c>
      <c r="I84" t="s">
        <v>1839</v>
      </c>
      <c r="J84" t="s">
        <v>1712</v>
      </c>
      <c r="K84" t="s">
        <v>74</v>
      </c>
      <c r="L84" t="s">
        <v>74</v>
      </c>
      <c r="M84" t="s">
        <v>78</v>
      </c>
      <c r="N84" t="s">
        <v>79</v>
      </c>
      <c r="O84" t="s">
        <v>74</v>
      </c>
      <c r="P84" t="s">
        <v>74</v>
      </c>
      <c r="Q84" t="s">
        <v>74</v>
      </c>
      <c r="R84" t="s">
        <v>74</v>
      </c>
      <c r="S84" t="s">
        <v>74</v>
      </c>
      <c r="T84" t="s">
        <v>1840</v>
      </c>
      <c r="U84" t="s">
        <v>1841</v>
      </c>
      <c r="V84" t="s">
        <v>1842</v>
      </c>
      <c r="W84" t="s">
        <v>1843</v>
      </c>
      <c r="X84" t="s">
        <v>1844</v>
      </c>
      <c r="Y84" t="s">
        <v>1845</v>
      </c>
      <c r="Z84" t="s">
        <v>1846</v>
      </c>
      <c r="AA84" t="s">
        <v>1847</v>
      </c>
      <c r="AB84" t="s">
        <v>1848</v>
      </c>
      <c r="AC84" t="s">
        <v>1849</v>
      </c>
      <c r="AD84" t="s">
        <v>1850</v>
      </c>
      <c r="AE84" t="s">
        <v>1851</v>
      </c>
      <c r="AF84" t="s">
        <v>74</v>
      </c>
      <c r="AG84">
        <v>60</v>
      </c>
      <c r="AH84">
        <v>797</v>
      </c>
      <c r="AI84">
        <v>862</v>
      </c>
      <c r="AJ84">
        <v>16</v>
      </c>
      <c r="AK84">
        <v>283</v>
      </c>
      <c r="AL84" t="s">
        <v>1725</v>
      </c>
      <c r="AM84" t="s">
        <v>1470</v>
      </c>
      <c r="AN84" t="s">
        <v>1726</v>
      </c>
      <c r="AO84" t="s">
        <v>1727</v>
      </c>
      <c r="AP84" t="s">
        <v>1728</v>
      </c>
      <c r="AQ84" t="s">
        <v>74</v>
      </c>
      <c r="AR84" t="s">
        <v>1729</v>
      </c>
      <c r="AS84" t="s">
        <v>1730</v>
      </c>
      <c r="AT84" t="s">
        <v>74</v>
      </c>
      <c r="AU84">
        <v>2014</v>
      </c>
      <c r="AV84">
        <v>60</v>
      </c>
      <c r="AW84">
        <v>221</v>
      </c>
      <c r="AX84" t="s">
        <v>74</v>
      </c>
      <c r="AY84" t="s">
        <v>74</v>
      </c>
      <c r="AZ84" t="s">
        <v>74</v>
      </c>
      <c r="BA84" t="s">
        <v>74</v>
      </c>
      <c r="BB84">
        <v>537</v>
      </c>
      <c r="BC84">
        <v>552</v>
      </c>
      <c r="BD84" t="s">
        <v>74</v>
      </c>
      <c r="BE84" t="s">
        <v>1852</v>
      </c>
      <c r="BF84" t="str">
        <f>HYPERLINK("http://dx.doi.org/10.3189/2014JoG13J176","http://dx.doi.org/10.3189/2014JoG13J176")</f>
        <v>http://dx.doi.org/10.3189/2014JoG13J176</v>
      </c>
      <c r="BG84" t="s">
        <v>74</v>
      </c>
      <c r="BH84" t="s">
        <v>74</v>
      </c>
      <c r="BI84">
        <v>16</v>
      </c>
      <c r="BJ84" t="s">
        <v>98</v>
      </c>
      <c r="BK84" t="s">
        <v>99</v>
      </c>
      <c r="BL84" t="s">
        <v>100</v>
      </c>
      <c r="BM84" t="s">
        <v>1853</v>
      </c>
      <c r="BN84" t="s">
        <v>74</v>
      </c>
      <c r="BO84" t="s">
        <v>1854</v>
      </c>
      <c r="BP84" t="s">
        <v>120</v>
      </c>
      <c r="BQ84" t="s">
        <v>121</v>
      </c>
      <c r="BR84" t="s">
        <v>103</v>
      </c>
      <c r="BS84" t="s">
        <v>1855</v>
      </c>
      <c r="BT84" t="str">
        <f>HYPERLINK("https%3A%2F%2Fwww.webofscience.com%2Fwos%2Fwoscc%2Ffull-record%2FWOS:000339140300012","View Full Record in Web of Science")</f>
        <v>View Full Record in Web of Science</v>
      </c>
    </row>
    <row r="85" spans="1:72" x14ac:dyDescent="0.15">
      <c r="A85" t="s">
        <v>72</v>
      </c>
      <c r="B85" t="s">
        <v>1856</v>
      </c>
      <c r="C85" t="s">
        <v>74</v>
      </c>
      <c r="D85" t="s">
        <v>74</v>
      </c>
      <c r="E85" t="s">
        <v>74</v>
      </c>
      <c r="F85" t="s">
        <v>1857</v>
      </c>
      <c r="G85" t="s">
        <v>74</v>
      </c>
      <c r="H85" t="s">
        <v>74</v>
      </c>
      <c r="I85" t="s">
        <v>1858</v>
      </c>
      <c r="J85" t="s">
        <v>1712</v>
      </c>
      <c r="K85" t="s">
        <v>74</v>
      </c>
      <c r="L85" t="s">
        <v>74</v>
      </c>
      <c r="M85" t="s">
        <v>78</v>
      </c>
      <c r="N85" t="s">
        <v>79</v>
      </c>
      <c r="O85" t="s">
        <v>74</v>
      </c>
      <c r="P85" t="s">
        <v>74</v>
      </c>
      <c r="Q85" t="s">
        <v>74</v>
      </c>
      <c r="R85" t="s">
        <v>74</v>
      </c>
      <c r="S85" t="s">
        <v>74</v>
      </c>
      <c r="T85" t="s">
        <v>1859</v>
      </c>
      <c r="U85" t="s">
        <v>1860</v>
      </c>
      <c r="V85" t="s">
        <v>1861</v>
      </c>
      <c r="W85" t="s">
        <v>1862</v>
      </c>
      <c r="X85" t="s">
        <v>1863</v>
      </c>
      <c r="Y85" t="s">
        <v>1864</v>
      </c>
      <c r="Z85" t="s">
        <v>1865</v>
      </c>
      <c r="AA85" t="s">
        <v>1866</v>
      </c>
      <c r="AB85" t="s">
        <v>1867</v>
      </c>
      <c r="AC85" t="s">
        <v>1868</v>
      </c>
      <c r="AD85" t="s">
        <v>1628</v>
      </c>
      <c r="AE85" t="s">
        <v>74</v>
      </c>
      <c r="AF85" t="s">
        <v>74</v>
      </c>
      <c r="AG85">
        <v>62</v>
      </c>
      <c r="AH85">
        <v>14</v>
      </c>
      <c r="AI85">
        <v>15</v>
      </c>
      <c r="AJ85">
        <v>0</v>
      </c>
      <c r="AK85">
        <v>11</v>
      </c>
      <c r="AL85" t="s">
        <v>1748</v>
      </c>
      <c r="AM85" t="s">
        <v>1470</v>
      </c>
      <c r="AN85" t="s">
        <v>1749</v>
      </c>
      <c r="AO85" t="s">
        <v>1727</v>
      </c>
      <c r="AP85" t="s">
        <v>1728</v>
      </c>
      <c r="AQ85" t="s">
        <v>74</v>
      </c>
      <c r="AR85" t="s">
        <v>1729</v>
      </c>
      <c r="AS85" t="s">
        <v>1730</v>
      </c>
      <c r="AT85" t="s">
        <v>74</v>
      </c>
      <c r="AU85">
        <v>2014</v>
      </c>
      <c r="AV85">
        <v>60</v>
      </c>
      <c r="AW85">
        <v>221</v>
      </c>
      <c r="AX85" t="s">
        <v>74</v>
      </c>
      <c r="AY85" t="s">
        <v>74</v>
      </c>
      <c r="AZ85" t="s">
        <v>74</v>
      </c>
      <c r="BA85" t="s">
        <v>74</v>
      </c>
      <c r="BB85">
        <v>553</v>
      </c>
      <c r="BC85">
        <v>562</v>
      </c>
      <c r="BD85" t="s">
        <v>74</v>
      </c>
      <c r="BE85" t="s">
        <v>1869</v>
      </c>
      <c r="BF85" t="str">
        <f>HYPERLINK("http://dx.doi.org/10.3189/2014JoG13J180","http://dx.doi.org/10.3189/2014JoG13J180")</f>
        <v>http://dx.doi.org/10.3189/2014JoG13J180</v>
      </c>
      <c r="BG85" t="s">
        <v>74</v>
      </c>
      <c r="BH85" t="s">
        <v>74</v>
      </c>
      <c r="BI85">
        <v>10</v>
      </c>
      <c r="BJ85" t="s">
        <v>98</v>
      </c>
      <c r="BK85" t="s">
        <v>99</v>
      </c>
      <c r="BL85" t="s">
        <v>100</v>
      </c>
      <c r="BM85" t="s">
        <v>1853</v>
      </c>
      <c r="BN85" t="s">
        <v>74</v>
      </c>
      <c r="BO85" t="s">
        <v>1630</v>
      </c>
      <c r="BP85" t="s">
        <v>74</v>
      </c>
      <c r="BQ85" t="s">
        <v>74</v>
      </c>
      <c r="BR85" t="s">
        <v>103</v>
      </c>
      <c r="BS85" t="s">
        <v>1870</v>
      </c>
      <c r="BT85" t="str">
        <f>HYPERLINK("https%3A%2F%2Fwww.webofscience.com%2Fwos%2Fwoscc%2Ffull-record%2FWOS:000339140300013","View Full Record in Web of Science")</f>
        <v>View Full Record in Web of Science</v>
      </c>
    </row>
    <row r="86" spans="1:72" x14ac:dyDescent="0.15">
      <c r="A86" t="s">
        <v>72</v>
      </c>
      <c r="B86" t="s">
        <v>1871</v>
      </c>
      <c r="C86" t="s">
        <v>74</v>
      </c>
      <c r="D86" t="s">
        <v>74</v>
      </c>
      <c r="E86" t="s">
        <v>74</v>
      </c>
      <c r="F86" t="s">
        <v>1872</v>
      </c>
      <c r="G86" t="s">
        <v>74</v>
      </c>
      <c r="H86" t="s">
        <v>74</v>
      </c>
      <c r="I86" t="s">
        <v>1873</v>
      </c>
      <c r="J86" t="s">
        <v>1712</v>
      </c>
      <c r="K86" t="s">
        <v>74</v>
      </c>
      <c r="L86" t="s">
        <v>74</v>
      </c>
      <c r="M86" t="s">
        <v>78</v>
      </c>
      <c r="N86" t="s">
        <v>79</v>
      </c>
      <c r="O86" t="s">
        <v>74</v>
      </c>
      <c r="P86" t="s">
        <v>74</v>
      </c>
      <c r="Q86" t="s">
        <v>74</v>
      </c>
      <c r="R86" t="s">
        <v>74</v>
      </c>
      <c r="S86" t="s">
        <v>74</v>
      </c>
      <c r="T86" t="s">
        <v>1874</v>
      </c>
      <c r="U86" t="s">
        <v>1875</v>
      </c>
      <c r="V86" t="s">
        <v>1876</v>
      </c>
      <c r="W86" t="s">
        <v>1877</v>
      </c>
      <c r="X86" t="s">
        <v>1878</v>
      </c>
      <c r="Y86" t="s">
        <v>1879</v>
      </c>
      <c r="Z86" t="s">
        <v>1880</v>
      </c>
      <c r="AA86" t="s">
        <v>1881</v>
      </c>
      <c r="AB86" t="s">
        <v>1882</v>
      </c>
      <c r="AC86" t="s">
        <v>1883</v>
      </c>
      <c r="AD86" t="s">
        <v>1884</v>
      </c>
      <c r="AE86" t="s">
        <v>1885</v>
      </c>
      <c r="AF86" t="s">
        <v>74</v>
      </c>
      <c r="AG86">
        <v>44</v>
      </c>
      <c r="AH86">
        <v>192</v>
      </c>
      <c r="AI86">
        <v>209</v>
      </c>
      <c r="AJ86">
        <v>2</v>
      </c>
      <c r="AK86">
        <v>37</v>
      </c>
      <c r="AL86" t="s">
        <v>1725</v>
      </c>
      <c r="AM86" t="s">
        <v>1470</v>
      </c>
      <c r="AN86" t="s">
        <v>1726</v>
      </c>
      <c r="AO86" t="s">
        <v>1727</v>
      </c>
      <c r="AP86" t="s">
        <v>1728</v>
      </c>
      <c r="AQ86" t="s">
        <v>74</v>
      </c>
      <c r="AR86" t="s">
        <v>1729</v>
      </c>
      <c r="AS86" t="s">
        <v>1730</v>
      </c>
      <c r="AT86" t="s">
        <v>74</v>
      </c>
      <c r="AU86">
        <v>2014</v>
      </c>
      <c r="AV86">
        <v>60</v>
      </c>
      <c r="AW86">
        <v>222</v>
      </c>
      <c r="AX86" t="s">
        <v>74</v>
      </c>
      <c r="AY86" t="s">
        <v>74</v>
      </c>
      <c r="AZ86" t="s">
        <v>74</v>
      </c>
      <c r="BA86" t="s">
        <v>74</v>
      </c>
      <c r="BB86">
        <v>761</v>
      </c>
      <c r="BC86">
        <v>770</v>
      </c>
      <c r="BD86" t="s">
        <v>74</v>
      </c>
      <c r="BE86" t="s">
        <v>1886</v>
      </c>
      <c r="BF86" t="str">
        <f>HYPERLINK("http://dx.doi.org/10.3189/2014JoG14J051","http://dx.doi.org/10.3189/2014JoG14J051")</f>
        <v>http://dx.doi.org/10.3189/2014JoG14J051</v>
      </c>
      <c r="BG86" t="s">
        <v>74</v>
      </c>
      <c r="BH86" t="s">
        <v>74</v>
      </c>
      <c r="BI86">
        <v>10</v>
      </c>
      <c r="BJ86" t="s">
        <v>98</v>
      </c>
      <c r="BK86" t="s">
        <v>99</v>
      </c>
      <c r="BL86" t="s">
        <v>100</v>
      </c>
      <c r="BM86" t="s">
        <v>1887</v>
      </c>
      <c r="BN86" t="s">
        <v>74</v>
      </c>
      <c r="BO86" t="s">
        <v>1733</v>
      </c>
      <c r="BP86" t="s">
        <v>74</v>
      </c>
      <c r="BQ86" t="s">
        <v>74</v>
      </c>
      <c r="BR86" t="s">
        <v>103</v>
      </c>
      <c r="BS86" t="s">
        <v>1888</v>
      </c>
      <c r="BT86" t="str">
        <f>HYPERLINK("https%3A%2F%2Fwww.webofscience.com%2Fwos%2Fwoscc%2Ffull-record%2FWOS:000343272100014","View Full Record in Web of Science")</f>
        <v>View Full Record in Web of Science</v>
      </c>
    </row>
    <row r="87" spans="1:72" x14ac:dyDescent="0.15">
      <c r="A87" t="s">
        <v>72</v>
      </c>
      <c r="B87" t="s">
        <v>1889</v>
      </c>
      <c r="C87" t="s">
        <v>74</v>
      </c>
      <c r="D87" t="s">
        <v>74</v>
      </c>
      <c r="E87" t="s">
        <v>74</v>
      </c>
      <c r="F87" t="s">
        <v>1890</v>
      </c>
      <c r="G87" t="s">
        <v>74</v>
      </c>
      <c r="H87" t="s">
        <v>74</v>
      </c>
      <c r="I87" t="s">
        <v>1891</v>
      </c>
      <c r="J87" t="s">
        <v>1712</v>
      </c>
      <c r="K87" t="s">
        <v>74</v>
      </c>
      <c r="L87" t="s">
        <v>74</v>
      </c>
      <c r="M87" t="s">
        <v>78</v>
      </c>
      <c r="N87" t="s">
        <v>79</v>
      </c>
      <c r="O87" t="s">
        <v>74</v>
      </c>
      <c r="P87" t="s">
        <v>74</v>
      </c>
      <c r="Q87" t="s">
        <v>74</v>
      </c>
      <c r="R87" t="s">
        <v>74</v>
      </c>
      <c r="S87" t="s">
        <v>74</v>
      </c>
      <c r="T87" t="s">
        <v>1892</v>
      </c>
      <c r="U87" t="s">
        <v>1893</v>
      </c>
      <c r="V87" t="s">
        <v>1894</v>
      </c>
      <c r="W87" t="s">
        <v>1895</v>
      </c>
      <c r="X87" t="s">
        <v>1896</v>
      </c>
      <c r="Y87" t="s">
        <v>1897</v>
      </c>
      <c r="Z87" t="s">
        <v>1898</v>
      </c>
      <c r="AA87" t="s">
        <v>74</v>
      </c>
      <c r="AB87" t="s">
        <v>1899</v>
      </c>
      <c r="AC87" t="s">
        <v>1900</v>
      </c>
      <c r="AD87" t="s">
        <v>1901</v>
      </c>
      <c r="AE87" t="s">
        <v>1902</v>
      </c>
      <c r="AF87" t="s">
        <v>74</v>
      </c>
      <c r="AG87">
        <v>31</v>
      </c>
      <c r="AH87">
        <v>8</v>
      </c>
      <c r="AI87">
        <v>9</v>
      </c>
      <c r="AJ87">
        <v>1</v>
      </c>
      <c r="AK87">
        <v>13</v>
      </c>
      <c r="AL87" t="s">
        <v>1748</v>
      </c>
      <c r="AM87" t="s">
        <v>1470</v>
      </c>
      <c r="AN87" t="s">
        <v>1749</v>
      </c>
      <c r="AO87" t="s">
        <v>1727</v>
      </c>
      <c r="AP87" t="s">
        <v>1728</v>
      </c>
      <c r="AQ87" t="s">
        <v>74</v>
      </c>
      <c r="AR87" t="s">
        <v>1729</v>
      </c>
      <c r="AS87" t="s">
        <v>1730</v>
      </c>
      <c r="AT87" t="s">
        <v>74</v>
      </c>
      <c r="AU87">
        <v>2014</v>
      </c>
      <c r="AV87">
        <v>60</v>
      </c>
      <c r="AW87">
        <v>223</v>
      </c>
      <c r="AX87" t="s">
        <v>74</v>
      </c>
      <c r="AY87" t="s">
        <v>74</v>
      </c>
      <c r="AZ87" t="s">
        <v>74</v>
      </c>
      <c r="BA87" t="s">
        <v>74</v>
      </c>
      <c r="BB87">
        <v>1007</v>
      </c>
      <c r="BC87">
        <v>1014</v>
      </c>
      <c r="BD87" t="s">
        <v>74</v>
      </c>
      <c r="BE87" t="s">
        <v>1903</v>
      </c>
      <c r="BF87" t="str">
        <f>HYPERLINK("http://dx.doi.org/10.3189/2014JoG14J067","http://dx.doi.org/10.3189/2014JoG14J067")</f>
        <v>http://dx.doi.org/10.3189/2014JoG14J067</v>
      </c>
      <c r="BG87" t="s">
        <v>74</v>
      </c>
      <c r="BH87" t="s">
        <v>74</v>
      </c>
      <c r="BI87">
        <v>8</v>
      </c>
      <c r="BJ87" t="s">
        <v>98</v>
      </c>
      <c r="BK87" t="s">
        <v>99</v>
      </c>
      <c r="BL87" t="s">
        <v>100</v>
      </c>
      <c r="BM87" t="s">
        <v>1904</v>
      </c>
      <c r="BN87" t="s">
        <v>74</v>
      </c>
      <c r="BO87" t="s">
        <v>475</v>
      </c>
      <c r="BP87" t="s">
        <v>74</v>
      </c>
      <c r="BQ87" t="s">
        <v>74</v>
      </c>
      <c r="BR87" t="s">
        <v>103</v>
      </c>
      <c r="BS87" t="s">
        <v>1905</v>
      </c>
      <c r="BT87" t="str">
        <f>HYPERLINK("https%3A%2F%2Fwww.webofscience.com%2Fwos%2Fwoscc%2Ffull-record%2FWOS:000345540400015","View Full Record in Web of Science")</f>
        <v>View Full Record in Web of Science</v>
      </c>
    </row>
    <row r="88" spans="1:72" x14ac:dyDescent="0.15">
      <c r="A88" t="s">
        <v>72</v>
      </c>
      <c r="B88" t="s">
        <v>1906</v>
      </c>
      <c r="C88" t="s">
        <v>74</v>
      </c>
      <c r="D88" t="s">
        <v>74</v>
      </c>
      <c r="E88" t="s">
        <v>74</v>
      </c>
      <c r="F88" t="s">
        <v>1907</v>
      </c>
      <c r="G88" t="s">
        <v>74</v>
      </c>
      <c r="H88" t="s">
        <v>74</v>
      </c>
      <c r="I88" t="s">
        <v>1908</v>
      </c>
      <c r="J88" t="s">
        <v>1712</v>
      </c>
      <c r="K88" t="s">
        <v>74</v>
      </c>
      <c r="L88" t="s">
        <v>74</v>
      </c>
      <c r="M88" t="s">
        <v>78</v>
      </c>
      <c r="N88" t="s">
        <v>79</v>
      </c>
      <c r="O88" t="s">
        <v>74</v>
      </c>
      <c r="P88" t="s">
        <v>74</v>
      </c>
      <c r="Q88" t="s">
        <v>74</v>
      </c>
      <c r="R88" t="s">
        <v>74</v>
      </c>
      <c r="S88" t="s">
        <v>74</v>
      </c>
      <c r="T88" t="s">
        <v>1909</v>
      </c>
      <c r="U88" t="s">
        <v>1910</v>
      </c>
      <c r="V88" t="s">
        <v>1911</v>
      </c>
      <c r="W88" t="s">
        <v>1912</v>
      </c>
      <c r="X88" t="s">
        <v>1913</v>
      </c>
      <c r="Y88" t="s">
        <v>1914</v>
      </c>
      <c r="Z88" t="s">
        <v>1915</v>
      </c>
      <c r="AA88" t="s">
        <v>74</v>
      </c>
      <c r="AB88" t="s">
        <v>1916</v>
      </c>
      <c r="AC88" t="s">
        <v>1917</v>
      </c>
      <c r="AD88" t="s">
        <v>1918</v>
      </c>
      <c r="AE88" t="s">
        <v>1919</v>
      </c>
      <c r="AF88" t="s">
        <v>74</v>
      </c>
      <c r="AG88">
        <v>65</v>
      </c>
      <c r="AH88">
        <v>26</v>
      </c>
      <c r="AI88">
        <v>32</v>
      </c>
      <c r="AJ88">
        <v>0</v>
      </c>
      <c r="AK88">
        <v>22</v>
      </c>
      <c r="AL88" t="s">
        <v>1748</v>
      </c>
      <c r="AM88" t="s">
        <v>1470</v>
      </c>
      <c r="AN88" t="s">
        <v>1749</v>
      </c>
      <c r="AO88" t="s">
        <v>1727</v>
      </c>
      <c r="AP88" t="s">
        <v>1728</v>
      </c>
      <c r="AQ88" t="s">
        <v>74</v>
      </c>
      <c r="AR88" t="s">
        <v>1729</v>
      </c>
      <c r="AS88" t="s">
        <v>1730</v>
      </c>
      <c r="AT88" t="s">
        <v>74</v>
      </c>
      <c r="AU88">
        <v>2014</v>
      </c>
      <c r="AV88">
        <v>60</v>
      </c>
      <c r="AW88">
        <v>223</v>
      </c>
      <c r="AX88" t="s">
        <v>74</v>
      </c>
      <c r="AY88" t="s">
        <v>74</v>
      </c>
      <c r="AZ88" t="s">
        <v>74</v>
      </c>
      <c r="BA88" t="s">
        <v>74</v>
      </c>
      <c r="BB88">
        <v>1015</v>
      </c>
      <c r="BC88">
        <v>1030</v>
      </c>
      <c r="BD88" t="s">
        <v>74</v>
      </c>
      <c r="BE88" t="s">
        <v>1920</v>
      </c>
      <c r="BF88" t="str">
        <f>HYPERLINK("http://dx.doi.org/10.3189/2014JoG14J063","http://dx.doi.org/10.3189/2014JoG14J063")</f>
        <v>http://dx.doi.org/10.3189/2014JoG14J063</v>
      </c>
      <c r="BG88" t="s">
        <v>74</v>
      </c>
      <c r="BH88" t="s">
        <v>74</v>
      </c>
      <c r="BI88">
        <v>16</v>
      </c>
      <c r="BJ88" t="s">
        <v>98</v>
      </c>
      <c r="BK88" t="s">
        <v>99</v>
      </c>
      <c r="BL88" t="s">
        <v>100</v>
      </c>
      <c r="BM88" t="s">
        <v>1904</v>
      </c>
      <c r="BN88" t="s">
        <v>74</v>
      </c>
      <c r="BO88" t="s">
        <v>475</v>
      </c>
      <c r="BP88" t="s">
        <v>74</v>
      </c>
      <c r="BQ88" t="s">
        <v>74</v>
      </c>
      <c r="BR88" t="s">
        <v>103</v>
      </c>
      <c r="BS88" t="s">
        <v>1921</v>
      </c>
      <c r="BT88" t="str">
        <f>HYPERLINK("https%3A%2F%2Fwww.webofscience.com%2Fwos%2Fwoscc%2Ffull-record%2FWOS:000345540400016","View Full Record in Web of Science")</f>
        <v>View Full Record in Web of Science</v>
      </c>
    </row>
    <row r="89" spans="1:72" x14ac:dyDescent="0.15">
      <c r="A89" t="s">
        <v>72</v>
      </c>
      <c r="B89" t="s">
        <v>1922</v>
      </c>
      <c r="C89" t="s">
        <v>74</v>
      </c>
      <c r="D89" t="s">
        <v>74</v>
      </c>
      <c r="E89" t="s">
        <v>74</v>
      </c>
      <c r="F89" t="s">
        <v>1923</v>
      </c>
      <c r="G89" t="s">
        <v>74</v>
      </c>
      <c r="H89" t="s">
        <v>74</v>
      </c>
      <c r="I89" t="s">
        <v>1924</v>
      </c>
      <c r="J89" t="s">
        <v>1712</v>
      </c>
      <c r="K89" t="s">
        <v>74</v>
      </c>
      <c r="L89" t="s">
        <v>74</v>
      </c>
      <c r="M89" t="s">
        <v>78</v>
      </c>
      <c r="N89" t="s">
        <v>79</v>
      </c>
      <c r="O89" t="s">
        <v>74</v>
      </c>
      <c r="P89" t="s">
        <v>74</v>
      </c>
      <c r="Q89" t="s">
        <v>74</v>
      </c>
      <c r="R89" t="s">
        <v>74</v>
      </c>
      <c r="S89" t="s">
        <v>74</v>
      </c>
      <c r="T89" t="s">
        <v>1925</v>
      </c>
      <c r="U89" t="s">
        <v>1926</v>
      </c>
      <c r="V89" t="s">
        <v>1927</v>
      </c>
      <c r="W89" t="s">
        <v>1928</v>
      </c>
      <c r="X89" t="s">
        <v>1929</v>
      </c>
      <c r="Y89" t="s">
        <v>1930</v>
      </c>
      <c r="Z89" t="s">
        <v>1931</v>
      </c>
      <c r="AA89" t="s">
        <v>1932</v>
      </c>
      <c r="AB89" t="s">
        <v>1933</v>
      </c>
      <c r="AC89" t="s">
        <v>1934</v>
      </c>
      <c r="AD89" t="s">
        <v>1935</v>
      </c>
      <c r="AE89" t="s">
        <v>1936</v>
      </c>
      <c r="AF89" t="s">
        <v>74</v>
      </c>
      <c r="AG89">
        <v>60</v>
      </c>
      <c r="AH89">
        <v>39</v>
      </c>
      <c r="AI89">
        <v>40</v>
      </c>
      <c r="AJ89">
        <v>1</v>
      </c>
      <c r="AK89">
        <v>10</v>
      </c>
      <c r="AL89" t="s">
        <v>1725</v>
      </c>
      <c r="AM89" t="s">
        <v>1470</v>
      </c>
      <c r="AN89" t="s">
        <v>1726</v>
      </c>
      <c r="AO89" t="s">
        <v>1727</v>
      </c>
      <c r="AP89" t="s">
        <v>1728</v>
      </c>
      <c r="AQ89" t="s">
        <v>74</v>
      </c>
      <c r="AR89" t="s">
        <v>1729</v>
      </c>
      <c r="AS89" t="s">
        <v>1730</v>
      </c>
      <c r="AT89" t="s">
        <v>74</v>
      </c>
      <c r="AU89">
        <v>2014</v>
      </c>
      <c r="AV89">
        <v>60</v>
      </c>
      <c r="AW89">
        <v>224</v>
      </c>
      <c r="AX89" t="s">
        <v>74</v>
      </c>
      <c r="AY89" t="s">
        <v>74</v>
      </c>
      <c r="AZ89" t="s">
        <v>74</v>
      </c>
      <c r="BA89" t="s">
        <v>74</v>
      </c>
      <c r="BB89">
        <v>1101</v>
      </c>
      <c r="BC89">
        <v>1110</v>
      </c>
      <c r="BD89" t="s">
        <v>74</v>
      </c>
      <c r="BE89" t="s">
        <v>1937</v>
      </c>
      <c r="BF89" t="str">
        <f>HYPERLINK("http://dx.doi.org/10.3189/2014JoG14J040","http://dx.doi.org/10.3189/2014JoG14J040")</f>
        <v>http://dx.doi.org/10.3189/2014JoG14J040</v>
      </c>
      <c r="BG89" t="s">
        <v>74</v>
      </c>
      <c r="BH89" t="s">
        <v>74</v>
      </c>
      <c r="BI89">
        <v>10</v>
      </c>
      <c r="BJ89" t="s">
        <v>98</v>
      </c>
      <c r="BK89" t="s">
        <v>99</v>
      </c>
      <c r="BL89" t="s">
        <v>100</v>
      </c>
      <c r="BM89" t="s">
        <v>1938</v>
      </c>
      <c r="BN89" t="s">
        <v>74</v>
      </c>
      <c r="BO89" t="s">
        <v>1733</v>
      </c>
      <c r="BP89" t="s">
        <v>74</v>
      </c>
      <c r="BQ89" t="s">
        <v>74</v>
      </c>
      <c r="BR89" t="s">
        <v>103</v>
      </c>
      <c r="BS89" t="s">
        <v>1939</v>
      </c>
      <c r="BT89" t="str">
        <f>HYPERLINK("https%3A%2F%2Fwww.webofscience.com%2Fwos%2Fwoscc%2Ffull-record%2FWOS:000348275000008","View Full Record in Web of Science")</f>
        <v>View Full Record in Web of Science</v>
      </c>
    </row>
    <row r="90" spans="1:72" x14ac:dyDescent="0.15">
      <c r="A90" t="s">
        <v>72</v>
      </c>
      <c r="B90" t="s">
        <v>1940</v>
      </c>
      <c r="C90" t="s">
        <v>74</v>
      </c>
      <c r="D90" t="s">
        <v>74</v>
      </c>
      <c r="E90" t="s">
        <v>74</v>
      </c>
      <c r="F90" t="s">
        <v>1941</v>
      </c>
      <c r="G90" t="s">
        <v>74</v>
      </c>
      <c r="H90" t="s">
        <v>74</v>
      </c>
      <c r="I90" t="s">
        <v>1942</v>
      </c>
      <c r="J90" t="s">
        <v>1712</v>
      </c>
      <c r="K90" t="s">
        <v>74</v>
      </c>
      <c r="L90" t="s">
        <v>74</v>
      </c>
      <c r="M90" t="s">
        <v>78</v>
      </c>
      <c r="N90" t="s">
        <v>79</v>
      </c>
      <c r="O90" t="s">
        <v>74</v>
      </c>
      <c r="P90" t="s">
        <v>74</v>
      </c>
      <c r="Q90" t="s">
        <v>74</v>
      </c>
      <c r="R90" t="s">
        <v>74</v>
      </c>
      <c r="S90" t="s">
        <v>74</v>
      </c>
      <c r="T90" t="s">
        <v>1943</v>
      </c>
      <c r="U90" t="s">
        <v>1944</v>
      </c>
      <c r="V90" t="s">
        <v>1945</v>
      </c>
      <c r="W90" t="s">
        <v>1946</v>
      </c>
      <c r="X90" t="s">
        <v>1947</v>
      </c>
      <c r="Y90" t="s">
        <v>1948</v>
      </c>
      <c r="Z90" t="s">
        <v>1949</v>
      </c>
      <c r="AA90" t="s">
        <v>1950</v>
      </c>
      <c r="AB90" t="s">
        <v>1951</v>
      </c>
      <c r="AC90" t="s">
        <v>1952</v>
      </c>
      <c r="AD90" t="s">
        <v>1952</v>
      </c>
      <c r="AE90" t="s">
        <v>1953</v>
      </c>
      <c r="AF90" t="s">
        <v>74</v>
      </c>
      <c r="AG90">
        <v>38</v>
      </c>
      <c r="AH90">
        <v>11</v>
      </c>
      <c r="AI90">
        <v>11</v>
      </c>
      <c r="AJ90">
        <v>0</v>
      </c>
      <c r="AK90">
        <v>13</v>
      </c>
      <c r="AL90" t="s">
        <v>1748</v>
      </c>
      <c r="AM90" t="s">
        <v>1470</v>
      </c>
      <c r="AN90" t="s">
        <v>1749</v>
      </c>
      <c r="AO90" t="s">
        <v>1727</v>
      </c>
      <c r="AP90" t="s">
        <v>1728</v>
      </c>
      <c r="AQ90" t="s">
        <v>74</v>
      </c>
      <c r="AR90" t="s">
        <v>1729</v>
      </c>
      <c r="AS90" t="s">
        <v>1730</v>
      </c>
      <c r="AT90" t="s">
        <v>74</v>
      </c>
      <c r="AU90">
        <v>2014</v>
      </c>
      <c r="AV90">
        <v>60</v>
      </c>
      <c r="AW90">
        <v>224</v>
      </c>
      <c r="AX90" t="s">
        <v>74</v>
      </c>
      <c r="AY90" t="s">
        <v>74</v>
      </c>
      <c r="AZ90" t="s">
        <v>74</v>
      </c>
      <c r="BA90" t="s">
        <v>74</v>
      </c>
      <c r="BB90">
        <v>1126</v>
      </c>
      <c r="BC90">
        <v>1134</v>
      </c>
      <c r="BD90" t="s">
        <v>74</v>
      </c>
      <c r="BE90" t="s">
        <v>1954</v>
      </c>
      <c r="BF90" t="str">
        <f>HYPERLINK("http://dx.doi.org/10.3189/2014JoG14010","http://dx.doi.org/10.3189/2014JoG14010")</f>
        <v>http://dx.doi.org/10.3189/2014JoG14010</v>
      </c>
      <c r="BG90" t="s">
        <v>74</v>
      </c>
      <c r="BH90" t="s">
        <v>74</v>
      </c>
      <c r="BI90">
        <v>9</v>
      </c>
      <c r="BJ90" t="s">
        <v>98</v>
      </c>
      <c r="BK90" t="s">
        <v>99</v>
      </c>
      <c r="BL90" t="s">
        <v>100</v>
      </c>
      <c r="BM90" t="s">
        <v>1938</v>
      </c>
      <c r="BN90" t="s">
        <v>74</v>
      </c>
      <c r="BO90" t="s">
        <v>1955</v>
      </c>
      <c r="BP90" t="s">
        <v>74</v>
      </c>
      <c r="BQ90" t="s">
        <v>74</v>
      </c>
      <c r="BR90" t="s">
        <v>103</v>
      </c>
      <c r="BS90" t="s">
        <v>1956</v>
      </c>
      <c r="BT90" t="str">
        <f>HYPERLINK("https%3A%2F%2Fwww.webofscience.com%2Fwos%2Fwoscc%2Ffull-record%2FWOS:000348275000011","View Full Record in Web of Science")</f>
        <v>View Full Record in Web of Science</v>
      </c>
    </row>
    <row r="91" spans="1:72" x14ac:dyDescent="0.15">
      <c r="A91" t="s">
        <v>72</v>
      </c>
      <c r="B91" t="s">
        <v>1957</v>
      </c>
      <c r="C91" t="s">
        <v>74</v>
      </c>
      <c r="D91" t="s">
        <v>74</v>
      </c>
      <c r="E91" t="s">
        <v>74</v>
      </c>
      <c r="F91" t="s">
        <v>1958</v>
      </c>
      <c r="G91" t="s">
        <v>74</v>
      </c>
      <c r="H91" t="s">
        <v>74</v>
      </c>
      <c r="I91" t="s">
        <v>1959</v>
      </c>
      <c r="J91" t="s">
        <v>1712</v>
      </c>
      <c r="K91" t="s">
        <v>74</v>
      </c>
      <c r="L91" t="s">
        <v>74</v>
      </c>
      <c r="M91" t="s">
        <v>78</v>
      </c>
      <c r="N91" t="s">
        <v>79</v>
      </c>
      <c r="O91" t="s">
        <v>74</v>
      </c>
      <c r="P91" t="s">
        <v>74</v>
      </c>
      <c r="Q91" t="s">
        <v>74</v>
      </c>
      <c r="R91" t="s">
        <v>74</v>
      </c>
      <c r="S91" t="s">
        <v>74</v>
      </c>
      <c r="T91" t="s">
        <v>1960</v>
      </c>
      <c r="U91" t="s">
        <v>1961</v>
      </c>
      <c r="V91" t="s">
        <v>1962</v>
      </c>
      <c r="W91" t="s">
        <v>1963</v>
      </c>
      <c r="X91" t="s">
        <v>1964</v>
      </c>
      <c r="Y91" t="s">
        <v>1965</v>
      </c>
      <c r="Z91" t="s">
        <v>1966</v>
      </c>
      <c r="AA91" t="s">
        <v>1967</v>
      </c>
      <c r="AB91" t="s">
        <v>1968</v>
      </c>
      <c r="AC91" t="s">
        <v>1969</v>
      </c>
      <c r="AD91" t="s">
        <v>1970</v>
      </c>
      <c r="AE91" t="s">
        <v>1971</v>
      </c>
      <c r="AF91" t="s">
        <v>74</v>
      </c>
      <c r="AG91">
        <v>91</v>
      </c>
      <c r="AH91">
        <v>40</v>
      </c>
      <c r="AI91">
        <v>47</v>
      </c>
      <c r="AJ91">
        <v>2</v>
      </c>
      <c r="AK91">
        <v>19</v>
      </c>
      <c r="AL91" t="s">
        <v>1725</v>
      </c>
      <c r="AM91" t="s">
        <v>1470</v>
      </c>
      <c r="AN91" t="s">
        <v>1726</v>
      </c>
      <c r="AO91" t="s">
        <v>1727</v>
      </c>
      <c r="AP91" t="s">
        <v>1728</v>
      </c>
      <c r="AQ91" t="s">
        <v>74</v>
      </c>
      <c r="AR91" t="s">
        <v>1729</v>
      </c>
      <c r="AS91" t="s">
        <v>1730</v>
      </c>
      <c r="AT91" t="s">
        <v>74</v>
      </c>
      <c r="AU91">
        <v>2014</v>
      </c>
      <c r="AV91">
        <v>60</v>
      </c>
      <c r="AW91">
        <v>224</v>
      </c>
      <c r="AX91" t="s">
        <v>74</v>
      </c>
      <c r="AY91" t="s">
        <v>74</v>
      </c>
      <c r="AZ91" t="s">
        <v>74</v>
      </c>
      <c r="BA91" t="s">
        <v>74</v>
      </c>
      <c r="BB91">
        <v>1181</v>
      </c>
      <c r="BC91">
        <v>1198</v>
      </c>
      <c r="BD91" t="s">
        <v>74</v>
      </c>
      <c r="BE91" t="s">
        <v>1972</v>
      </c>
      <c r="BF91" t="str">
        <f>HYPERLINK("http://dx.doi.org/10.3189/2014JoG14J100","http://dx.doi.org/10.3189/2014JoG14J100")</f>
        <v>http://dx.doi.org/10.3189/2014JoG14J100</v>
      </c>
      <c r="BG91" t="s">
        <v>74</v>
      </c>
      <c r="BH91" t="s">
        <v>74</v>
      </c>
      <c r="BI91">
        <v>18</v>
      </c>
      <c r="BJ91" t="s">
        <v>98</v>
      </c>
      <c r="BK91" t="s">
        <v>99</v>
      </c>
      <c r="BL91" t="s">
        <v>100</v>
      </c>
      <c r="BM91" t="s">
        <v>1938</v>
      </c>
      <c r="BN91" t="s">
        <v>74</v>
      </c>
      <c r="BO91" t="s">
        <v>475</v>
      </c>
      <c r="BP91" t="s">
        <v>74</v>
      </c>
      <c r="BQ91" t="s">
        <v>74</v>
      </c>
      <c r="BR91" t="s">
        <v>103</v>
      </c>
      <c r="BS91" t="s">
        <v>1973</v>
      </c>
      <c r="BT91" t="str">
        <f>HYPERLINK("https%3A%2F%2Fwww.webofscience.com%2Fwos%2Fwoscc%2Ffull-record%2FWOS:000348275000016","View Full Record in Web of Science")</f>
        <v>View Full Record in Web of Science</v>
      </c>
    </row>
    <row r="92" spans="1:72" x14ac:dyDescent="0.15">
      <c r="A92" t="s">
        <v>72</v>
      </c>
      <c r="B92" t="s">
        <v>1974</v>
      </c>
      <c r="C92" t="s">
        <v>74</v>
      </c>
      <c r="D92" t="s">
        <v>74</v>
      </c>
      <c r="E92" t="s">
        <v>74</v>
      </c>
      <c r="F92" t="s">
        <v>1975</v>
      </c>
      <c r="G92" t="s">
        <v>74</v>
      </c>
      <c r="H92" t="s">
        <v>74</v>
      </c>
      <c r="I92" t="s">
        <v>1976</v>
      </c>
      <c r="J92" t="s">
        <v>1977</v>
      </c>
      <c r="K92" t="s">
        <v>74</v>
      </c>
      <c r="L92" t="s">
        <v>74</v>
      </c>
      <c r="M92" t="s">
        <v>78</v>
      </c>
      <c r="N92" t="s">
        <v>79</v>
      </c>
      <c r="O92" t="s">
        <v>74</v>
      </c>
      <c r="P92" t="s">
        <v>74</v>
      </c>
      <c r="Q92" t="s">
        <v>74</v>
      </c>
      <c r="R92" t="s">
        <v>74</v>
      </c>
      <c r="S92" t="s">
        <v>74</v>
      </c>
      <c r="T92" t="s">
        <v>1978</v>
      </c>
      <c r="U92" t="s">
        <v>1979</v>
      </c>
      <c r="V92" t="s">
        <v>1980</v>
      </c>
      <c r="W92" t="s">
        <v>1981</v>
      </c>
      <c r="X92" t="s">
        <v>1982</v>
      </c>
      <c r="Y92" t="s">
        <v>1983</v>
      </c>
      <c r="Z92" t="s">
        <v>1984</v>
      </c>
      <c r="AA92" t="s">
        <v>1985</v>
      </c>
      <c r="AB92" t="s">
        <v>1986</v>
      </c>
      <c r="AC92" t="s">
        <v>1987</v>
      </c>
      <c r="AD92" t="s">
        <v>1988</v>
      </c>
      <c r="AE92" t="s">
        <v>1989</v>
      </c>
      <c r="AF92" t="s">
        <v>74</v>
      </c>
      <c r="AG92">
        <v>95</v>
      </c>
      <c r="AH92">
        <v>13</v>
      </c>
      <c r="AI92">
        <v>14</v>
      </c>
      <c r="AJ92">
        <v>0</v>
      </c>
      <c r="AK92">
        <v>9</v>
      </c>
      <c r="AL92" t="s">
        <v>1990</v>
      </c>
      <c r="AM92" t="s">
        <v>1991</v>
      </c>
      <c r="AN92" t="s">
        <v>1992</v>
      </c>
      <c r="AO92" t="s">
        <v>1993</v>
      </c>
      <c r="AP92" t="s">
        <v>1994</v>
      </c>
      <c r="AQ92" t="s">
        <v>74</v>
      </c>
      <c r="AR92" t="s">
        <v>1995</v>
      </c>
      <c r="AS92" t="s">
        <v>1996</v>
      </c>
      <c r="AT92" t="s">
        <v>74</v>
      </c>
      <c r="AU92">
        <v>2014</v>
      </c>
      <c r="AV92">
        <v>40</v>
      </c>
      <c r="AW92">
        <v>1</v>
      </c>
      <c r="AX92" t="s">
        <v>74</v>
      </c>
      <c r="AY92" t="s">
        <v>74</v>
      </c>
      <c r="AZ92" t="s">
        <v>283</v>
      </c>
      <c r="BA92" t="s">
        <v>74</v>
      </c>
      <c r="BB92">
        <v>129</v>
      </c>
      <c r="BC92">
        <v>140</v>
      </c>
      <c r="BD92" t="s">
        <v>74</v>
      </c>
      <c r="BE92" t="s">
        <v>1997</v>
      </c>
      <c r="BF92" t="str">
        <f>HYPERLINK("http://dx.doi.org/10.5209/rev_JIGE.2014.v40.n1.44092","http://dx.doi.org/10.5209/rev_JIGE.2014.v40.n1.44092")</f>
        <v>http://dx.doi.org/10.5209/rev_JIGE.2014.v40.n1.44092</v>
      </c>
      <c r="BG92" t="s">
        <v>74</v>
      </c>
      <c r="BH92" t="s">
        <v>74</v>
      </c>
      <c r="BI92">
        <v>12</v>
      </c>
      <c r="BJ92" t="s">
        <v>338</v>
      </c>
      <c r="BK92" t="s">
        <v>99</v>
      </c>
      <c r="BL92" t="s">
        <v>338</v>
      </c>
      <c r="BM92" t="s">
        <v>1998</v>
      </c>
      <c r="BN92" t="s">
        <v>74</v>
      </c>
      <c r="BO92" t="s">
        <v>1999</v>
      </c>
      <c r="BP92" t="s">
        <v>74</v>
      </c>
      <c r="BQ92" t="s">
        <v>74</v>
      </c>
      <c r="BR92" t="s">
        <v>103</v>
      </c>
      <c r="BS92" t="s">
        <v>2000</v>
      </c>
      <c r="BT92" t="str">
        <f>HYPERLINK("https%3A%2F%2Fwww.webofscience.com%2Fwos%2Fwoscc%2Ffull-record%2FWOS:000332306400010","View Full Record in Web of Science")</f>
        <v>View Full Record in Web of Science</v>
      </c>
    </row>
    <row r="93" spans="1:72" x14ac:dyDescent="0.15">
      <c r="A93" t="s">
        <v>72</v>
      </c>
      <c r="B93" t="s">
        <v>2001</v>
      </c>
      <c r="C93" t="s">
        <v>74</v>
      </c>
      <c r="D93" t="s">
        <v>74</v>
      </c>
      <c r="E93" t="s">
        <v>74</v>
      </c>
      <c r="F93" t="s">
        <v>2002</v>
      </c>
      <c r="G93" t="s">
        <v>74</v>
      </c>
      <c r="H93" t="s">
        <v>74</v>
      </c>
      <c r="I93" t="s">
        <v>2003</v>
      </c>
      <c r="J93" t="s">
        <v>1977</v>
      </c>
      <c r="K93" t="s">
        <v>74</v>
      </c>
      <c r="L93" t="s">
        <v>74</v>
      </c>
      <c r="M93" t="s">
        <v>78</v>
      </c>
      <c r="N93" t="s">
        <v>79</v>
      </c>
      <c r="O93" t="s">
        <v>74</v>
      </c>
      <c r="P93" t="s">
        <v>74</v>
      </c>
      <c r="Q93" t="s">
        <v>74</v>
      </c>
      <c r="R93" t="s">
        <v>74</v>
      </c>
      <c r="S93" t="s">
        <v>74</v>
      </c>
      <c r="T93" t="s">
        <v>2004</v>
      </c>
      <c r="U93" t="s">
        <v>2005</v>
      </c>
      <c r="V93" t="s">
        <v>2006</v>
      </c>
      <c r="W93" t="s">
        <v>2007</v>
      </c>
      <c r="X93" t="s">
        <v>2008</v>
      </c>
      <c r="Y93" t="s">
        <v>2009</v>
      </c>
      <c r="Z93" t="s">
        <v>2010</v>
      </c>
      <c r="AA93" t="s">
        <v>74</v>
      </c>
      <c r="AB93" t="s">
        <v>2011</v>
      </c>
      <c r="AC93" t="s">
        <v>74</v>
      </c>
      <c r="AD93" t="s">
        <v>74</v>
      </c>
      <c r="AE93" t="s">
        <v>74</v>
      </c>
      <c r="AF93" t="s">
        <v>74</v>
      </c>
      <c r="AG93">
        <v>76</v>
      </c>
      <c r="AH93">
        <v>64</v>
      </c>
      <c r="AI93">
        <v>70</v>
      </c>
      <c r="AJ93">
        <v>0</v>
      </c>
      <c r="AK93">
        <v>8</v>
      </c>
      <c r="AL93" t="s">
        <v>1990</v>
      </c>
      <c r="AM93" t="s">
        <v>1991</v>
      </c>
      <c r="AN93" t="s">
        <v>1992</v>
      </c>
      <c r="AO93" t="s">
        <v>1993</v>
      </c>
      <c r="AP93" t="s">
        <v>1994</v>
      </c>
      <c r="AQ93" t="s">
        <v>74</v>
      </c>
      <c r="AR93" t="s">
        <v>1995</v>
      </c>
      <c r="AS93" t="s">
        <v>1996</v>
      </c>
      <c r="AT93" t="s">
        <v>74</v>
      </c>
      <c r="AU93">
        <v>2014</v>
      </c>
      <c r="AV93">
        <v>40</v>
      </c>
      <c r="AW93">
        <v>2</v>
      </c>
      <c r="AX93" t="s">
        <v>74</v>
      </c>
      <c r="AY93" t="s">
        <v>74</v>
      </c>
      <c r="AZ93" t="s">
        <v>283</v>
      </c>
      <c r="BA93" t="s">
        <v>74</v>
      </c>
      <c r="BB93">
        <v>367</v>
      </c>
      <c r="BC93">
        <v>379</v>
      </c>
      <c r="BD93" t="s">
        <v>74</v>
      </c>
      <c r="BE93" t="s">
        <v>2012</v>
      </c>
      <c r="BF93" t="str">
        <f>HYPERLINK("http://dx.doi.org/10.5209/rev_JIGE.2014.v40.n2.45304","http://dx.doi.org/10.5209/rev_JIGE.2014.v40.n2.45304")</f>
        <v>http://dx.doi.org/10.5209/rev_JIGE.2014.v40.n2.45304</v>
      </c>
      <c r="BG93" t="s">
        <v>74</v>
      </c>
      <c r="BH93" t="s">
        <v>74</v>
      </c>
      <c r="BI93">
        <v>13</v>
      </c>
      <c r="BJ93" t="s">
        <v>338</v>
      </c>
      <c r="BK93" t="s">
        <v>99</v>
      </c>
      <c r="BL93" t="s">
        <v>338</v>
      </c>
      <c r="BM93" t="s">
        <v>2013</v>
      </c>
      <c r="BN93" t="s">
        <v>74</v>
      </c>
      <c r="BO93" t="s">
        <v>616</v>
      </c>
      <c r="BP93" t="s">
        <v>74</v>
      </c>
      <c r="BQ93" t="s">
        <v>74</v>
      </c>
      <c r="BR93" t="s">
        <v>103</v>
      </c>
      <c r="BS93" t="s">
        <v>2014</v>
      </c>
      <c r="BT93" t="str">
        <f>HYPERLINK("https%3A%2F%2Fwww.webofscience.com%2Fwos%2Fwoscc%2Ffull-record%2FWOS:000339238800011","View Full Record in Web of Science")</f>
        <v>View Full Record in Web of Science</v>
      </c>
    </row>
    <row r="94" spans="1:72" x14ac:dyDescent="0.15">
      <c r="A94" t="s">
        <v>72</v>
      </c>
      <c r="B94" t="s">
        <v>2015</v>
      </c>
      <c r="C94" t="s">
        <v>74</v>
      </c>
      <c r="D94" t="s">
        <v>74</v>
      </c>
      <c r="E94" t="s">
        <v>74</v>
      </c>
      <c r="F94" t="s">
        <v>2016</v>
      </c>
      <c r="G94" t="s">
        <v>74</v>
      </c>
      <c r="H94" t="s">
        <v>74</v>
      </c>
      <c r="I94" t="s">
        <v>2017</v>
      </c>
      <c r="J94" t="s">
        <v>2018</v>
      </c>
      <c r="K94" t="s">
        <v>74</v>
      </c>
      <c r="L94" t="s">
        <v>74</v>
      </c>
      <c r="M94" t="s">
        <v>2019</v>
      </c>
      <c r="N94" t="s">
        <v>79</v>
      </c>
      <c r="O94" t="s">
        <v>74</v>
      </c>
      <c r="P94" t="s">
        <v>74</v>
      </c>
      <c r="Q94" t="s">
        <v>74</v>
      </c>
      <c r="R94" t="s">
        <v>74</v>
      </c>
      <c r="S94" t="s">
        <v>74</v>
      </c>
      <c r="T94" t="s">
        <v>2020</v>
      </c>
      <c r="U94" t="s">
        <v>74</v>
      </c>
      <c r="V94" t="s">
        <v>2021</v>
      </c>
      <c r="W94" t="s">
        <v>2022</v>
      </c>
      <c r="X94" t="s">
        <v>2023</v>
      </c>
      <c r="Y94" t="s">
        <v>2024</v>
      </c>
      <c r="Z94" t="s">
        <v>2025</v>
      </c>
      <c r="AA94" t="s">
        <v>2026</v>
      </c>
      <c r="AB94" t="s">
        <v>2027</v>
      </c>
      <c r="AC94" t="s">
        <v>74</v>
      </c>
      <c r="AD94" t="s">
        <v>74</v>
      </c>
      <c r="AE94" t="s">
        <v>74</v>
      </c>
      <c r="AF94" t="s">
        <v>74</v>
      </c>
      <c r="AG94">
        <v>0</v>
      </c>
      <c r="AH94">
        <v>3</v>
      </c>
      <c r="AI94">
        <v>3</v>
      </c>
      <c r="AJ94">
        <v>0</v>
      </c>
      <c r="AK94">
        <v>0</v>
      </c>
      <c r="AL94" t="s">
        <v>2028</v>
      </c>
      <c r="AM94" t="s">
        <v>2029</v>
      </c>
      <c r="AN94" t="s">
        <v>2030</v>
      </c>
      <c r="AO94" t="s">
        <v>2031</v>
      </c>
      <c r="AP94" t="s">
        <v>2032</v>
      </c>
      <c r="AQ94" t="s">
        <v>74</v>
      </c>
      <c r="AR94" t="s">
        <v>2033</v>
      </c>
      <c r="AS94" t="s">
        <v>2034</v>
      </c>
      <c r="AT94" t="s">
        <v>74</v>
      </c>
      <c r="AU94">
        <v>2014</v>
      </c>
      <c r="AV94">
        <v>210</v>
      </c>
      <c r="AW94" t="s">
        <v>74</v>
      </c>
      <c r="AX94" t="s">
        <v>74</v>
      </c>
      <c r="AY94" t="s">
        <v>74</v>
      </c>
      <c r="AZ94" t="s">
        <v>74</v>
      </c>
      <c r="BA94" t="s">
        <v>74</v>
      </c>
      <c r="BB94">
        <v>5</v>
      </c>
      <c r="BC94">
        <v>10</v>
      </c>
      <c r="BD94" t="s">
        <v>74</v>
      </c>
      <c r="BE94" t="s">
        <v>74</v>
      </c>
      <c r="BF94" t="s">
        <v>74</v>
      </c>
      <c r="BG94" t="s">
        <v>74</v>
      </c>
      <c r="BH94" t="s">
        <v>74</v>
      </c>
      <c r="BI94">
        <v>6</v>
      </c>
      <c r="BJ94" t="s">
        <v>2035</v>
      </c>
      <c r="BK94" t="s">
        <v>494</v>
      </c>
      <c r="BL94" t="s">
        <v>2035</v>
      </c>
      <c r="BM94" t="s">
        <v>2036</v>
      </c>
      <c r="BN94" t="s">
        <v>74</v>
      </c>
      <c r="BO94" t="s">
        <v>74</v>
      </c>
      <c r="BP94" t="s">
        <v>74</v>
      </c>
      <c r="BQ94" t="s">
        <v>74</v>
      </c>
      <c r="BR94" t="s">
        <v>103</v>
      </c>
      <c r="BS94" t="s">
        <v>2037</v>
      </c>
      <c r="BT94" t="str">
        <f>HYPERLINK("https%3A%2F%2Fwww.webofscience.com%2Fwos%2Fwoscc%2Ffull-record%2FWOS:000409782900001","View Full Record in Web of Science")</f>
        <v>View Full Record in Web of Science</v>
      </c>
    </row>
    <row r="95" spans="1:72" x14ac:dyDescent="0.15">
      <c r="A95" t="s">
        <v>72</v>
      </c>
      <c r="B95" t="s">
        <v>2038</v>
      </c>
      <c r="C95" t="s">
        <v>74</v>
      </c>
      <c r="D95" t="s">
        <v>74</v>
      </c>
      <c r="E95" t="s">
        <v>74</v>
      </c>
      <c r="F95" t="s">
        <v>2039</v>
      </c>
      <c r="G95" t="s">
        <v>74</v>
      </c>
      <c r="H95" t="s">
        <v>74</v>
      </c>
      <c r="I95" t="s">
        <v>2040</v>
      </c>
      <c r="J95" t="s">
        <v>2041</v>
      </c>
      <c r="K95" t="s">
        <v>74</v>
      </c>
      <c r="L95" t="s">
        <v>74</v>
      </c>
      <c r="M95" t="s">
        <v>78</v>
      </c>
      <c r="N95" t="s">
        <v>79</v>
      </c>
      <c r="O95" t="s">
        <v>74</v>
      </c>
      <c r="P95" t="s">
        <v>74</v>
      </c>
      <c r="Q95" t="s">
        <v>74</v>
      </c>
      <c r="R95" t="s">
        <v>74</v>
      </c>
      <c r="S95" t="s">
        <v>74</v>
      </c>
      <c r="T95" t="s">
        <v>74</v>
      </c>
      <c r="U95" t="s">
        <v>2042</v>
      </c>
      <c r="V95" t="s">
        <v>2043</v>
      </c>
      <c r="W95" t="s">
        <v>2044</v>
      </c>
      <c r="X95" t="s">
        <v>2045</v>
      </c>
      <c r="Y95" t="s">
        <v>2046</v>
      </c>
      <c r="Z95" t="s">
        <v>2047</v>
      </c>
      <c r="AA95" t="s">
        <v>2048</v>
      </c>
      <c r="AB95" t="s">
        <v>2049</v>
      </c>
      <c r="AC95" t="s">
        <v>2050</v>
      </c>
      <c r="AD95" t="s">
        <v>2051</v>
      </c>
      <c r="AE95" t="s">
        <v>2052</v>
      </c>
      <c r="AF95" t="s">
        <v>74</v>
      </c>
      <c r="AG95">
        <v>33</v>
      </c>
      <c r="AH95">
        <v>7</v>
      </c>
      <c r="AI95">
        <v>7</v>
      </c>
      <c r="AJ95">
        <v>0</v>
      </c>
      <c r="AK95">
        <v>3</v>
      </c>
      <c r="AL95" t="s">
        <v>2053</v>
      </c>
      <c r="AM95" t="s">
        <v>2054</v>
      </c>
      <c r="AN95" t="s">
        <v>2055</v>
      </c>
      <c r="AO95" t="s">
        <v>2056</v>
      </c>
      <c r="AP95" t="s">
        <v>2057</v>
      </c>
      <c r="AQ95" t="s">
        <v>74</v>
      </c>
      <c r="AR95" t="s">
        <v>2058</v>
      </c>
      <c r="AS95" t="s">
        <v>2059</v>
      </c>
      <c r="AT95" t="s">
        <v>417</v>
      </c>
      <c r="AU95">
        <v>2014</v>
      </c>
      <c r="AV95">
        <v>88</v>
      </c>
      <c r="AW95">
        <v>1</v>
      </c>
      <c r="AX95" t="s">
        <v>74</v>
      </c>
      <c r="AY95" t="s">
        <v>74</v>
      </c>
      <c r="AZ95" t="s">
        <v>74</v>
      </c>
      <c r="BA95" t="s">
        <v>74</v>
      </c>
      <c r="BB95">
        <v>152</v>
      </c>
      <c r="BC95">
        <v>159</v>
      </c>
      <c r="BD95" t="s">
        <v>74</v>
      </c>
      <c r="BE95" t="s">
        <v>2060</v>
      </c>
      <c r="BF95" t="str">
        <f>HYPERLINK("http://dx.doi.org/10.1666/13-016","http://dx.doi.org/10.1666/13-016")</f>
        <v>http://dx.doi.org/10.1666/13-016</v>
      </c>
      <c r="BG95" t="s">
        <v>74</v>
      </c>
      <c r="BH95" t="s">
        <v>74</v>
      </c>
      <c r="BI95">
        <v>8</v>
      </c>
      <c r="BJ95" t="s">
        <v>2061</v>
      </c>
      <c r="BK95" t="s">
        <v>99</v>
      </c>
      <c r="BL95" t="s">
        <v>2061</v>
      </c>
      <c r="BM95" t="s">
        <v>2062</v>
      </c>
      <c r="BN95" t="s">
        <v>74</v>
      </c>
      <c r="BO95" t="s">
        <v>74</v>
      </c>
      <c r="BP95" t="s">
        <v>74</v>
      </c>
      <c r="BQ95" t="s">
        <v>74</v>
      </c>
      <c r="BR95" t="s">
        <v>103</v>
      </c>
      <c r="BS95" t="s">
        <v>2063</v>
      </c>
      <c r="BT95" t="str">
        <f>HYPERLINK("https%3A%2F%2Fwww.webofscience.com%2Fwos%2Fwoscc%2Ffull-record%2FWOS:000329946800008","View Full Record in Web of Science")</f>
        <v>View Full Record in Web of Science</v>
      </c>
    </row>
    <row r="96" spans="1:72" x14ac:dyDescent="0.15">
      <c r="A96" t="s">
        <v>72</v>
      </c>
      <c r="B96" t="s">
        <v>2064</v>
      </c>
      <c r="C96" t="s">
        <v>74</v>
      </c>
      <c r="D96" t="s">
        <v>74</v>
      </c>
      <c r="E96" t="s">
        <v>74</v>
      </c>
      <c r="F96" t="s">
        <v>2065</v>
      </c>
      <c r="G96" t="s">
        <v>74</v>
      </c>
      <c r="H96" t="s">
        <v>74</v>
      </c>
      <c r="I96" t="s">
        <v>2066</v>
      </c>
      <c r="J96" t="s">
        <v>2067</v>
      </c>
      <c r="K96" t="s">
        <v>74</v>
      </c>
      <c r="L96" t="s">
        <v>74</v>
      </c>
      <c r="M96" t="s">
        <v>78</v>
      </c>
      <c r="N96" t="s">
        <v>79</v>
      </c>
      <c r="O96" t="s">
        <v>74</v>
      </c>
      <c r="P96" t="s">
        <v>74</v>
      </c>
      <c r="Q96" t="s">
        <v>74</v>
      </c>
      <c r="R96" t="s">
        <v>74</v>
      </c>
      <c r="S96" t="s">
        <v>74</v>
      </c>
      <c r="T96" t="s">
        <v>2068</v>
      </c>
      <c r="U96" t="s">
        <v>2069</v>
      </c>
      <c r="V96" t="s">
        <v>2070</v>
      </c>
      <c r="W96" t="s">
        <v>2071</v>
      </c>
      <c r="X96" t="s">
        <v>2072</v>
      </c>
      <c r="Y96" t="s">
        <v>2073</v>
      </c>
      <c r="Z96" t="s">
        <v>2074</v>
      </c>
      <c r="AA96" t="s">
        <v>2075</v>
      </c>
      <c r="AB96" t="s">
        <v>2076</v>
      </c>
      <c r="AC96" t="s">
        <v>2077</v>
      </c>
      <c r="AD96" t="s">
        <v>2078</v>
      </c>
      <c r="AE96" t="s">
        <v>2079</v>
      </c>
      <c r="AF96" t="s">
        <v>74</v>
      </c>
      <c r="AG96">
        <v>30</v>
      </c>
      <c r="AH96">
        <v>20</v>
      </c>
      <c r="AI96">
        <v>21</v>
      </c>
      <c r="AJ96">
        <v>0</v>
      </c>
      <c r="AK96">
        <v>16</v>
      </c>
      <c r="AL96" t="s">
        <v>1495</v>
      </c>
      <c r="AM96" t="s">
        <v>1496</v>
      </c>
      <c r="AN96" t="s">
        <v>1497</v>
      </c>
      <c r="AO96" t="s">
        <v>2080</v>
      </c>
      <c r="AP96" t="s">
        <v>2081</v>
      </c>
      <c r="AQ96" t="s">
        <v>74</v>
      </c>
      <c r="AR96" t="s">
        <v>2082</v>
      </c>
      <c r="AS96" t="s">
        <v>2083</v>
      </c>
      <c r="AT96" t="s">
        <v>417</v>
      </c>
      <c r="AU96">
        <v>2014</v>
      </c>
      <c r="AV96">
        <v>44</v>
      </c>
      <c r="AW96">
        <v>1</v>
      </c>
      <c r="AX96" t="s">
        <v>74</v>
      </c>
      <c r="AY96" t="s">
        <v>74</v>
      </c>
      <c r="AZ96" t="s">
        <v>74</v>
      </c>
      <c r="BA96" t="s">
        <v>74</v>
      </c>
      <c r="BB96">
        <v>229</v>
      </c>
      <c r="BC96">
        <v>245</v>
      </c>
      <c r="BD96" t="s">
        <v>74</v>
      </c>
      <c r="BE96" t="s">
        <v>2084</v>
      </c>
      <c r="BF96" t="str">
        <f>HYPERLINK("http://dx.doi.org/10.1175/JPO-D-12-0218.1","http://dx.doi.org/10.1175/JPO-D-12-0218.1")</f>
        <v>http://dx.doi.org/10.1175/JPO-D-12-0218.1</v>
      </c>
      <c r="BG96" t="s">
        <v>74</v>
      </c>
      <c r="BH96" t="s">
        <v>74</v>
      </c>
      <c r="BI96">
        <v>17</v>
      </c>
      <c r="BJ96" t="s">
        <v>1613</v>
      </c>
      <c r="BK96" t="s">
        <v>99</v>
      </c>
      <c r="BL96" t="s">
        <v>1613</v>
      </c>
      <c r="BM96" t="s">
        <v>2085</v>
      </c>
      <c r="BN96" t="s">
        <v>74</v>
      </c>
      <c r="BO96" t="s">
        <v>1733</v>
      </c>
      <c r="BP96" t="s">
        <v>74</v>
      </c>
      <c r="BQ96" t="s">
        <v>74</v>
      </c>
      <c r="BR96" t="s">
        <v>103</v>
      </c>
      <c r="BS96" t="s">
        <v>2086</v>
      </c>
      <c r="BT96" t="str">
        <f>HYPERLINK("https%3A%2F%2Fwww.webofscience.com%2Fwos%2Fwoscc%2Ffull-record%2FWOS:000335802100021","View Full Record in Web of Science")</f>
        <v>View Full Record in Web of Science</v>
      </c>
    </row>
    <row r="97" spans="1:72" x14ac:dyDescent="0.15">
      <c r="A97" t="s">
        <v>72</v>
      </c>
      <c r="B97" t="s">
        <v>2087</v>
      </c>
      <c r="C97" t="s">
        <v>74</v>
      </c>
      <c r="D97" t="s">
        <v>74</v>
      </c>
      <c r="E97" t="s">
        <v>74</v>
      </c>
      <c r="F97" t="s">
        <v>2088</v>
      </c>
      <c r="G97" t="s">
        <v>74</v>
      </c>
      <c r="H97" t="s">
        <v>74</v>
      </c>
      <c r="I97" t="s">
        <v>2089</v>
      </c>
      <c r="J97" t="s">
        <v>2090</v>
      </c>
      <c r="K97" t="s">
        <v>74</v>
      </c>
      <c r="L97" t="s">
        <v>74</v>
      </c>
      <c r="M97" t="s">
        <v>78</v>
      </c>
      <c r="N97" t="s">
        <v>79</v>
      </c>
      <c r="O97" t="s">
        <v>74</v>
      </c>
      <c r="P97" t="s">
        <v>74</v>
      </c>
      <c r="Q97" t="s">
        <v>74</v>
      </c>
      <c r="R97" t="s">
        <v>74</v>
      </c>
      <c r="S97" t="s">
        <v>74</v>
      </c>
      <c r="T97" t="s">
        <v>74</v>
      </c>
      <c r="U97" t="s">
        <v>74</v>
      </c>
      <c r="V97" t="s">
        <v>2091</v>
      </c>
      <c r="W97" t="s">
        <v>2092</v>
      </c>
      <c r="X97" t="s">
        <v>2093</v>
      </c>
      <c r="Y97" t="s">
        <v>2094</v>
      </c>
      <c r="Z97" t="s">
        <v>74</v>
      </c>
      <c r="AA97" t="s">
        <v>74</v>
      </c>
      <c r="AB97" t="s">
        <v>74</v>
      </c>
      <c r="AC97" t="s">
        <v>74</v>
      </c>
      <c r="AD97" t="s">
        <v>74</v>
      </c>
      <c r="AE97" t="s">
        <v>74</v>
      </c>
      <c r="AF97" t="s">
        <v>74</v>
      </c>
      <c r="AG97">
        <v>31</v>
      </c>
      <c r="AH97">
        <v>2</v>
      </c>
      <c r="AI97">
        <v>2</v>
      </c>
      <c r="AJ97">
        <v>0</v>
      </c>
      <c r="AK97">
        <v>0</v>
      </c>
      <c r="AL97" t="s">
        <v>2095</v>
      </c>
      <c r="AM97" t="s">
        <v>277</v>
      </c>
      <c r="AN97" t="s">
        <v>2096</v>
      </c>
      <c r="AO97" t="s">
        <v>2097</v>
      </c>
      <c r="AP97" t="s">
        <v>2098</v>
      </c>
      <c r="AQ97" t="s">
        <v>74</v>
      </c>
      <c r="AR97" t="s">
        <v>2099</v>
      </c>
      <c r="AS97" t="s">
        <v>2100</v>
      </c>
      <c r="AT97" t="s">
        <v>74</v>
      </c>
      <c r="AU97">
        <v>2014</v>
      </c>
      <c r="AV97">
        <v>21</v>
      </c>
      <c r="AW97">
        <v>1</v>
      </c>
      <c r="AX97" t="s">
        <v>74</v>
      </c>
      <c r="AY97" t="s">
        <v>74</v>
      </c>
      <c r="AZ97" t="s">
        <v>74</v>
      </c>
      <c r="BA97" t="s">
        <v>74</v>
      </c>
      <c r="BB97">
        <v>80</v>
      </c>
      <c r="BC97">
        <v>95</v>
      </c>
      <c r="BD97" t="s">
        <v>74</v>
      </c>
      <c r="BE97" t="s">
        <v>2101</v>
      </c>
      <c r="BF97" t="str">
        <f>HYPERLINK("http://dx.doi.org/10.1080/19376529.2014.891208","http://dx.doi.org/10.1080/19376529.2014.891208")</f>
        <v>http://dx.doi.org/10.1080/19376529.2014.891208</v>
      </c>
      <c r="BG97" t="s">
        <v>74</v>
      </c>
      <c r="BH97" t="s">
        <v>74</v>
      </c>
      <c r="BI97">
        <v>16</v>
      </c>
      <c r="BJ97" t="s">
        <v>2102</v>
      </c>
      <c r="BK97" t="s">
        <v>494</v>
      </c>
      <c r="BL97" t="s">
        <v>2102</v>
      </c>
      <c r="BM97" t="s">
        <v>2103</v>
      </c>
      <c r="BN97" t="s">
        <v>74</v>
      </c>
      <c r="BO97" t="s">
        <v>74</v>
      </c>
      <c r="BP97" t="s">
        <v>74</v>
      </c>
      <c r="BQ97" t="s">
        <v>74</v>
      </c>
      <c r="BR97" t="s">
        <v>103</v>
      </c>
      <c r="BS97" t="s">
        <v>2104</v>
      </c>
      <c r="BT97" t="str">
        <f>HYPERLINK("https%3A%2F%2Fwww.webofscience.com%2Fwos%2Fwoscc%2Ffull-record%2FWOS:000211563000007","View Full Record in Web of Science")</f>
        <v>View Full Record in Web of Science</v>
      </c>
    </row>
    <row r="98" spans="1:72" x14ac:dyDescent="0.15">
      <c r="A98" t="s">
        <v>72</v>
      </c>
      <c r="B98" t="s">
        <v>2105</v>
      </c>
      <c r="C98" t="s">
        <v>74</v>
      </c>
      <c r="D98" t="s">
        <v>74</v>
      </c>
      <c r="E98" t="s">
        <v>74</v>
      </c>
      <c r="F98" t="s">
        <v>2106</v>
      </c>
      <c r="G98" t="s">
        <v>74</v>
      </c>
      <c r="H98" t="s">
        <v>74</v>
      </c>
      <c r="I98" t="s">
        <v>2107</v>
      </c>
      <c r="J98" t="s">
        <v>2108</v>
      </c>
      <c r="K98" t="s">
        <v>74</v>
      </c>
      <c r="L98" t="s">
        <v>74</v>
      </c>
      <c r="M98" t="s">
        <v>78</v>
      </c>
      <c r="N98" t="s">
        <v>79</v>
      </c>
      <c r="O98" t="s">
        <v>74</v>
      </c>
      <c r="P98" t="s">
        <v>74</v>
      </c>
      <c r="Q98" t="s">
        <v>74</v>
      </c>
      <c r="R98" t="s">
        <v>74</v>
      </c>
      <c r="S98" t="s">
        <v>74</v>
      </c>
      <c r="T98" t="s">
        <v>2109</v>
      </c>
      <c r="U98" t="s">
        <v>74</v>
      </c>
      <c r="V98" t="s">
        <v>2110</v>
      </c>
      <c r="W98" t="s">
        <v>2111</v>
      </c>
      <c r="X98" t="s">
        <v>2112</v>
      </c>
      <c r="Y98" t="s">
        <v>2113</v>
      </c>
      <c r="Z98" t="s">
        <v>2114</v>
      </c>
      <c r="AA98" t="s">
        <v>74</v>
      </c>
      <c r="AB98" t="s">
        <v>74</v>
      </c>
      <c r="AC98" t="s">
        <v>74</v>
      </c>
      <c r="AD98" t="s">
        <v>74</v>
      </c>
      <c r="AE98" t="s">
        <v>74</v>
      </c>
      <c r="AF98" t="s">
        <v>74</v>
      </c>
      <c r="AG98">
        <v>24</v>
      </c>
      <c r="AH98">
        <v>3</v>
      </c>
      <c r="AI98">
        <v>3</v>
      </c>
      <c r="AJ98">
        <v>0</v>
      </c>
      <c r="AK98">
        <v>1</v>
      </c>
      <c r="AL98" t="s">
        <v>2115</v>
      </c>
      <c r="AM98" t="s">
        <v>2116</v>
      </c>
      <c r="AN98" t="s">
        <v>2117</v>
      </c>
      <c r="AO98" t="s">
        <v>2118</v>
      </c>
      <c r="AP98" t="s">
        <v>2119</v>
      </c>
      <c r="AQ98" t="s">
        <v>74</v>
      </c>
      <c r="AR98" t="s">
        <v>2120</v>
      </c>
      <c r="AS98" t="s">
        <v>2121</v>
      </c>
      <c r="AT98" t="s">
        <v>74</v>
      </c>
      <c r="AU98">
        <v>2014</v>
      </c>
      <c r="AV98">
        <v>8</v>
      </c>
      <c r="AW98">
        <v>3</v>
      </c>
      <c r="AX98" t="s">
        <v>74</v>
      </c>
      <c r="AY98" t="s">
        <v>74</v>
      </c>
      <c r="AZ98" t="s">
        <v>283</v>
      </c>
      <c r="BA98" t="s">
        <v>74</v>
      </c>
      <c r="BB98">
        <v>534</v>
      </c>
      <c r="BC98">
        <v>545</v>
      </c>
      <c r="BD98" t="s">
        <v>74</v>
      </c>
      <c r="BE98" t="s">
        <v>2122</v>
      </c>
      <c r="BF98" t="str">
        <f>HYPERLINK("http://dx.doi.org/10.1080/15598608.2013.821047","http://dx.doi.org/10.1080/15598608.2013.821047")</f>
        <v>http://dx.doi.org/10.1080/15598608.2013.821047</v>
      </c>
      <c r="BG98" t="s">
        <v>74</v>
      </c>
      <c r="BH98" t="s">
        <v>74</v>
      </c>
      <c r="BI98">
        <v>12</v>
      </c>
      <c r="BJ98" t="s">
        <v>2123</v>
      </c>
      <c r="BK98" t="s">
        <v>494</v>
      </c>
      <c r="BL98" t="s">
        <v>2124</v>
      </c>
      <c r="BM98" t="s">
        <v>2125</v>
      </c>
      <c r="BN98" t="s">
        <v>74</v>
      </c>
      <c r="BO98" t="s">
        <v>74</v>
      </c>
      <c r="BP98" t="s">
        <v>74</v>
      </c>
      <c r="BQ98" t="s">
        <v>74</v>
      </c>
      <c r="BR98" t="s">
        <v>103</v>
      </c>
      <c r="BS98" t="s">
        <v>2126</v>
      </c>
      <c r="BT98" t="str">
        <f>HYPERLINK("https%3A%2F%2Fwww.webofscience.com%2Fwos%2Fwoscc%2Ffull-record%2FWOS:000214372200009","View Full Record in Web of Science")</f>
        <v>View Full Record in Web of Science</v>
      </c>
    </row>
    <row r="99" spans="1:72" x14ac:dyDescent="0.15">
      <c r="A99" t="s">
        <v>72</v>
      </c>
      <c r="B99" t="s">
        <v>2127</v>
      </c>
      <c r="C99" t="s">
        <v>74</v>
      </c>
      <c r="D99" t="s">
        <v>74</v>
      </c>
      <c r="E99" t="s">
        <v>74</v>
      </c>
      <c r="F99" t="s">
        <v>2128</v>
      </c>
      <c r="G99" t="s">
        <v>74</v>
      </c>
      <c r="H99" t="s">
        <v>74</v>
      </c>
      <c r="I99" t="s">
        <v>2129</v>
      </c>
      <c r="J99" t="s">
        <v>2130</v>
      </c>
      <c r="K99" t="s">
        <v>74</v>
      </c>
      <c r="L99" t="s">
        <v>74</v>
      </c>
      <c r="M99" t="s">
        <v>78</v>
      </c>
      <c r="N99" t="s">
        <v>79</v>
      </c>
      <c r="O99" t="s">
        <v>74</v>
      </c>
      <c r="P99" t="s">
        <v>74</v>
      </c>
      <c r="Q99" t="s">
        <v>74</v>
      </c>
      <c r="R99" t="s">
        <v>74</v>
      </c>
      <c r="S99" t="s">
        <v>74</v>
      </c>
      <c r="T99" t="s">
        <v>2131</v>
      </c>
      <c r="U99" t="s">
        <v>2132</v>
      </c>
      <c r="V99" t="s">
        <v>2133</v>
      </c>
      <c r="W99" t="s">
        <v>2134</v>
      </c>
      <c r="X99" t="s">
        <v>2135</v>
      </c>
      <c r="Y99" t="s">
        <v>2136</v>
      </c>
      <c r="Z99" t="s">
        <v>2137</v>
      </c>
      <c r="AA99" t="s">
        <v>74</v>
      </c>
      <c r="AB99" t="s">
        <v>74</v>
      </c>
      <c r="AC99" t="s">
        <v>2138</v>
      </c>
      <c r="AD99" t="s">
        <v>2138</v>
      </c>
      <c r="AE99" t="s">
        <v>2139</v>
      </c>
      <c r="AF99" t="s">
        <v>74</v>
      </c>
      <c r="AG99">
        <v>44</v>
      </c>
      <c r="AH99">
        <v>8</v>
      </c>
      <c r="AI99">
        <v>9</v>
      </c>
      <c r="AJ99">
        <v>1</v>
      </c>
      <c r="AK99">
        <v>9</v>
      </c>
      <c r="AL99" t="s">
        <v>2140</v>
      </c>
      <c r="AM99" t="s">
        <v>2141</v>
      </c>
      <c r="AN99" t="s">
        <v>2142</v>
      </c>
      <c r="AO99" t="s">
        <v>2143</v>
      </c>
      <c r="AP99" t="s">
        <v>2144</v>
      </c>
      <c r="AQ99" t="s">
        <v>74</v>
      </c>
      <c r="AR99" t="s">
        <v>2145</v>
      </c>
      <c r="AS99" t="s">
        <v>2146</v>
      </c>
      <c r="AT99" t="s">
        <v>74</v>
      </c>
      <c r="AU99">
        <v>2014</v>
      </c>
      <c r="AV99">
        <v>33</v>
      </c>
      <c r="AW99">
        <v>1</v>
      </c>
      <c r="AX99" t="s">
        <v>74</v>
      </c>
      <c r="AY99" t="s">
        <v>74</v>
      </c>
      <c r="AZ99" t="s">
        <v>74</v>
      </c>
      <c r="BA99" t="s">
        <v>74</v>
      </c>
      <c r="BB99">
        <v>46</v>
      </c>
      <c r="BC99">
        <v>58</v>
      </c>
      <c r="BD99" t="s">
        <v>74</v>
      </c>
      <c r="BE99" t="s">
        <v>2147</v>
      </c>
      <c r="BF99" t="str">
        <f>HYPERLINK("http://dx.doi.org/10.1080/10549811.2013.807745","http://dx.doi.org/10.1080/10549811.2013.807745")</f>
        <v>http://dx.doi.org/10.1080/10549811.2013.807745</v>
      </c>
      <c r="BG99" t="s">
        <v>74</v>
      </c>
      <c r="BH99" t="s">
        <v>74</v>
      </c>
      <c r="BI99">
        <v>13</v>
      </c>
      <c r="BJ99" t="s">
        <v>1327</v>
      </c>
      <c r="BK99" t="s">
        <v>99</v>
      </c>
      <c r="BL99" t="s">
        <v>1327</v>
      </c>
      <c r="BM99" t="s">
        <v>2148</v>
      </c>
      <c r="BN99" t="s">
        <v>74</v>
      </c>
      <c r="BO99" t="s">
        <v>74</v>
      </c>
      <c r="BP99" t="s">
        <v>74</v>
      </c>
      <c r="BQ99" t="s">
        <v>74</v>
      </c>
      <c r="BR99" t="s">
        <v>103</v>
      </c>
      <c r="BS99" t="s">
        <v>2149</v>
      </c>
      <c r="BT99" t="str">
        <f>HYPERLINK("https%3A%2F%2Fwww.webofscience.com%2Fwos%2Fwoscc%2Ffull-record%2FWOS:000209679000004","View Full Record in Web of Science")</f>
        <v>View Full Record in Web of Science</v>
      </c>
    </row>
    <row r="100" spans="1:72" x14ac:dyDescent="0.15">
      <c r="A100" t="s">
        <v>72</v>
      </c>
      <c r="B100" t="s">
        <v>2150</v>
      </c>
      <c r="C100" t="s">
        <v>74</v>
      </c>
      <c r="D100" t="s">
        <v>74</v>
      </c>
      <c r="E100" t="s">
        <v>74</v>
      </c>
      <c r="F100" t="s">
        <v>2151</v>
      </c>
      <c r="G100" t="s">
        <v>74</v>
      </c>
      <c r="H100" t="s">
        <v>74</v>
      </c>
      <c r="I100" t="s">
        <v>2152</v>
      </c>
      <c r="J100" t="s">
        <v>2153</v>
      </c>
      <c r="K100" t="s">
        <v>74</v>
      </c>
      <c r="L100" t="s">
        <v>74</v>
      </c>
      <c r="M100" t="s">
        <v>78</v>
      </c>
      <c r="N100" t="s">
        <v>79</v>
      </c>
      <c r="O100" t="s">
        <v>74</v>
      </c>
      <c r="P100" t="s">
        <v>74</v>
      </c>
      <c r="Q100" t="s">
        <v>74</v>
      </c>
      <c r="R100" t="s">
        <v>74</v>
      </c>
      <c r="S100" t="s">
        <v>74</v>
      </c>
      <c r="T100" t="s">
        <v>74</v>
      </c>
      <c r="U100" t="s">
        <v>2154</v>
      </c>
      <c r="V100" t="s">
        <v>2155</v>
      </c>
      <c r="W100" t="s">
        <v>2156</v>
      </c>
      <c r="X100" t="s">
        <v>2157</v>
      </c>
      <c r="Y100" t="s">
        <v>2158</v>
      </c>
      <c r="Z100" t="s">
        <v>2159</v>
      </c>
      <c r="AA100" t="s">
        <v>2160</v>
      </c>
      <c r="AB100" t="s">
        <v>2161</v>
      </c>
      <c r="AC100" t="s">
        <v>2162</v>
      </c>
      <c r="AD100" t="s">
        <v>2163</v>
      </c>
      <c r="AE100" t="s">
        <v>2164</v>
      </c>
      <c r="AF100" t="s">
        <v>74</v>
      </c>
      <c r="AG100">
        <v>30</v>
      </c>
      <c r="AH100">
        <v>42</v>
      </c>
      <c r="AI100">
        <v>45</v>
      </c>
      <c r="AJ100">
        <v>0</v>
      </c>
      <c r="AK100">
        <v>13</v>
      </c>
      <c r="AL100" t="s">
        <v>2165</v>
      </c>
      <c r="AM100" t="s">
        <v>2166</v>
      </c>
      <c r="AN100" t="s">
        <v>2167</v>
      </c>
      <c r="AO100" t="s">
        <v>2168</v>
      </c>
      <c r="AP100" t="s">
        <v>2169</v>
      </c>
      <c r="AQ100" t="s">
        <v>74</v>
      </c>
      <c r="AR100" t="s">
        <v>2170</v>
      </c>
      <c r="AS100" t="s">
        <v>2171</v>
      </c>
      <c r="AT100" t="s">
        <v>417</v>
      </c>
      <c r="AU100">
        <v>2014</v>
      </c>
      <c r="AV100">
        <v>171</v>
      </c>
      <c r="AW100">
        <v>1</v>
      </c>
      <c r="AX100" t="s">
        <v>74</v>
      </c>
      <c r="AY100" t="s">
        <v>74</v>
      </c>
      <c r="AZ100" t="s">
        <v>74</v>
      </c>
      <c r="BA100" t="s">
        <v>74</v>
      </c>
      <c r="BB100">
        <v>9</v>
      </c>
      <c r="BC100">
        <v>12</v>
      </c>
      <c r="BD100" t="s">
        <v>74</v>
      </c>
      <c r="BE100" t="s">
        <v>2172</v>
      </c>
      <c r="BF100" t="str">
        <f>HYPERLINK("http://dx.doi.org/10.1144/jgs2013-030","http://dx.doi.org/10.1144/jgs2013-030")</f>
        <v>http://dx.doi.org/10.1144/jgs2013-030</v>
      </c>
      <c r="BG100" t="s">
        <v>74</v>
      </c>
      <c r="BH100" t="s">
        <v>74</v>
      </c>
      <c r="BI100">
        <v>4</v>
      </c>
      <c r="BJ100" t="s">
        <v>337</v>
      </c>
      <c r="BK100" t="s">
        <v>99</v>
      </c>
      <c r="BL100" t="s">
        <v>338</v>
      </c>
      <c r="BM100" t="s">
        <v>2173</v>
      </c>
      <c r="BN100" t="s">
        <v>74</v>
      </c>
      <c r="BO100" t="s">
        <v>1145</v>
      </c>
      <c r="BP100" t="s">
        <v>74</v>
      </c>
      <c r="BQ100" t="s">
        <v>74</v>
      </c>
      <c r="BR100" t="s">
        <v>103</v>
      </c>
      <c r="BS100" t="s">
        <v>2174</v>
      </c>
      <c r="BT100" t="str">
        <f>HYPERLINK("https%3A%2F%2Fwww.webofscience.com%2Fwos%2Fwoscc%2Ffull-record%2FWOS:000329924200003","View Full Record in Web of Science")</f>
        <v>View Full Record in Web of Science</v>
      </c>
    </row>
    <row r="101" spans="1:72" x14ac:dyDescent="0.15">
      <c r="A101" t="s">
        <v>72</v>
      </c>
      <c r="B101" t="s">
        <v>2175</v>
      </c>
      <c r="C101" t="s">
        <v>74</v>
      </c>
      <c r="D101" t="s">
        <v>74</v>
      </c>
      <c r="E101" t="s">
        <v>74</v>
      </c>
      <c r="F101" t="s">
        <v>2176</v>
      </c>
      <c r="G101" t="s">
        <v>74</v>
      </c>
      <c r="H101" t="s">
        <v>74</v>
      </c>
      <c r="I101" t="s">
        <v>2177</v>
      </c>
      <c r="J101" t="s">
        <v>2178</v>
      </c>
      <c r="K101" t="s">
        <v>74</v>
      </c>
      <c r="L101" t="s">
        <v>74</v>
      </c>
      <c r="M101" t="s">
        <v>78</v>
      </c>
      <c r="N101" t="s">
        <v>79</v>
      </c>
      <c r="O101" t="s">
        <v>74</v>
      </c>
      <c r="P101" t="s">
        <v>74</v>
      </c>
      <c r="Q101" t="s">
        <v>74</v>
      </c>
      <c r="R101" t="s">
        <v>74</v>
      </c>
      <c r="S101" t="s">
        <v>74</v>
      </c>
      <c r="T101" t="s">
        <v>2179</v>
      </c>
      <c r="U101" t="s">
        <v>2180</v>
      </c>
      <c r="V101" t="s">
        <v>2181</v>
      </c>
      <c r="W101" t="s">
        <v>2182</v>
      </c>
      <c r="X101" t="s">
        <v>2183</v>
      </c>
      <c r="Y101" t="s">
        <v>2184</v>
      </c>
      <c r="Z101" t="s">
        <v>2185</v>
      </c>
      <c r="AA101" t="s">
        <v>74</v>
      </c>
      <c r="AB101" t="s">
        <v>2186</v>
      </c>
      <c r="AC101" t="s">
        <v>2187</v>
      </c>
      <c r="AD101" t="s">
        <v>2188</v>
      </c>
      <c r="AE101" t="s">
        <v>2189</v>
      </c>
      <c r="AF101" t="s">
        <v>74</v>
      </c>
      <c r="AG101">
        <v>30</v>
      </c>
      <c r="AH101">
        <v>14</v>
      </c>
      <c r="AI101">
        <v>14</v>
      </c>
      <c r="AJ101">
        <v>0</v>
      </c>
      <c r="AK101">
        <v>29</v>
      </c>
      <c r="AL101" t="s">
        <v>410</v>
      </c>
      <c r="AM101" t="s">
        <v>411</v>
      </c>
      <c r="AN101" t="s">
        <v>412</v>
      </c>
      <c r="AO101" t="s">
        <v>2190</v>
      </c>
      <c r="AP101" t="s">
        <v>2191</v>
      </c>
      <c r="AQ101" t="s">
        <v>74</v>
      </c>
      <c r="AR101" t="s">
        <v>2192</v>
      </c>
      <c r="AS101" t="s">
        <v>2193</v>
      </c>
      <c r="AT101" t="s">
        <v>417</v>
      </c>
      <c r="AU101">
        <v>2014</v>
      </c>
      <c r="AV101">
        <v>292</v>
      </c>
      <c r="AW101">
        <v>1</v>
      </c>
      <c r="AX101" t="s">
        <v>74</v>
      </c>
      <c r="AY101" t="s">
        <v>74</v>
      </c>
      <c r="AZ101" t="s">
        <v>74</v>
      </c>
      <c r="BA101" t="s">
        <v>74</v>
      </c>
      <c r="BB101">
        <v>25</v>
      </c>
      <c r="BC101">
        <v>30</v>
      </c>
      <c r="BD101" t="s">
        <v>74</v>
      </c>
      <c r="BE101" t="s">
        <v>2194</v>
      </c>
      <c r="BF101" t="str">
        <f>HYPERLINK("http://dx.doi.org/10.1111/jzo.12080","http://dx.doi.org/10.1111/jzo.12080")</f>
        <v>http://dx.doi.org/10.1111/jzo.12080</v>
      </c>
      <c r="BG101" t="s">
        <v>74</v>
      </c>
      <c r="BH101" t="s">
        <v>74</v>
      </c>
      <c r="BI101">
        <v>6</v>
      </c>
      <c r="BJ101" t="s">
        <v>448</v>
      </c>
      <c r="BK101" t="s">
        <v>99</v>
      </c>
      <c r="BL101" t="s">
        <v>448</v>
      </c>
      <c r="BM101" t="s">
        <v>2195</v>
      </c>
      <c r="BN101" t="s">
        <v>74</v>
      </c>
      <c r="BO101" t="s">
        <v>450</v>
      </c>
      <c r="BP101" t="s">
        <v>74</v>
      </c>
      <c r="BQ101" t="s">
        <v>74</v>
      </c>
      <c r="BR101" t="s">
        <v>103</v>
      </c>
      <c r="BS101" t="s">
        <v>2196</v>
      </c>
      <c r="BT101" t="str">
        <f>HYPERLINK("https%3A%2F%2Fwww.webofscience.com%2Fwos%2Fwoscc%2Ffull-record%2FWOS:000328679000004","View Full Record in Web of Science")</f>
        <v>View Full Record in Web of Science</v>
      </c>
    </row>
    <row r="102" spans="1:72" x14ac:dyDescent="0.15">
      <c r="A102" t="s">
        <v>1053</v>
      </c>
      <c r="B102" t="s">
        <v>2197</v>
      </c>
      <c r="C102" t="s">
        <v>74</v>
      </c>
      <c r="D102" t="s">
        <v>2198</v>
      </c>
      <c r="E102" t="s">
        <v>74</v>
      </c>
      <c r="F102" t="s">
        <v>2199</v>
      </c>
      <c r="G102" t="s">
        <v>74</v>
      </c>
      <c r="H102" t="s">
        <v>74</v>
      </c>
      <c r="I102" t="s">
        <v>2200</v>
      </c>
      <c r="J102" t="s">
        <v>2201</v>
      </c>
      <c r="K102" t="s">
        <v>2202</v>
      </c>
      <c r="L102" t="s">
        <v>74</v>
      </c>
      <c r="M102" t="s">
        <v>78</v>
      </c>
      <c r="N102" t="s">
        <v>244</v>
      </c>
      <c r="O102" t="s">
        <v>74</v>
      </c>
      <c r="P102" t="s">
        <v>74</v>
      </c>
      <c r="Q102" t="s">
        <v>74</v>
      </c>
      <c r="R102" t="s">
        <v>74</v>
      </c>
      <c r="S102" t="s">
        <v>74</v>
      </c>
      <c r="T102" t="s">
        <v>2203</v>
      </c>
      <c r="U102" t="s">
        <v>2204</v>
      </c>
      <c r="V102" t="s">
        <v>74</v>
      </c>
      <c r="W102" t="s">
        <v>2205</v>
      </c>
      <c r="X102" t="s">
        <v>2206</v>
      </c>
      <c r="Y102" t="s">
        <v>2207</v>
      </c>
      <c r="Z102" t="s">
        <v>2208</v>
      </c>
      <c r="AA102" t="s">
        <v>2209</v>
      </c>
      <c r="AB102" t="s">
        <v>74</v>
      </c>
      <c r="AC102" t="s">
        <v>74</v>
      </c>
      <c r="AD102" t="s">
        <v>74</v>
      </c>
      <c r="AE102" t="s">
        <v>74</v>
      </c>
      <c r="AF102" t="s">
        <v>74</v>
      </c>
      <c r="AG102">
        <v>119</v>
      </c>
      <c r="AH102">
        <v>39</v>
      </c>
      <c r="AI102">
        <v>47</v>
      </c>
      <c r="AJ102">
        <v>1</v>
      </c>
      <c r="AK102">
        <v>11</v>
      </c>
      <c r="AL102" t="s">
        <v>1067</v>
      </c>
      <c r="AM102" t="s">
        <v>921</v>
      </c>
      <c r="AN102" t="s">
        <v>2210</v>
      </c>
      <c r="AO102" t="s">
        <v>2211</v>
      </c>
      <c r="AP102" t="s">
        <v>2212</v>
      </c>
      <c r="AQ102" t="s">
        <v>2213</v>
      </c>
      <c r="AR102" t="s">
        <v>2214</v>
      </c>
      <c r="AS102" t="s">
        <v>2215</v>
      </c>
      <c r="AT102" t="s">
        <v>74</v>
      </c>
      <c r="AU102">
        <v>2014</v>
      </c>
      <c r="AV102">
        <v>48</v>
      </c>
      <c r="AW102" t="s">
        <v>74</v>
      </c>
      <c r="AX102" t="s">
        <v>74</v>
      </c>
      <c r="AY102" t="s">
        <v>74</v>
      </c>
      <c r="AZ102" t="s">
        <v>74</v>
      </c>
      <c r="BA102" t="s">
        <v>74</v>
      </c>
      <c r="BB102">
        <v>121</v>
      </c>
      <c r="BC102">
        <v>150</v>
      </c>
      <c r="BD102" t="s">
        <v>74</v>
      </c>
      <c r="BE102" t="s">
        <v>2216</v>
      </c>
      <c r="BF102" t="str">
        <f>HYPERLINK("http://dx.doi.org/10.1007/2506_2013_17","http://dx.doi.org/10.1007/2506_2013_17")</f>
        <v>http://dx.doi.org/10.1007/2506_2013_17</v>
      </c>
      <c r="BG102" t="s">
        <v>2217</v>
      </c>
      <c r="BH102" t="s">
        <v>74</v>
      </c>
      <c r="BI102">
        <v>30</v>
      </c>
      <c r="BJ102" t="s">
        <v>2218</v>
      </c>
      <c r="BK102" t="s">
        <v>632</v>
      </c>
      <c r="BL102" t="s">
        <v>2219</v>
      </c>
      <c r="BM102" t="s">
        <v>2220</v>
      </c>
      <c r="BN102" t="s">
        <v>74</v>
      </c>
      <c r="BO102" t="s">
        <v>74</v>
      </c>
      <c r="BP102" t="s">
        <v>74</v>
      </c>
      <c r="BQ102" t="s">
        <v>74</v>
      </c>
      <c r="BR102" t="s">
        <v>103</v>
      </c>
      <c r="BS102" t="s">
        <v>2221</v>
      </c>
      <c r="BT102" t="str">
        <f>HYPERLINK("https%3A%2F%2Fwww.webofscience.com%2Fwos%2Fwoscc%2Ffull-record%2FWOS:000417094800007","View Full Record in Web of Science")</f>
        <v>View Full Record in Web of Science</v>
      </c>
    </row>
    <row r="103" spans="1:72" x14ac:dyDescent="0.15">
      <c r="A103" t="s">
        <v>72</v>
      </c>
      <c r="B103" t="s">
        <v>2222</v>
      </c>
      <c r="C103" t="s">
        <v>74</v>
      </c>
      <c r="D103" t="s">
        <v>74</v>
      </c>
      <c r="E103" t="s">
        <v>74</v>
      </c>
      <c r="F103" t="s">
        <v>2223</v>
      </c>
      <c r="G103" t="s">
        <v>74</v>
      </c>
      <c r="H103" t="s">
        <v>74</v>
      </c>
      <c r="I103" t="s">
        <v>2224</v>
      </c>
      <c r="J103" t="s">
        <v>2225</v>
      </c>
      <c r="K103" t="s">
        <v>74</v>
      </c>
      <c r="L103" t="s">
        <v>74</v>
      </c>
      <c r="M103" t="s">
        <v>78</v>
      </c>
      <c r="N103" t="s">
        <v>79</v>
      </c>
      <c r="O103" t="s">
        <v>74</v>
      </c>
      <c r="P103" t="s">
        <v>74</v>
      </c>
      <c r="Q103" t="s">
        <v>74</v>
      </c>
      <c r="R103" t="s">
        <v>74</v>
      </c>
      <c r="S103" t="s">
        <v>74</v>
      </c>
      <c r="T103" t="s">
        <v>2226</v>
      </c>
      <c r="U103" t="s">
        <v>74</v>
      </c>
      <c r="V103" t="s">
        <v>2227</v>
      </c>
      <c r="W103" t="s">
        <v>2228</v>
      </c>
      <c r="X103" t="s">
        <v>218</v>
      </c>
      <c r="Y103" t="s">
        <v>2229</v>
      </c>
      <c r="Z103" t="s">
        <v>2230</v>
      </c>
      <c r="AA103" t="s">
        <v>2231</v>
      </c>
      <c r="AB103" t="s">
        <v>2232</v>
      </c>
      <c r="AC103" t="s">
        <v>2233</v>
      </c>
      <c r="AD103" t="s">
        <v>2234</v>
      </c>
      <c r="AE103" t="s">
        <v>2235</v>
      </c>
      <c r="AF103" t="s">
        <v>74</v>
      </c>
      <c r="AG103">
        <v>67</v>
      </c>
      <c r="AH103">
        <v>0</v>
      </c>
      <c r="AI103">
        <v>0</v>
      </c>
      <c r="AJ103">
        <v>1</v>
      </c>
      <c r="AK103">
        <v>1</v>
      </c>
      <c r="AL103" t="s">
        <v>2236</v>
      </c>
      <c r="AM103" t="s">
        <v>2237</v>
      </c>
      <c r="AN103" t="s">
        <v>2238</v>
      </c>
      <c r="AO103" t="s">
        <v>2239</v>
      </c>
      <c r="AP103" t="s">
        <v>2240</v>
      </c>
      <c r="AQ103" t="s">
        <v>74</v>
      </c>
      <c r="AR103" t="s">
        <v>2241</v>
      </c>
      <c r="AS103" t="s">
        <v>2242</v>
      </c>
      <c r="AT103" t="s">
        <v>74</v>
      </c>
      <c r="AU103">
        <v>2014</v>
      </c>
      <c r="AV103">
        <v>13</v>
      </c>
      <c r="AW103">
        <v>3</v>
      </c>
      <c r="AX103" t="s">
        <v>74</v>
      </c>
      <c r="AY103" t="s">
        <v>74</v>
      </c>
      <c r="AZ103" t="s">
        <v>74</v>
      </c>
      <c r="BA103" t="s">
        <v>74</v>
      </c>
      <c r="BB103">
        <v>286</v>
      </c>
      <c r="BC103">
        <v>305</v>
      </c>
      <c r="BD103" t="s">
        <v>74</v>
      </c>
      <c r="BE103" t="s">
        <v>2243</v>
      </c>
      <c r="BF103" t="str">
        <f>HYPERLINK("http://dx.doi.org/10.1163/15718034-12341278","http://dx.doi.org/10.1163/15718034-12341278")</f>
        <v>http://dx.doi.org/10.1163/15718034-12341278</v>
      </c>
      <c r="BG103" t="s">
        <v>74</v>
      </c>
      <c r="BH103" t="s">
        <v>74</v>
      </c>
      <c r="BI103">
        <v>20</v>
      </c>
      <c r="BJ103" t="s">
        <v>493</v>
      </c>
      <c r="BK103" t="s">
        <v>494</v>
      </c>
      <c r="BL103" t="s">
        <v>495</v>
      </c>
      <c r="BM103" t="s">
        <v>2244</v>
      </c>
      <c r="BN103" t="s">
        <v>74</v>
      </c>
      <c r="BO103" t="s">
        <v>74</v>
      </c>
      <c r="BP103" t="s">
        <v>74</v>
      </c>
      <c r="BQ103" t="s">
        <v>74</v>
      </c>
      <c r="BR103" t="s">
        <v>103</v>
      </c>
      <c r="BS103" t="s">
        <v>2245</v>
      </c>
      <c r="BT103" t="str">
        <f>HYPERLINK("https%3A%2F%2Fwww.webofscience.com%2Fwos%2Fwoscc%2Ffull-record%2FWOS:000211701700002","View Full Record in Web of Science")</f>
        <v>View Full Record in Web of Science</v>
      </c>
    </row>
    <row r="104" spans="1:72" x14ac:dyDescent="0.15">
      <c r="A104" t="s">
        <v>72</v>
      </c>
      <c r="B104" t="s">
        <v>2246</v>
      </c>
      <c r="C104" t="s">
        <v>74</v>
      </c>
      <c r="D104" t="s">
        <v>74</v>
      </c>
      <c r="E104" t="s">
        <v>74</v>
      </c>
      <c r="F104" t="s">
        <v>2247</v>
      </c>
      <c r="G104" t="s">
        <v>74</v>
      </c>
      <c r="H104" t="s">
        <v>74</v>
      </c>
      <c r="I104" t="s">
        <v>2248</v>
      </c>
      <c r="J104" t="s">
        <v>2249</v>
      </c>
      <c r="K104" t="s">
        <v>74</v>
      </c>
      <c r="L104" t="s">
        <v>74</v>
      </c>
      <c r="M104" t="s">
        <v>78</v>
      </c>
      <c r="N104" t="s">
        <v>79</v>
      </c>
      <c r="O104" t="s">
        <v>74</v>
      </c>
      <c r="P104" t="s">
        <v>74</v>
      </c>
      <c r="Q104" t="s">
        <v>74</v>
      </c>
      <c r="R104" t="s">
        <v>74</v>
      </c>
      <c r="S104" t="s">
        <v>74</v>
      </c>
      <c r="T104" t="s">
        <v>74</v>
      </c>
      <c r="U104" t="s">
        <v>2250</v>
      </c>
      <c r="V104" t="s">
        <v>2251</v>
      </c>
      <c r="W104" t="s">
        <v>2252</v>
      </c>
      <c r="X104" t="s">
        <v>2253</v>
      </c>
      <c r="Y104" t="s">
        <v>2254</v>
      </c>
      <c r="Z104" t="s">
        <v>2255</v>
      </c>
      <c r="AA104" t="s">
        <v>2256</v>
      </c>
      <c r="AB104" t="s">
        <v>74</v>
      </c>
      <c r="AC104" t="s">
        <v>2257</v>
      </c>
      <c r="AD104" t="s">
        <v>2258</v>
      </c>
      <c r="AE104" t="s">
        <v>2259</v>
      </c>
      <c r="AF104" t="s">
        <v>74</v>
      </c>
      <c r="AG104">
        <v>76</v>
      </c>
      <c r="AH104">
        <v>79</v>
      </c>
      <c r="AI104">
        <v>89</v>
      </c>
      <c r="AJ104">
        <v>3</v>
      </c>
      <c r="AK104">
        <v>77</v>
      </c>
      <c r="AL104" t="s">
        <v>410</v>
      </c>
      <c r="AM104" t="s">
        <v>411</v>
      </c>
      <c r="AN104" t="s">
        <v>412</v>
      </c>
      <c r="AO104" t="s">
        <v>2260</v>
      </c>
      <c r="AP104" t="s">
        <v>2261</v>
      </c>
      <c r="AQ104" t="s">
        <v>74</v>
      </c>
      <c r="AR104" t="s">
        <v>2262</v>
      </c>
      <c r="AS104" t="s">
        <v>2263</v>
      </c>
      <c r="AT104" t="s">
        <v>417</v>
      </c>
      <c r="AU104">
        <v>2014</v>
      </c>
      <c r="AV104">
        <v>59</v>
      </c>
      <c r="AW104">
        <v>1</v>
      </c>
      <c r="AX104" t="s">
        <v>74</v>
      </c>
      <c r="AY104" t="s">
        <v>74</v>
      </c>
      <c r="AZ104" t="s">
        <v>74</v>
      </c>
      <c r="BA104" t="s">
        <v>74</v>
      </c>
      <c r="BB104">
        <v>17</v>
      </c>
      <c r="BC104">
        <v>36</v>
      </c>
      <c r="BD104" t="s">
        <v>74</v>
      </c>
      <c r="BE104" t="s">
        <v>2264</v>
      </c>
      <c r="BF104" t="str">
        <f>HYPERLINK("http://dx.doi.org/10.4319/lo.2014.59.1.0017","http://dx.doi.org/10.4319/lo.2014.59.1.0017")</f>
        <v>http://dx.doi.org/10.4319/lo.2014.59.1.0017</v>
      </c>
      <c r="BG104" t="s">
        <v>74</v>
      </c>
      <c r="BH104" t="s">
        <v>74</v>
      </c>
      <c r="BI104">
        <v>20</v>
      </c>
      <c r="BJ104" t="s">
        <v>2265</v>
      </c>
      <c r="BK104" t="s">
        <v>99</v>
      </c>
      <c r="BL104" t="s">
        <v>2266</v>
      </c>
      <c r="BM104" t="s">
        <v>2267</v>
      </c>
      <c r="BN104" t="s">
        <v>74</v>
      </c>
      <c r="BO104" t="s">
        <v>475</v>
      </c>
      <c r="BP104" t="s">
        <v>74</v>
      </c>
      <c r="BQ104" t="s">
        <v>74</v>
      </c>
      <c r="BR104" t="s">
        <v>103</v>
      </c>
      <c r="BS104" t="s">
        <v>2268</v>
      </c>
      <c r="BT104" t="str">
        <f>HYPERLINK("https%3A%2F%2Fwww.webofscience.com%2Fwos%2Fwoscc%2Ffull-record%2FWOS:000339901800002","View Full Record in Web of Science")</f>
        <v>View Full Record in Web of Science</v>
      </c>
    </row>
    <row r="105" spans="1:72" x14ac:dyDescent="0.15">
      <c r="A105" t="s">
        <v>72</v>
      </c>
      <c r="B105" t="s">
        <v>2269</v>
      </c>
      <c r="C105" t="s">
        <v>74</v>
      </c>
      <c r="D105" t="s">
        <v>74</v>
      </c>
      <c r="E105" t="s">
        <v>74</v>
      </c>
      <c r="F105" t="s">
        <v>2270</v>
      </c>
      <c r="G105" t="s">
        <v>74</v>
      </c>
      <c r="H105" t="s">
        <v>74</v>
      </c>
      <c r="I105" t="s">
        <v>2271</v>
      </c>
      <c r="J105" t="s">
        <v>2249</v>
      </c>
      <c r="K105" t="s">
        <v>74</v>
      </c>
      <c r="L105" t="s">
        <v>74</v>
      </c>
      <c r="M105" t="s">
        <v>78</v>
      </c>
      <c r="N105" t="s">
        <v>79</v>
      </c>
      <c r="O105" t="s">
        <v>74</v>
      </c>
      <c r="P105" t="s">
        <v>74</v>
      </c>
      <c r="Q105" t="s">
        <v>74</v>
      </c>
      <c r="R105" t="s">
        <v>74</v>
      </c>
      <c r="S105" t="s">
        <v>74</v>
      </c>
      <c r="T105" t="s">
        <v>74</v>
      </c>
      <c r="U105" t="s">
        <v>2272</v>
      </c>
      <c r="V105" t="s">
        <v>2273</v>
      </c>
      <c r="W105" t="s">
        <v>2274</v>
      </c>
      <c r="X105" t="s">
        <v>2275</v>
      </c>
      <c r="Y105" t="s">
        <v>2276</v>
      </c>
      <c r="Z105" t="s">
        <v>2277</v>
      </c>
      <c r="AA105" t="s">
        <v>2278</v>
      </c>
      <c r="AB105" t="s">
        <v>2279</v>
      </c>
      <c r="AC105" t="s">
        <v>2280</v>
      </c>
      <c r="AD105" t="s">
        <v>2281</v>
      </c>
      <c r="AE105" t="s">
        <v>2282</v>
      </c>
      <c r="AF105" t="s">
        <v>74</v>
      </c>
      <c r="AG105">
        <v>67</v>
      </c>
      <c r="AH105">
        <v>63</v>
      </c>
      <c r="AI105">
        <v>66</v>
      </c>
      <c r="AJ105">
        <v>0</v>
      </c>
      <c r="AK105">
        <v>11</v>
      </c>
      <c r="AL105" t="s">
        <v>410</v>
      </c>
      <c r="AM105" t="s">
        <v>411</v>
      </c>
      <c r="AN105" t="s">
        <v>412</v>
      </c>
      <c r="AO105" t="s">
        <v>2260</v>
      </c>
      <c r="AP105" t="s">
        <v>2261</v>
      </c>
      <c r="AQ105" t="s">
        <v>74</v>
      </c>
      <c r="AR105" t="s">
        <v>2262</v>
      </c>
      <c r="AS105" t="s">
        <v>2263</v>
      </c>
      <c r="AT105" t="s">
        <v>417</v>
      </c>
      <c r="AU105">
        <v>2014</v>
      </c>
      <c r="AV105">
        <v>59</v>
      </c>
      <c r="AW105">
        <v>1</v>
      </c>
      <c r="AX105" t="s">
        <v>74</v>
      </c>
      <c r="AY105" t="s">
        <v>74</v>
      </c>
      <c r="AZ105" t="s">
        <v>74</v>
      </c>
      <c r="BA105" t="s">
        <v>74</v>
      </c>
      <c r="BB105">
        <v>195</v>
      </c>
      <c r="BC105">
        <v>210</v>
      </c>
      <c r="BD105" t="s">
        <v>74</v>
      </c>
      <c r="BE105" t="s">
        <v>2283</v>
      </c>
      <c r="BF105" t="str">
        <f>HYPERLINK("http://dx.doi.org/10.4319/lo.2014.59.1.0195","http://dx.doi.org/10.4319/lo.2014.59.1.0195")</f>
        <v>http://dx.doi.org/10.4319/lo.2014.59.1.0195</v>
      </c>
      <c r="BG105" t="s">
        <v>74</v>
      </c>
      <c r="BH105" t="s">
        <v>74</v>
      </c>
      <c r="BI105">
        <v>16</v>
      </c>
      <c r="BJ105" t="s">
        <v>2265</v>
      </c>
      <c r="BK105" t="s">
        <v>99</v>
      </c>
      <c r="BL105" t="s">
        <v>2266</v>
      </c>
      <c r="BM105" t="s">
        <v>2267</v>
      </c>
      <c r="BN105" t="s">
        <v>74</v>
      </c>
      <c r="BO105" t="s">
        <v>1381</v>
      </c>
      <c r="BP105" t="s">
        <v>74</v>
      </c>
      <c r="BQ105" t="s">
        <v>74</v>
      </c>
      <c r="BR105" t="s">
        <v>103</v>
      </c>
      <c r="BS105" t="s">
        <v>2284</v>
      </c>
      <c r="BT105" t="str">
        <f>HYPERLINK("https%3A%2F%2Fwww.webofscience.com%2Fwos%2Fwoscc%2Ffull-record%2FWOS:000339901800016","View Full Record in Web of Science")</f>
        <v>View Full Record in Web of Science</v>
      </c>
    </row>
    <row r="106" spans="1:72" x14ac:dyDescent="0.15">
      <c r="A106" t="s">
        <v>72</v>
      </c>
      <c r="B106" t="s">
        <v>2285</v>
      </c>
      <c r="C106" t="s">
        <v>74</v>
      </c>
      <c r="D106" t="s">
        <v>74</v>
      </c>
      <c r="E106" t="s">
        <v>74</v>
      </c>
      <c r="F106" t="s">
        <v>2286</v>
      </c>
      <c r="G106" t="s">
        <v>74</v>
      </c>
      <c r="H106" t="s">
        <v>74</v>
      </c>
      <c r="I106" t="s">
        <v>2287</v>
      </c>
      <c r="J106" t="s">
        <v>2288</v>
      </c>
      <c r="K106" t="s">
        <v>74</v>
      </c>
      <c r="L106" t="s">
        <v>74</v>
      </c>
      <c r="M106" t="s">
        <v>78</v>
      </c>
      <c r="N106" t="s">
        <v>79</v>
      </c>
      <c r="O106" t="s">
        <v>74</v>
      </c>
      <c r="P106" t="s">
        <v>74</v>
      </c>
      <c r="Q106" t="s">
        <v>74</v>
      </c>
      <c r="R106" t="s">
        <v>74</v>
      </c>
      <c r="S106" t="s">
        <v>74</v>
      </c>
      <c r="T106" t="s">
        <v>2289</v>
      </c>
      <c r="U106" t="s">
        <v>2290</v>
      </c>
      <c r="V106" t="s">
        <v>2291</v>
      </c>
      <c r="W106" t="s">
        <v>2292</v>
      </c>
      <c r="X106" t="s">
        <v>2293</v>
      </c>
      <c r="Y106" t="s">
        <v>2294</v>
      </c>
      <c r="Z106" t="s">
        <v>2295</v>
      </c>
      <c r="AA106" t="s">
        <v>2296</v>
      </c>
      <c r="AB106" t="s">
        <v>2297</v>
      </c>
      <c r="AC106" t="s">
        <v>2298</v>
      </c>
      <c r="AD106" t="s">
        <v>2299</v>
      </c>
      <c r="AE106" t="s">
        <v>2300</v>
      </c>
      <c r="AF106" t="s">
        <v>74</v>
      </c>
      <c r="AG106">
        <v>64</v>
      </c>
      <c r="AH106">
        <v>12</v>
      </c>
      <c r="AI106">
        <v>15</v>
      </c>
      <c r="AJ106">
        <v>0</v>
      </c>
      <c r="AK106">
        <v>47</v>
      </c>
      <c r="AL106" t="s">
        <v>464</v>
      </c>
      <c r="AM106" t="s">
        <v>465</v>
      </c>
      <c r="AN106" t="s">
        <v>466</v>
      </c>
      <c r="AO106" t="s">
        <v>2301</v>
      </c>
      <c r="AP106" t="s">
        <v>2302</v>
      </c>
      <c r="AQ106" t="s">
        <v>74</v>
      </c>
      <c r="AR106" t="s">
        <v>2303</v>
      </c>
      <c r="AS106" t="s">
        <v>2304</v>
      </c>
      <c r="AT106" t="s">
        <v>74</v>
      </c>
      <c r="AU106">
        <v>2014</v>
      </c>
      <c r="AV106">
        <v>506</v>
      </c>
      <c r="AW106" t="s">
        <v>74</v>
      </c>
      <c r="AX106" t="s">
        <v>74</v>
      </c>
      <c r="AY106" t="s">
        <v>74</v>
      </c>
      <c r="AZ106" t="s">
        <v>74</v>
      </c>
      <c r="BA106" t="s">
        <v>74</v>
      </c>
      <c r="BB106">
        <v>99</v>
      </c>
      <c r="BC106">
        <v>113</v>
      </c>
      <c r="BD106" t="s">
        <v>74</v>
      </c>
      <c r="BE106" t="s">
        <v>2305</v>
      </c>
      <c r="BF106" t="str">
        <f>HYPERLINK("http://dx.doi.org/10.3354/meps10807","http://dx.doi.org/10.3354/meps10807")</f>
        <v>http://dx.doi.org/10.3354/meps10807</v>
      </c>
      <c r="BG106" t="s">
        <v>74</v>
      </c>
      <c r="BH106" t="s">
        <v>74</v>
      </c>
      <c r="BI106">
        <v>15</v>
      </c>
      <c r="BJ106" t="s">
        <v>2306</v>
      </c>
      <c r="BK106" t="s">
        <v>99</v>
      </c>
      <c r="BL106" t="s">
        <v>2307</v>
      </c>
      <c r="BM106" t="s">
        <v>2308</v>
      </c>
      <c r="BN106" t="s">
        <v>74</v>
      </c>
      <c r="BO106" t="s">
        <v>475</v>
      </c>
      <c r="BP106" t="s">
        <v>74</v>
      </c>
      <c r="BQ106" t="s">
        <v>74</v>
      </c>
      <c r="BR106" t="s">
        <v>103</v>
      </c>
      <c r="BS106" t="s">
        <v>2309</v>
      </c>
      <c r="BT106" t="str">
        <f>HYPERLINK("https%3A%2F%2Fwww.webofscience.com%2Fwos%2Fwoscc%2Ffull-record%2FWOS:000338120000007","View Full Record in Web of Science")</f>
        <v>View Full Record in Web of Science</v>
      </c>
    </row>
    <row r="107" spans="1:72" x14ac:dyDescent="0.15">
      <c r="A107" t="s">
        <v>72</v>
      </c>
      <c r="B107" t="s">
        <v>2310</v>
      </c>
      <c r="C107" t="s">
        <v>74</v>
      </c>
      <c r="D107" t="s">
        <v>74</v>
      </c>
      <c r="E107" t="s">
        <v>74</v>
      </c>
      <c r="F107" t="s">
        <v>2311</v>
      </c>
      <c r="G107" t="s">
        <v>74</v>
      </c>
      <c r="H107" t="s">
        <v>74</v>
      </c>
      <c r="I107" t="s">
        <v>2312</v>
      </c>
      <c r="J107" t="s">
        <v>2288</v>
      </c>
      <c r="K107" t="s">
        <v>74</v>
      </c>
      <c r="L107" t="s">
        <v>74</v>
      </c>
      <c r="M107" t="s">
        <v>78</v>
      </c>
      <c r="N107" t="s">
        <v>79</v>
      </c>
      <c r="O107" t="s">
        <v>74</v>
      </c>
      <c r="P107" t="s">
        <v>74</v>
      </c>
      <c r="Q107" t="s">
        <v>74</v>
      </c>
      <c r="R107" t="s">
        <v>74</v>
      </c>
      <c r="S107" t="s">
        <v>74</v>
      </c>
      <c r="T107" t="s">
        <v>2313</v>
      </c>
      <c r="U107" t="s">
        <v>2314</v>
      </c>
      <c r="V107" t="s">
        <v>2315</v>
      </c>
      <c r="W107" t="s">
        <v>2316</v>
      </c>
      <c r="X107" t="s">
        <v>2317</v>
      </c>
      <c r="Y107" t="s">
        <v>2318</v>
      </c>
      <c r="Z107" t="s">
        <v>2319</v>
      </c>
      <c r="AA107" t="s">
        <v>2320</v>
      </c>
      <c r="AB107" t="s">
        <v>2321</v>
      </c>
      <c r="AC107" t="s">
        <v>2322</v>
      </c>
      <c r="AD107" t="s">
        <v>2323</v>
      </c>
      <c r="AE107" t="s">
        <v>2324</v>
      </c>
      <c r="AF107" t="s">
        <v>74</v>
      </c>
      <c r="AG107">
        <v>48</v>
      </c>
      <c r="AH107">
        <v>26</v>
      </c>
      <c r="AI107">
        <v>27</v>
      </c>
      <c r="AJ107">
        <v>0</v>
      </c>
      <c r="AK107">
        <v>26</v>
      </c>
      <c r="AL107" t="s">
        <v>464</v>
      </c>
      <c r="AM107" t="s">
        <v>465</v>
      </c>
      <c r="AN107" t="s">
        <v>466</v>
      </c>
      <c r="AO107" t="s">
        <v>2301</v>
      </c>
      <c r="AP107" t="s">
        <v>2302</v>
      </c>
      <c r="AQ107" t="s">
        <v>74</v>
      </c>
      <c r="AR107" t="s">
        <v>2303</v>
      </c>
      <c r="AS107" t="s">
        <v>2304</v>
      </c>
      <c r="AT107" t="s">
        <v>74</v>
      </c>
      <c r="AU107">
        <v>2014</v>
      </c>
      <c r="AV107">
        <v>506</v>
      </c>
      <c r="AW107" t="s">
        <v>74</v>
      </c>
      <c r="AX107" t="s">
        <v>74</v>
      </c>
      <c r="AY107" t="s">
        <v>74</v>
      </c>
      <c r="AZ107" t="s">
        <v>74</v>
      </c>
      <c r="BA107" t="s">
        <v>74</v>
      </c>
      <c r="BB107">
        <v>213</v>
      </c>
      <c r="BC107">
        <v>229</v>
      </c>
      <c r="BD107" t="s">
        <v>74</v>
      </c>
      <c r="BE107" t="s">
        <v>2325</v>
      </c>
      <c r="BF107" t="str">
        <f>HYPERLINK("http://dx.doi.org/10.3354/meps10788","http://dx.doi.org/10.3354/meps10788")</f>
        <v>http://dx.doi.org/10.3354/meps10788</v>
      </c>
      <c r="BG107" t="s">
        <v>74</v>
      </c>
      <c r="BH107" t="s">
        <v>74</v>
      </c>
      <c r="BI107">
        <v>17</v>
      </c>
      <c r="BJ107" t="s">
        <v>2306</v>
      </c>
      <c r="BK107" t="s">
        <v>99</v>
      </c>
      <c r="BL107" t="s">
        <v>2307</v>
      </c>
      <c r="BM107" t="s">
        <v>2308</v>
      </c>
      <c r="BN107" t="s">
        <v>74</v>
      </c>
      <c r="BO107" t="s">
        <v>475</v>
      </c>
      <c r="BP107" t="s">
        <v>74</v>
      </c>
      <c r="BQ107" t="s">
        <v>74</v>
      </c>
      <c r="BR107" t="s">
        <v>103</v>
      </c>
      <c r="BS107" t="s">
        <v>2326</v>
      </c>
      <c r="BT107" t="str">
        <f>HYPERLINK("https%3A%2F%2Fwww.webofscience.com%2Fwos%2Fwoscc%2Ffull-record%2FWOS:000338120000014","View Full Record in Web of Science")</f>
        <v>View Full Record in Web of Science</v>
      </c>
    </row>
    <row r="108" spans="1:72" x14ac:dyDescent="0.15">
      <c r="A108" t="s">
        <v>72</v>
      </c>
      <c r="B108" t="s">
        <v>2327</v>
      </c>
      <c r="C108" t="s">
        <v>74</v>
      </c>
      <c r="D108" t="s">
        <v>74</v>
      </c>
      <c r="E108" t="s">
        <v>74</v>
      </c>
      <c r="F108" t="s">
        <v>2328</v>
      </c>
      <c r="G108" t="s">
        <v>74</v>
      </c>
      <c r="H108" t="s">
        <v>74</v>
      </c>
      <c r="I108" t="s">
        <v>2329</v>
      </c>
      <c r="J108" t="s">
        <v>2288</v>
      </c>
      <c r="K108" t="s">
        <v>74</v>
      </c>
      <c r="L108" t="s">
        <v>74</v>
      </c>
      <c r="M108" t="s">
        <v>78</v>
      </c>
      <c r="N108" t="s">
        <v>79</v>
      </c>
      <c r="O108" t="s">
        <v>74</v>
      </c>
      <c r="P108" t="s">
        <v>74</v>
      </c>
      <c r="Q108" t="s">
        <v>74</v>
      </c>
      <c r="R108" t="s">
        <v>74</v>
      </c>
      <c r="S108" t="s">
        <v>74</v>
      </c>
      <c r="T108" t="s">
        <v>2330</v>
      </c>
      <c r="U108" t="s">
        <v>2331</v>
      </c>
      <c r="V108" t="s">
        <v>2332</v>
      </c>
      <c r="W108" t="s">
        <v>2333</v>
      </c>
      <c r="X108" t="s">
        <v>2334</v>
      </c>
      <c r="Y108" t="s">
        <v>2335</v>
      </c>
      <c r="Z108" t="s">
        <v>2336</v>
      </c>
      <c r="AA108" t="s">
        <v>2337</v>
      </c>
      <c r="AB108" t="s">
        <v>2338</v>
      </c>
      <c r="AC108" t="s">
        <v>2339</v>
      </c>
      <c r="AD108" t="s">
        <v>2339</v>
      </c>
      <c r="AE108" t="s">
        <v>2340</v>
      </c>
      <c r="AF108" t="s">
        <v>74</v>
      </c>
      <c r="AG108">
        <v>70</v>
      </c>
      <c r="AH108">
        <v>23</v>
      </c>
      <c r="AI108">
        <v>23</v>
      </c>
      <c r="AJ108">
        <v>0</v>
      </c>
      <c r="AK108">
        <v>42</v>
      </c>
      <c r="AL108" t="s">
        <v>464</v>
      </c>
      <c r="AM108" t="s">
        <v>465</v>
      </c>
      <c r="AN108" t="s">
        <v>466</v>
      </c>
      <c r="AO108" t="s">
        <v>2301</v>
      </c>
      <c r="AP108" t="s">
        <v>2302</v>
      </c>
      <c r="AQ108" t="s">
        <v>74</v>
      </c>
      <c r="AR108" t="s">
        <v>2303</v>
      </c>
      <c r="AS108" t="s">
        <v>2304</v>
      </c>
      <c r="AT108" t="s">
        <v>74</v>
      </c>
      <c r="AU108">
        <v>2014</v>
      </c>
      <c r="AV108">
        <v>500</v>
      </c>
      <c r="AW108" t="s">
        <v>74</v>
      </c>
      <c r="AX108" t="s">
        <v>74</v>
      </c>
      <c r="AY108" t="s">
        <v>74</v>
      </c>
      <c r="AZ108" t="s">
        <v>74</v>
      </c>
      <c r="BA108" t="s">
        <v>74</v>
      </c>
      <c r="BB108">
        <v>265</v>
      </c>
      <c r="BC108" t="s">
        <v>2341</v>
      </c>
      <c r="BD108" t="s">
        <v>74</v>
      </c>
      <c r="BE108" t="s">
        <v>2342</v>
      </c>
      <c r="BF108" t="str">
        <f>HYPERLINK("http://dx.doi.org/10.3354/meps10649","http://dx.doi.org/10.3354/meps10649")</f>
        <v>http://dx.doi.org/10.3354/meps10649</v>
      </c>
      <c r="BG108" t="s">
        <v>74</v>
      </c>
      <c r="BH108" t="s">
        <v>74</v>
      </c>
      <c r="BI108">
        <v>21</v>
      </c>
      <c r="BJ108" t="s">
        <v>2306</v>
      </c>
      <c r="BK108" t="s">
        <v>99</v>
      </c>
      <c r="BL108" t="s">
        <v>2307</v>
      </c>
      <c r="BM108" t="s">
        <v>2343</v>
      </c>
      <c r="BN108" t="s">
        <v>74</v>
      </c>
      <c r="BO108" t="s">
        <v>475</v>
      </c>
      <c r="BP108" t="s">
        <v>74</v>
      </c>
      <c r="BQ108" t="s">
        <v>74</v>
      </c>
      <c r="BR108" t="s">
        <v>103</v>
      </c>
      <c r="BS108" t="s">
        <v>2344</v>
      </c>
      <c r="BT108" t="str">
        <f>HYPERLINK("https%3A%2F%2Fwww.webofscience.com%2Fwos%2Fwoscc%2Ffull-record%2FWOS:000332900300019","View Full Record in Web of Science")</f>
        <v>View Full Record in Web of Science</v>
      </c>
    </row>
    <row r="109" spans="1:72" x14ac:dyDescent="0.15">
      <c r="A109" t="s">
        <v>72</v>
      </c>
      <c r="B109" t="s">
        <v>2345</v>
      </c>
      <c r="C109" t="s">
        <v>74</v>
      </c>
      <c r="D109" t="s">
        <v>74</v>
      </c>
      <c r="E109" t="s">
        <v>74</v>
      </c>
      <c r="F109" t="s">
        <v>2346</v>
      </c>
      <c r="G109" t="s">
        <v>74</v>
      </c>
      <c r="H109" t="s">
        <v>74</v>
      </c>
      <c r="I109" t="s">
        <v>2347</v>
      </c>
      <c r="J109" t="s">
        <v>2288</v>
      </c>
      <c r="K109" t="s">
        <v>74</v>
      </c>
      <c r="L109" t="s">
        <v>74</v>
      </c>
      <c r="M109" t="s">
        <v>78</v>
      </c>
      <c r="N109" t="s">
        <v>79</v>
      </c>
      <c r="O109" t="s">
        <v>74</v>
      </c>
      <c r="P109" t="s">
        <v>74</v>
      </c>
      <c r="Q109" t="s">
        <v>74</v>
      </c>
      <c r="R109" t="s">
        <v>74</v>
      </c>
      <c r="S109" t="s">
        <v>74</v>
      </c>
      <c r="T109" t="s">
        <v>2348</v>
      </c>
      <c r="U109" t="s">
        <v>2349</v>
      </c>
      <c r="V109" t="s">
        <v>2350</v>
      </c>
      <c r="W109" t="s">
        <v>2351</v>
      </c>
      <c r="X109" t="s">
        <v>2352</v>
      </c>
      <c r="Y109" t="s">
        <v>2353</v>
      </c>
      <c r="Z109" t="s">
        <v>2354</v>
      </c>
      <c r="AA109" t="s">
        <v>2355</v>
      </c>
      <c r="AB109" t="s">
        <v>2356</v>
      </c>
      <c r="AC109" t="s">
        <v>2357</v>
      </c>
      <c r="AD109" t="s">
        <v>2358</v>
      </c>
      <c r="AE109" t="s">
        <v>2359</v>
      </c>
      <c r="AF109" t="s">
        <v>74</v>
      </c>
      <c r="AG109">
        <v>53</v>
      </c>
      <c r="AH109">
        <v>23</v>
      </c>
      <c r="AI109">
        <v>23</v>
      </c>
      <c r="AJ109">
        <v>2</v>
      </c>
      <c r="AK109">
        <v>35</v>
      </c>
      <c r="AL109" t="s">
        <v>464</v>
      </c>
      <c r="AM109" t="s">
        <v>465</v>
      </c>
      <c r="AN109" t="s">
        <v>466</v>
      </c>
      <c r="AO109" t="s">
        <v>2301</v>
      </c>
      <c r="AP109" t="s">
        <v>2302</v>
      </c>
      <c r="AQ109" t="s">
        <v>74</v>
      </c>
      <c r="AR109" t="s">
        <v>2303</v>
      </c>
      <c r="AS109" t="s">
        <v>2304</v>
      </c>
      <c r="AT109" t="s">
        <v>74</v>
      </c>
      <c r="AU109">
        <v>2014</v>
      </c>
      <c r="AV109">
        <v>499</v>
      </c>
      <c r="AW109" t="s">
        <v>74</v>
      </c>
      <c r="AX109" t="s">
        <v>74</v>
      </c>
      <c r="AY109" t="s">
        <v>74</v>
      </c>
      <c r="AZ109" t="s">
        <v>74</v>
      </c>
      <c r="BA109" t="s">
        <v>74</v>
      </c>
      <c r="BB109">
        <v>35</v>
      </c>
      <c r="BC109">
        <v>46</v>
      </c>
      <c r="BD109" t="s">
        <v>74</v>
      </c>
      <c r="BE109" t="s">
        <v>2360</v>
      </c>
      <c r="BF109" t="str">
        <f>HYPERLINK("http://dx.doi.org/10.3354/meps10668","http://dx.doi.org/10.3354/meps10668")</f>
        <v>http://dx.doi.org/10.3354/meps10668</v>
      </c>
      <c r="BG109" t="s">
        <v>74</v>
      </c>
      <c r="BH109" t="s">
        <v>74</v>
      </c>
      <c r="BI109">
        <v>12</v>
      </c>
      <c r="BJ109" t="s">
        <v>2306</v>
      </c>
      <c r="BK109" t="s">
        <v>99</v>
      </c>
      <c r="BL109" t="s">
        <v>2307</v>
      </c>
      <c r="BM109" t="s">
        <v>2361</v>
      </c>
      <c r="BN109" t="s">
        <v>74</v>
      </c>
      <c r="BO109" t="s">
        <v>2362</v>
      </c>
      <c r="BP109" t="s">
        <v>74</v>
      </c>
      <c r="BQ109" t="s">
        <v>74</v>
      </c>
      <c r="BR109" t="s">
        <v>103</v>
      </c>
      <c r="BS109" t="s">
        <v>2363</v>
      </c>
      <c r="BT109" t="str">
        <f>HYPERLINK("https%3A%2F%2Fwww.webofscience.com%2Fwos%2Fwoscc%2Ffull-record%2FWOS:000332225000003","View Full Record in Web of Science")</f>
        <v>View Full Record in Web of Science</v>
      </c>
    </row>
    <row r="110" spans="1:72" x14ac:dyDescent="0.15">
      <c r="A110" t="s">
        <v>72</v>
      </c>
      <c r="B110" t="s">
        <v>2364</v>
      </c>
      <c r="C110" t="s">
        <v>74</v>
      </c>
      <c r="D110" t="s">
        <v>74</v>
      </c>
      <c r="E110" t="s">
        <v>74</v>
      </c>
      <c r="F110" t="s">
        <v>2365</v>
      </c>
      <c r="G110" t="s">
        <v>74</v>
      </c>
      <c r="H110" t="s">
        <v>74</v>
      </c>
      <c r="I110" t="s">
        <v>2366</v>
      </c>
      <c r="J110" t="s">
        <v>2288</v>
      </c>
      <c r="K110" t="s">
        <v>74</v>
      </c>
      <c r="L110" t="s">
        <v>74</v>
      </c>
      <c r="M110" t="s">
        <v>78</v>
      </c>
      <c r="N110" t="s">
        <v>79</v>
      </c>
      <c r="O110" t="s">
        <v>74</v>
      </c>
      <c r="P110" t="s">
        <v>74</v>
      </c>
      <c r="Q110" t="s">
        <v>74</v>
      </c>
      <c r="R110" t="s">
        <v>74</v>
      </c>
      <c r="S110" t="s">
        <v>74</v>
      </c>
      <c r="T110" t="s">
        <v>2367</v>
      </c>
      <c r="U110" t="s">
        <v>2368</v>
      </c>
      <c r="V110" t="s">
        <v>2369</v>
      </c>
      <c r="W110" t="s">
        <v>2370</v>
      </c>
      <c r="X110" t="s">
        <v>2371</v>
      </c>
      <c r="Y110" t="s">
        <v>2372</v>
      </c>
      <c r="Z110" t="s">
        <v>2373</v>
      </c>
      <c r="AA110" t="s">
        <v>2374</v>
      </c>
      <c r="AB110" t="s">
        <v>2375</v>
      </c>
      <c r="AC110" t="s">
        <v>2376</v>
      </c>
      <c r="AD110" t="s">
        <v>2377</v>
      </c>
      <c r="AE110" t="s">
        <v>2378</v>
      </c>
      <c r="AF110" t="s">
        <v>74</v>
      </c>
      <c r="AG110">
        <v>76</v>
      </c>
      <c r="AH110">
        <v>36</v>
      </c>
      <c r="AI110">
        <v>38</v>
      </c>
      <c r="AJ110">
        <v>1</v>
      </c>
      <c r="AK110">
        <v>36</v>
      </c>
      <c r="AL110" t="s">
        <v>464</v>
      </c>
      <c r="AM110" t="s">
        <v>465</v>
      </c>
      <c r="AN110" t="s">
        <v>466</v>
      </c>
      <c r="AO110" t="s">
        <v>2301</v>
      </c>
      <c r="AP110" t="s">
        <v>2302</v>
      </c>
      <c r="AQ110" t="s">
        <v>74</v>
      </c>
      <c r="AR110" t="s">
        <v>2303</v>
      </c>
      <c r="AS110" t="s">
        <v>2304</v>
      </c>
      <c r="AT110" t="s">
        <v>74</v>
      </c>
      <c r="AU110">
        <v>2014</v>
      </c>
      <c r="AV110">
        <v>499</v>
      </c>
      <c r="AW110" t="s">
        <v>74</v>
      </c>
      <c r="AX110" t="s">
        <v>74</v>
      </c>
      <c r="AY110" t="s">
        <v>74</v>
      </c>
      <c r="AZ110" t="s">
        <v>74</v>
      </c>
      <c r="BA110" t="s">
        <v>74</v>
      </c>
      <c r="BB110">
        <v>233</v>
      </c>
      <c r="BC110" t="s">
        <v>2379</v>
      </c>
      <c r="BD110" t="s">
        <v>74</v>
      </c>
      <c r="BE110" t="s">
        <v>2380</v>
      </c>
      <c r="BF110" t="str">
        <f>HYPERLINK("http://dx.doi.org/10.3354/meps10620","http://dx.doi.org/10.3354/meps10620")</f>
        <v>http://dx.doi.org/10.3354/meps10620</v>
      </c>
      <c r="BG110" t="s">
        <v>74</v>
      </c>
      <c r="BH110" t="s">
        <v>74</v>
      </c>
      <c r="BI110">
        <v>21</v>
      </c>
      <c r="BJ110" t="s">
        <v>2306</v>
      </c>
      <c r="BK110" t="s">
        <v>99</v>
      </c>
      <c r="BL110" t="s">
        <v>2307</v>
      </c>
      <c r="BM110" t="s">
        <v>2361</v>
      </c>
      <c r="BN110" t="s">
        <v>74</v>
      </c>
      <c r="BO110" t="s">
        <v>2381</v>
      </c>
      <c r="BP110" t="s">
        <v>74</v>
      </c>
      <c r="BQ110" t="s">
        <v>74</v>
      </c>
      <c r="BR110" t="s">
        <v>103</v>
      </c>
      <c r="BS110" t="s">
        <v>2382</v>
      </c>
      <c r="BT110" t="str">
        <f>HYPERLINK("https%3A%2F%2Fwww.webofscience.com%2Fwos%2Fwoscc%2Ffull-record%2FWOS:000332225000017","View Full Record in Web of Science")</f>
        <v>View Full Record in Web of Science</v>
      </c>
    </row>
    <row r="111" spans="1:72" x14ac:dyDescent="0.15">
      <c r="A111" t="s">
        <v>72</v>
      </c>
      <c r="B111" t="s">
        <v>2383</v>
      </c>
      <c r="C111" t="s">
        <v>74</v>
      </c>
      <c r="D111" t="s">
        <v>74</v>
      </c>
      <c r="E111" t="s">
        <v>74</v>
      </c>
      <c r="F111" t="s">
        <v>2384</v>
      </c>
      <c r="G111" t="s">
        <v>74</v>
      </c>
      <c r="H111" t="s">
        <v>74</v>
      </c>
      <c r="I111" t="s">
        <v>2385</v>
      </c>
      <c r="J111" t="s">
        <v>2288</v>
      </c>
      <c r="K111" t="s">
        <v>74</v>
      </c>
      <c r="L111" t="s">
        <v>74</v>
      </c>
      <c r="M111" t="s">
        <v>78</v>
      </c>
      <c r="N111" t="s">
        <v>79</v>
      </c>
      <c r="O111" t="s">
        <v>74</v>
      </c>
      <c r="P111" t="s">
        <v>74</v>
      </c>
      <c r="Q111" t="s">
        <v>74</v>
      </c>
      <c r="R111" t="s">
        <v>74</v>
      </c>
      <c r="S111" t="s">
        <v>74</v>
      </c>
      <c r="T111" t="s">
        <v>2386</v>
      </c>
      <c r="U111" t="s">
        <v>2387</v>
      </c>
      <c r="V111" t="s">
        <v>2388</v>
      </c>
      <c r="W111" t="s">
        <v>2389</v>
      </c>
      <c r="X111" t="s">
        <v>2390</v>
      </c>
      <c r="Y111" t="s">
        <v>2391</v>
      </c>
      <c r="Z111" t="s">
        <v>2392</v>
      </c>
      <c r="AA111" t="s">
        <v>2393</v>
      </c>
      <c r="AB111" t="s">
        <v>2394</v>
      </c>
      <c r="AC111" t="s">
        <v>2395</v>
      </c>
      <c r="AD111" t="s">
        <v>2396</v>
      </c>
      <c r="AE111" t="s">
        <v>2397</v>
      </c>
      <c r="AF111" t="s">
        <v>74</v>
      </c>
      <c r="AG111">
        <v>89</v>
      </c>
      <c r="AH111">
        <v>86</v>
      </c>
      <c r="AI111">
        <v>90</v>
      </c>
      <c r="AJ111">
        <v>2</v>
      </c>
      <c r="AK111">
        <v>56</v>
      </c>
      <c r="AL111" t="s">
        <v>464</v>
      </c>
      <c r="AM111" t="s">
        <v>465</v>
      </c>
      <c r="AN111" t="s">
        <v>466</v>
      </c>
      <c r="AO111" t="s">
        <v>2301</v>
      </c>
      <c r="AP111" t="s">
        <v>2302</v>
      </c>
      <c r="AQ111" t="s">
        <v>74</v>
      </c>
      <c r="AR111" t="s">
        <v>2303</v>
      </c>
      <c r="AS111" t="s">
        <v>2304</v>
      </c>
      <c r="AT111" t="s">
        <v>74</v>
      </c>
      <c r="AU111">
        <v>2014</v>
      </c>
      <c r="AV111">
        <v>499</v>
      </c>
      <c r="AW111" t="s">
        <v>74</v>
      </c>
      <c r="AX111" t="s">
        <v>74</v>
      </c>
      <c r="AY111" t="s">
        <v>74</v>
      </c>
      <c r="AZ111" t="s">
        <v>74</v>
      </c>
      <c r="BA111" t="s">
        <v>74</v>
      </c>
      <c r="BB111">
        <v>285</v>
      </c>
      <c r="BC111">
        <v>301</v>
      </c>
      <c r="BD111" t="s">
        <v>74</v>
      </c>
      <c r="BE111" t="s">
        <v>2398</v>
      </c>
      <c r="BF111" t="str">
        <f>HYPERLINK("http://dx.doi.org/10.3354/meps10660","http://dx.doi.org/10.3354/meps10660")</f>
        <v>http://dx.doi.org/10.3354/meps10660</v>
      </c>
      <c r="BG111" t="s">
        <v>74</v>
      </c>
      <c r="BH111" t="s">
        <v>74</v>
      </c>
      <c r="BI111">
        <v>17</v>
      </c>
      <c r="BJ111" t="s">
        <v>2306</v>
      </c>
      <c r="BK111" t="s">
        <v>99</v>
      </c>
      <c r="BL111" t="s">
        <v>2307</v>
      </c>
      <c r="BM111" t="s">
        <v>2361</v>
      </c>
      <c r="BN111" t="s">
        <v>74</v>
      </c>
      <c r="BO111" t="s">
        <v>1733</v>
      </c>
      <c r="BP111" t="s">
        <v>74</v>
      </c>
      <c r="BQ111" t="s">
        <v>74</v>
      </c>
      <c r="BR111" t="s">
        <v>103</v>
      </c>
      <c r="BS111" t="s">
        <v>2399</v>
      </c>
      <c r="BT111" t="str">
        <f>HYPERLINK("https%3A%2F%2Fwww.webofscience.com%2Fwos%2Fwoscc%2Ffull-record%2FWOS:000332225000021","View Full Record in Web of Science")</f>
        <v>View Full Record in Web of Science</v>
      </c>
    </row>
    <row r="112" spans="1:72" x14ac:dyDescent="0.15">
      <c r="A112" t="s">
        <v>72</v>
      </c>
      <c r="B112" t="s">
        <v>2400</v>
      </c>
      <c r="C112" t="s">
        <v>74</v>
      </c>
      <c r="D112" t="s">
        <v>74</v>
      </c>
      <c r="E112" t="s">
        <v>74</v>
      </c>
      <c r="F112" t="s">
        <v>2401</v>
      </c>
      <c r="G112" t="s">
        <v>74</v>
      </c>
      <c r="H112" t="s">
        <v>74</v>
      </c>
      <c r="I112" t="s">
        <v>2402</v>
      </c>
      <c r="J112" t="s">
        <v>2288</v>
      </c>
      <c r="K112" t="s">
        <v>74</v>
      </c>
      <c r="L112" t="s">
        <v>74</v>
      </c>
      <c r="M112" t="s">
        <v>78</v>
      </c>
      <c r="N112" t="s">
        <v>79</v>
      </c>
      <c r="O112" t="s">
        <v>74</v>
      </c>
      <c r="P112" t="s">
        <v>74</v>
      </c>
      <c r="Q112" t="s">
        <v>74</v>
      </c>
      <c r="R112" t="s">
        <v>74</v>
      </c>
      <c r="S112" t="s">
        <v>74</v>
      </c>
      <c r="T112" t="s">
        <v>2403</v>
      </c>
      <c r="U112" t="s">
        <v>2404</v>
      </c>
      <c r="V112" t="s">
        <v>2405</v>
      </c>
      <c r="W112" t="s">
        <v>2406</v>
      </c>
      <c r="X112" t="s">
        <v>2407</v>
      </c>
      <c r="Y112" t="s">
        <v>2408</v>
      </c>
      <c r="Z112" t="s">
        <v>2409</v>
      </c>
      <c r="AA112" t="s">
        <v>2410</v>
      </c>
      <c r="AB112" t="s">
        <v>2411</v>
      </c>
      <c r="AC112" t="s">
        <v>2412</v>
      </c>
      <c r="AD112" t="s">
        <v>2412</v>
      </c>
      <c r="AE112" t="s">
        <v>2413</v>
      </c>
      <c r="AF112" t="s">
        <v>74</v>
      </c>
      <c r="AG112">
        <v>97</v>
      </c>
      <c r="AH112">
        <v>42</v>
      </c>
      <c r="AI112">
        <v>45</v>
      </c>
      <c r="AJ112">
        <v>0</v>
      </c>
      <c r="AK112">
        <v>45</v>
      </c>
      <c r="AL112" t="s">
        <v>464</v>
      </c>
      <c r="AM112" t="s">
        <v>465</v>
      </c>
      <c r="AN112" t="s">
        <v>466</v>
      </c>
      <c r="AO112" t="s">
        <v>2301</v>
      </c>
      <c r="AP112" t="s">
        <v>2302</v>
      </c>
      <c r="AQ112" t="s">
        <v>74</v>
      </c>
      <c r="AR112" t="s">
        <v>2303</v>
      </c>
      <c r="AS112" t="s">
        <v>2304</v>
      </c>
      <c r="AT112" t="s">
        <v>74</v>
      </c>
      <c r="AU112">
        <v>2014</v>
      </c>
      <c r="AV112">
        <v>497</v>
      </c>
      <c r="AW112" t="s">
        <v>74</v>
      </c>
      <c r="AX112" t="s">
        <v>74</v>
      </c>
      <c r="AY112" t="s">
        <v>74</v>
      </c>
      <c r="AZ112" t="s">
        <v>74</v>
      </c>
      <c r="BA112" t="s">
        <v>74</v>
      </c>
      <c r="BB112">
        <v>259</v>
      </c>
      <c r="BC112" t="s">
        <v>629</v>
      </c>
      <c r="BD112" t="s">
        <v>74</v>
      </c>
      <c r="BE112" t="s">
        <v>2414</v>
      </c>
      <c r="BF112" t="str">
        <f>HYPERLINK("http://dx.doi.org/10.3354/meps10606","http://dx.doi.org/10.3354/meps10606")</f>
        <v>http://dx.doi.org/10.3354/meps10606</v>
      </c>
      <c r="BG112" t="s">
        <v>74</v>
      </c>
      <c r="BH112" t="s">
        <v>74</v>
      </c>
      <c r="BI112">
        <v>19</v>
      </c>
      <c r="BJ112" t="s">
        <v>2306</v>
      </c>
      <c r="BK112" t="s">
        <v>99</v>
      </c>
      <c r="BL112" t="s">
        <v>2307</v>
      </c>
      <c r="BM112" t="s">
        <v>2415</v>
      </c>
      <c r="BN112" t="s">
        <v>74</v>
      </c>
      <c r="BO112" t="s">
        <v>475</v>
      </c>
      <c r="BP112" t="s">
        <v>74</v>
      </c>
      <c r="BQ112" t="s">
        <v>74</v>
      </c>
      <c r="BR112" t="s">
        <v>103</v>
      </c>
      <c r="BS112" t="s">
        <v>2416</v>
      </c>
      <c r="BT112" t="str">
        <f>HYPERLINK("https%3A%2F%2Fwww.webofscience.com%2Fwos%2Fwoscc%2Ffull-record%2FWOS:000330723600019","View Full Record in Web of Science")</f>
        <v>View Full Record in Web of Science</v>
      </c>
    </row>
    <row r="113" spans="1:72" x14ac:dyDescent="0.15">
      <c r="A113" t="s">
        <v>72</v>
      </c>
      <c r="B113" t="s">
        <v>2417</v>
      </c>
      <c r="C113" t="s">
        <v>74</v>
      </c>
      <c r="D113" t="s">
        <v>74</v>
      </c>
      <c r="E113" t="s">
        <v>74</v>
      </c>
      <c r="F113" t="s">
        <v>2418</v>
      </c>
      <c r="G113" t="s">
        <v>74</v>
      </c>
      <c r="H113" t="s">
        <v>74</v>
      </c>
      <c r="I113" t="s">
        <v>2419</v>
      </c>
      <c r="J113" t="s">
        <v>2288</v>
      </c>
      <c r="K113" t="s">
        <v>74</v>
      </c>
      <c r="L113" t="s">
        <v>74</v>
      </c>
      <c r="M113" t="s">
        <v>78</v>
      </c>
      <c r="N113" t="s">
        <v>213</v>
      </c>
      <c r="O113" t="s">
        <v>74</v>
      </c>
      <c r="P113" t="s">
        <v>74</v>
      </c>
      <c r="Q113" t="s">
        <v>74</v>
      </c>
      <c r="R113" t="s">
        <v>74</v>
      </c>
      <c r="S113" t="s">
        <v>74</v>
      </c>
      <c r="T113" t="s">
        <v>2420</v>
      </c>
      <c r="U113" t="s">
        <v>2421</v>
      </c>
      <c r="V113" t="s">
        <v>2422</v>
      </c>
      <c r="W113" t="s">
        <v>2423</v>
      </c>
      <c r="X113" t="s">
        <v>2424</v>
      </c>
      <c r="Y113" t="s">
        <v>2425</v>
      </c>
      <c r="Z113" t="s">
        <v>2426</v>
      </c>
      <c r="AA113" t="s">
        <v>2427</v>
      </c>
      <c r="AB113" t="s">
        <v>2428</v>
      </c>
      <c r="AC113" t="s">
        <v>2429</v>
      </c>
      <c r="AD113" t="s">
        <v>2430</v>
      </c>
      <c r="AE113" t="s">
        <v>2431</v>
      </c>
      <c r="AF113" t="s">
        <v>74</v>
      </c>
      <c r="AG113">
        <v>212</v>
      </c>
      <c r="AH113">
        <v>46</v>
      </c>
      <c r="AI113">
        <v>50</v>
      </c>
      <c r="AJ113">
        <v>2</v>
      </c>
      <c r="AK113">
        <v>153</v>
      </c>
      <c r="AL113" t="s">
        <v>464</v>
      </c>
      <c r="AM113" t="s">
        <v>465</v>
      </c>
      <c r="AN113" t="s">
        <v>466</v>
      </c>
      <c r="AO113" t="s">
        <v>2301</v>
      </c>
      <c r="AP113" t="s">
        <v>2302</v>
      </c>
      <c r="AQ113" t="s">
        <v>74</v>
      </c>
      <c r="AR113" t="s">
        <v>2303</v>
      </c>
      <c r="AS113" t="s">
        <v>2304</v>
      </c>
      <c r="AT113" t="s">
        <v>74</v>
      </c>
      <c r="AU113">
        <v>2014</v>
      </c>
      <c r="AV113">
        <v>496</v>
      </c>
      <c r="AW113" t="s">
        <v>74</v>
      </c>
      <c r="AX113" t="s">
        <v>74</v>
      </c>
      <c r="AY113" t="s">
        <v>74</v>
      </c>
      <c r="AZ113" t="s">
        <v>74</v>
      </c>
      <c r="BA113" t="s">
        <v>74</v>
      </c>
      <c r="BB113">
        <v>1</v>
      </c>
      <c r="BC113">
        <v>17</v>
      </c>
      <c r="BD113" t="s">
        <v>74</v>
      </c>
      <c r="BE113" t="s">
        <v>2432</v>
      </c>
      <c r="BF113" t="str">
        <f>HYPERLINK("http://dx.doi.org/10.3354/meps10691","http://dx.doi.org/10.3354/meps10691")</f>
        <v>http://dx.doi.org/10.3354/meps10691</v>
      </c>
      <c r="BG113" t="s">
        <v>74</v>
      </c>
      <c r="BH113" t="s">
        <v>74</v>
      </c>
      <c r="BI113">
        <v>17</v>
      </c>
      <c r="BJ113" t="s">
        <v>2306</v>
      </c>
      <c r="BK113" t="s">
        <v>99</v>
      </c>
      <c r="BL113" t="s">
        <v>2307</v>
      </c>
      <c r="BM113" t="s">
        <v>2433</v>
      </c>
      <c r="BN113" t="s">
        <v>74</v>
      </c>
      <c r="BO113" t="s">
        <v>1630</v>
      </c>
      <c r="BP113" t="s">
        <v>74</v>
      </c>
      <c r="BQ113" t="s">
        <v>74</v>
      </c>
      <c r="BR113" t="s">
        <v>103</v>
      </c>
      <c r="BS113" t="s">
        <v>2434</v>
      </c>
      <c r="BT113" t="str">
        <f>HYPERLINK("https%3A%2F%2Fwww.webofscience.com%2Fwos%2Fwoscc%2Ffull-record%2FWOS:000330356500001","View Full Record in Web of Science")</f>
        <v>View Full Record in Web of Science</v>
      </c>
    </row>
    <row r="114" spans="1:72" x14ac:dyDescent="0.15">
      <c r="A114" t="s">
        <v>72</v>
      </c>
      <c r="B114" t="s">
        <v>2435</v>
      </c>
      <c r="C114" t="s">
        <v>74</v>
      </c>
      <c r="D114" t="s">
        <v>74</v>
      </c>
      <c r="E114" t="s">
        <v>74</v>
      </c>
      <c r="F114" t="s">
        <v>2436</v>
      </c>
      <c r="G114" t="s">
        <v>74</v>
      </c>
      <c r="H114" t="s">
        <v>74</v>
      </c>
      <c r="I114" t="s">
        <v>2437</v>
      </c>
      <c r="J114" t="s">
        <v>2288</v>
      </c>
      <c r="K114" t="s">
        <v>74</v>
      </c>
      <c r="L114" t="s">
        <v>74</v>
      </c>
      <c r="M114" t="s">
        <v>78</v>
      </c>
      <c r="N114" t="s">
        <v>79</v>
      </c>
      <c r="O114" t="s">
        <v>74</v>
      </c>
      <c r="P114" t="s">
        <v>74</v>
      </c>
      <c r="Q114" t="s">
        <v>74</v>
      </c>
      <c r="R114" t="s">
        <v>74</v>
      </c>
      <c r="S114" t="s">
        <v>74</v>
      </c>
      <c r="T114" t="s">
        <v>2438</v>
      </c>
      <c r="U114" t="s">
        <v>2439</v>
      </c>
      <c r="V114" t="s">
        <v>2440</v>
      </c>
      <c r="W114" t="s">
        <v>2441</v>
      </c>
      <c r="X114" t="s">
        <v>2442</v>
      </c>
      <c r="Y114" t="s">
        <v>2443</v>
      </c>
      <c r="Z114" t="s">
        <v>2444</v>
      </c>
      <c r="AA114" t="s">
        <v>2445</v>
      </c>
      <c r="AB114" t="s">
        <v>2446</v>
      </c>
      <c r="AC114" t="s">
        <v>2447</v>
      </c>
      <c r="AD114" t="s">
        <v>2448</v>
      </c>
      <c r="AE114" t="s">
        <v>2449</v>
      </c>
      <c r="AF114" t="s">
        <v>74</v>
      </c>
      <c r="AG114">
        <v>45</v>
      </c>
      <c r="AH114">
        <v>141</v>
      </c>
      <c r="AI114">
        <v>152</v>
      </c>
      <c r="AJ114">
        <v>0</v>
      </c>
      <c r="AK114">
        <v>100</v>
      </c>
      <c r="AL114" t="s">
        <v>464</v>
      </c>
      <c r="AM114" t="s">
        <v>465</v>
      </c>
      <c r="AN114" t="s">
        <v>466</v>
      </c>
      <c r="AO114" t="s">
        <v>2301</v>
      </c>
      <c r="AP114" t="s">
        <v>2302</v>
      </c>
      <c r="AQ114" t="s">
        <v>74</v>
      </c>
      <c r="AR114" t="s">
        <v>2303</v>
      </c>
      <c r="AS114" t="s">
        <v>2304</v>
      </c>
      <c r="AT114" t="s">
        <v>74</v>
      </c>
      <c r="AU114">
        <v>2014</v>
      </c>
      <c r="AV114">
        <v>496</v>
      </c>
      <c r="AW114" t="s">
        <v>74</v>
      </c>
      <c r="AX114" t="s">
        <v>74</v>
      </c>
      <c r="AY114" t="s">
        <v>74</v>
      </c>
      <c r="AZ114" t="s">
        <v>74</v>
      </c>
      <c r="BA114" t="s">
        <v>74</v>
      </c>
      <c r="BB114">
        <v>99</v>
      </c>
      <c r="BC114" t="s">
        <v>2450</v>
      </c>
      <c r="BD114" t="s">
        <v>74</v>
      </c>
      <c r="BE114" t="s">
        <v>2451</v>
      </c>
      <c r="BF114" t="str">
        <f>HYPERLINK("http://dx.doi.org/10.3354/meps10547","http://dx.doi.org/10.3354/meps10547")</f>
        <v>http://dx.doi.org/10.3354/meps10547</v>
      </c>
      <c r="BG114" t="s">
        <v>74</v>
      </c>
      <c r="BH114" t="s">
        <v>74</v>
      </c>
      <c r="BI114">
        <v>12</v>
      </c>
      <c r="BJ114" t="s">
        <v>2306</v>
      </c>
      <c r="BK114" t="s">
        <v>99</v>
      </c>
      <c r="BL114" t="s">
        <v>2307</v>
      </c>
      <c r="BM114" t="s">
        <v>2433</v>
      </c>
      <c r="BN114" t="s">
        <v>74</v>
      </c>
      <c r="BO114" t="s">
        <v>1733</v>
      </c>
      <c r="BP114" t="s">
        <v>74</v>
      </c>
      <c r="BQ114" t="s">
        <v>74</v>
      </c>
      <c r="BR114" t="s">
        <v>103</v>
      </c>
      <c r="BS114" t="s">
        <v>2452</v>
      </c>
      <c r="BT114" t="str">
        <f>HYPERLINK("https%3A%2F%2Fwww.webofscience.com%2Fwos%2Fwoscc%2Ffull-record%2FWOS:000330356500008","View Full Record in Web of Science")</f>
        <v>View Full Record in Web of Science</v>
      </c>
    </row>
    <row r="115" spans="1:72" x14ac:dyDescent="0.15">
      <c r="A115" t="s">
        <v>1053</v>
      </c>
      <c r="B115" t="s">
        <v>2453</v>
      </c>
      <c r="C115" t="s">
        <v>74</v>
      </c>
      <c r="D115" t="s">
        <v>2454</v>
      </c>
      <c r="E115" t="s">
        <v>74</v>
      </c>
      <c r="F115" t="s">
        <v>2455</v>
      </c>
      <c r="G115" t="s">
        <v>74</v>
      </c>
      <c r="H115" t="s">
        <v>74</v>
      </c>
      <c r="I115" t="s">
        <v>2456</v>
      </c>
      <c r="J115" t="s">
        <v>2457</v>
      </c>
      <c r="K115" t="s">
        <v>2458</v>
      </c>
      <c r="L115" t="s">
        <v>74</v>
      </c>
      <c r="M115" t="s">
        <v>78</v>
      </c>
      <c r="N115" t="s">
        <v>2459</v>
      </c>
      <c r="O115" t="s">
        <v>74</v>
      </c>
      <c r="P115" t="s">
        <v>74</v>
      </c>
      <c r="Q115" t="s">
        <v>74</v>
      </c>
      <c r="R115" t="s">
        <v>74</v>
      </c>
      <c r="S115" t="s">
        <v>74</v>
      </c>
      <c r="T115" t="s">
        <v>2460</v>
      </c>
      <c r="U115" t="s">
        <v>2461</v>
      </c>
      <c r="V115" t="s">
        <v>2462</v>
      </c>
      <c r="W115" t="s">
        <v>2463</v>
      </c>
      <c r="X115" t="s">
        <v>709</v>
      </c>
      <c r="Y115" t="s">
        <v>2464</v>
      </c>
      <c r="Z115" t="s">
        <v>2465</v>
      </c>
      <c r="AA115" t="s">
        <v>2466</v>
      </c>
      <c r="AB115" t="s">
        <v>2467</v>
      </c>
      <c r="AC115" t="s">
        <v>2468</v>
      </c>
      <c r="AD115" t="s">
        <v>1747</v>
      </c>
      <c r="AE115" t="s">
        <v>74</v>
      </c>
      <c r="AF115" t="s">
        <v>74</v>
      </c>
      <c r="AG115">
        <v>153</v>
      </c>
      <c r="AH115">
        <v>51</v>
      </c>
      <c r="AI115">
        <v>55</v>
      </c>
      <c r="AJ115">
        <v>2</v>
      </c>
      <c r="AK115">
        <v>42</v>
      </c>
      <c r="AL115" t="s">
        <v>2469</v>
      </c>
      <c r="AM115" t="s">
        <v>2470</v>
      </c>
      <c r="AN115" t="s">
        <v>2471</v>
      </c>
      <c r="AO115" t="s">
        <v>2472</v>
      </c>
      <c r="AP115" t="s">
        <v>2473</v>
      </c>
      <c r="AQ115" t="s">
        <v>2474</v>
      </c>
      <c r="AR115" t="s">
        <v>2475</v>
      </c>
      <c r="AS115" t="s">
        <v>2476</v>
      </c>
      <c r="AT115" t="s">
        <v>74</v>
      </c>
      <c r="AU115">
        <v>2014</v>
      </c>
      <c r="AV115">
        <v>69</v>
      </c>
      <c r="AW115" t="s">
        <v>74</v>
      </c>
      <c r="AX115" t="s">
        <v>74</v>
      </c>
      <c r="AY115" t="s">
        <v>74</v>
      </c>
      <c r="AZ115" t="s">
        <v>74</v>
      </c>
      <c r="BA115" t="s">
        <v>74</v>
      </c>
      <c r="BB115">
        <v>15</v>
      </c>
      <c r="BC115">
        <v>78</v>
      </c>
      <c r="BD115" t="s">
        <v>74</v>
      </c>
      <c r="BE115" t="s">
        <v>2477</v>
      </c>
      <c r="BF115" t="str">
        <f>HYPERLINK("http://dx.doi.org/10.1016/B978-0-12-800214-8.00002-5","http://dx.doi.org/10.1016/B978-0-12-800214-8.00002-5")</f>
        <v>http://dx.doi.org/10.1016/B978-0-12-800214-8.00002-5</v>
      </c>
      <c r="BG115" t="s">
        <v>74</v>
      </c>
      <c r="BH115" t="s">
        <v>74</v>
      </c>
      <c r="BI115">
        <v>64</v>
      </c>
      <c r="BJ115" t="s">
        <v>679</v>
      </c>
      <c r="BK115" t="s">
        <v>2478</v>
      </c>
      <c r="BL115" t="s">
        <v>680</v>
      </c>
      <c r="BM115" t="s">
        <v>2479</v>
      </c>
      <c r="BN115">
        <v>25358297</v>
      </c>
      <c r="BO115" t="s">
        <v>74</v>
      </c>
      <c r="BP115" t="s">
        <v>74</v>
      </c>
      <c r="BQ115" t="s">
        <v>74</v>
      </c>
      <c r="BR115" t="s">
        <v>103</v>
      </c>
      <c r="BS115" t="s">
        <v>2480</v>
      </c>
      <c r="BT115" t="str">
        <f>HYPERLINK("https%3A%2F%2Fwww.webofscience.com%2Fwos%2Fwoscc%2Ffull-record%2FWOS:000349890300003","View Full Record in Web of Science")</f>
        <v>View Full Record in Web of Science</v>
      </c>
    </row>
    <row r="116" spans="1:72" x14ac:dyDescent="0.15">
      <c r="A116" t="s">
        <v>72</v>
      </c>
      <c r="B116" t="s">
        <v>2481</v>
      </c>
      <c r="C116" t="s">
        <v>74</v>
      </c>
      <c r="D116" t="s">
        <v>74</v>
      </c>
      <c r="E116" t="s">
        <v>74</v>
      </c>
      <c r="F116" t="s">
        <v>2482</v>
      </c>
      <c r="G116" t="s">
        <v>74</v>
      </c>
      <c r="H116" t="s">
        <v>74</v>
      </c>
      <c r="I116" t="s">
        <v>2483</v>
      </c>
      <c r="J116" t="s">
        <v>2484</v>
      </c>
      <c r="K116" t="s">
        <v>74</v>
      </c>
      <c r="L116" t="s">
        <v>74</v>
      </c>
      <c r="M116" t="s">
        <v>78</v>
      </c>
      <c r="N116" t="s">
        <v>79</v>
      </c>
      <c r="O116" t="s">
        <v>74</v>
      </c>
      <c r="P116" t="s">
        <v>74</v>
      </c>
      <c r="Q116" t="s">
        <v>74</v>
      </c>
      <c r="R116" t="s">
        <v>74</v>
      </c>
      <c r="S116" t="s">
        <v>74</v>
      </c>
      <c r="T116" t="s">
        <v>74</v>
      </c>
      <c r="U116" t="s">
        <v>2485</v>
      </c>
      <c r="V116" t="s">
        <v>2486</v>
      </c>
      <c r="W116" t="s">
        <v>2487</v>
      </c>
      <c r="X116" t="s">
        <v>2488</v>
      </c>
      <c r="Y116" t="s">
        <v>2489</v>
      </c>
      <c r="Z116" t="s">
        <v>2490</v>
      </c>
      <c r="AA116" t="s">
        <v>2491</v>
      </c>
      <c r="AB116" t="s">
        <v>2492</v>
      </c>
      <c r="AC116" t="s">
        <v>74</v>
      </c>
      <c r="AD116" t="s">
        <v>74</v>
      </c>
      <c r="AE116" t="s">
        <v>74</v>
      </c>
      <c r="AF116" t="s">
        <v>74</v>
      </c>
      <c r="AG116">
        <v>58</v>
      </c>
      <c r="AH116">
        <v>85</v>
      </c>
      <c r="AI116">
        <v>95</v>
      </c>
      <c r="AJ116">
        <v>0</v>
      </c>
      <c r="AK116">
        <v>39</v>
      </c>
      <c r="AL116" t="s">
        <v>1067</v>
      </c>
      <c r="AM116" t="s">
        <v>921</v>
      </c>
      <c r="AN116" t="s">
        <v>2493</v>
      </c>
      <c r="AO116" t="s">
        <v>2494</v>
      </c>
      <c r="AP116" t="s">
        <v>2495</v>
      </c>
      <c r="AQ116" t="s">
        <v>74</v>
      </c>
      <c r="AR116" t="s">
        <v>2496</v>
      </c>
      <c r="AS116" t="s">
        <v>2497</v>
      </c>
      <c r="AT116" t="s">
        <v>417</v>
      </c>
      <c r="AU116">
        <v>2014</v>
      </c>
      <c r="AV116">
        <v>67</v>
      </c>
      <c r="AW116">
        <v>1</v>
      </c>
      <c r="AX116" t="s">
        <v>74</v>
      </c>
      <c r="AY116" t="s">
        <v>74</v>
      </c>
      <c r="AZ116" t="s">
        <v>74</v>
      </c>
      <c r="BA116" t="s">
        <v>74</v>
      </c>
      <c r="BB116">
        <v>120</v>
      </c>
      <c r="BC116">
        <v>128</v>
      </c>
      <c r="BD116" t="s">
        <v>74</v>
      </c>
      <c r="BE116" t="s">
        <v>2498</v>
      </c>
      <c r="BF116" t="str">
        <f>HYPERLINK("http://dx.doi.org/10.1007/s00248-013-0296-y","http://dx.doi.org/10.1007/s00248-013-0296-y")</f>
        <v>http://dx.doi.org/10.1007/s00248-013-0296-y</v>
      </c>
      <c r="BG116" t="s">
        <v>74</v>
      </c>
      <c r="BH116" t="s">
        <v>74</v>
      </c>
      <c r="BI116">
        <v>9</v>
      </c>
      <c r="BJ116" t="s">
        <v>2499</v>
      </c>
      <c r="BK116" t="s">
        <v>99</v>
      </c>
      <c r="BL116" t="s">
        <v>2500</v>
      </c>
      <c r="BM116" t="s">
        <v>2501</v>
      </c>
      <c r="BN116">
        <v>24121801</v>
      </c>
      <c r="BO116" t="s">
        <v>2502</v>
      </c>
      <c r="BP116" t="s">
        <v>74</v>
      </c>
      <c r="BQ116" t="s">
        <v>74</v>
      </c>
      <c r="BR116" t="s">
        <v>103</v>
      </c>
      <c r="BS116" t="s">
        <v>2503</v>
      </c>
      <c r="BT116" t="str">
        <f>HYPERLINK("https%3A%2F%2Fwww.webofscience.com%2Fwos%2Fwoscc%2Ffull-record%2FWOS:000330982500011","View Full Record in Web of Science")</f>
        <v>View Full Record in Web of Science</v>
      </c>
    </row>
    <row r="117" spans="1:72" x14ac:dyDescent="0.15">
      <c r="A117" t="s">
        <v>72</v>
      </c>
      <c r="B117" t="s">
        <v>2504</v>
      </c>
      <c r="C117" t="s">
        <v>74</v>
      </c>
      <c r="D117" t="s">
        <v>74</v>
      </c>
      <c r="E117" t="s">
        <v>74</v>
      </c>
      <c r="F117" t="s">
        <v>2505</v>
      </c>
      <c r="G117" t="s">
        <v>74</v>
      </c>
      <c r="H117" t="s">
        <v>74</v>
      </c>
      <c r="I117" t="s">
        <v>2506</v>
      </c>
      <c r="J117" t="s">
        <v>2507</v>
      </c>
      <c r="K117" t="s">
        <v>74</v>
      </c>
      <c r="L117" t="s">
        <v>74</v>
      </c>
      <c r="M117" t="s">
        <v>78</v>
      </c>
      <c r="N117" t="s">
        <v>79</v>
      </c>
      <c r="O117" t="s">
        <v>74</v>
      </c>
      <c r="P117" t="s">
        <v>74</v>
      </c>
      <c r="Q117" t="s">
        <v>74</v>
      </c>
      <c r="R117" t="s">
        <v>74</v>
      </c>
      <c r="S117" t="s">
        <v>74</v>
      </c>
      <c r="T117" t="s">
        <v>2508</v>
      </c>
      <c r="U117" t="s">
        <v>2509</v>
      </c>
      <c r="V117" t="s">
        <v>2510</v>
      </c>
      <c r="W117" t="s">
        <v>2511</v>
      </c>
      <c r="X117" t="s">
        <v>2512</v>
      </c>
      <c r="Y117" t="s">
        <v>2513</v>
      </c>
      <c r="Z117" t="s">
        <v>558</v>
      </c>
      <c r="AA117" t="s">
        <v>2514</v>
      </c>
      <c r="AB117" t="s">
        <v>2515</v>
      </c>
      <c r="AC117" t="s">
        <v>2516</v>
      </c>
      <c r="AD117" t="s">
        <v>2517</v>
      </c>
      <c r="AE117" t="s">
        <v>2518</v>
      </c>
      <c r="AF117" t="s">
        <v>74</v>
      </c>
      <c r="AG117">
        <v>23</v>
      </c>
      <c r="AH117">
        <v>27</v>
      </c>
      <c r="AI117">
        <v>28</v>
      </c>
      <c r="AJ117">
        <v>3</v>
      </c>
      <c r="AK117">
        <v>20</v>
      </c>
      <c r="AL117" t="s">
        <v>2519</v>
      </c>
      <c r="AM117" t="s">
        <v>2520</v>
      </c>
      <c r="AN117" t="s">
        <v>2521</v>
      </c>
      <c r="AO117" t="s">
        <v>2522</v>
      </c>
      <c r="AP117" t="s">
        <v>2523</v>
      </c>
      <c r="AQ117" t="s">
        <v>74</v>
      </c>
      <c r="AR117" t="s">
        <v>2524</v>
      </c>
      <c r="AS117" t="s">
        <v>2525</v>
      </c>
      <c r="AT117" t="s">
        <v>74</v>
      </c>
      <c r="AU117">
        <v>2014</v>
      </c>
      <c r="AV117">
        <v>169</v>
      </c>
      <c r="AW117" t="s">
        <v>2526</v>
      </c>
      <c r="AX117" t="s">
        <v>74</v>
      </c>
      <c r="AY117" t="s">
        <v>74</v>
      </c>
      <c r="AZ117" t="s">
        <v>74</v>
      </c>
      <c r="BA117" t="s">
        <v>74</v>
      </c>
      <c r="BB117">
        <v>593</v>
      </c>
      <c r="BC117">
        <v>601</v>
      </c>
      <c r="BD117" t="s">
        <v>74</v>
      </c>
      <c r="BE117" t="s">
        <v>2527</v>
      </c>
      <c r="BF117" t="str">
        <f>HYPERLINK("http://dx.doi.org/10.1016/j.micres.2013.09.018","http://dx.doi.org/10.1016/j.micres.2013.09.018")</f>
        <v>http://dx.doi.org/10.1016/j.micres.2013.09.018</v>
      </c>
      <c r="BG117" t="s">
        <v>74</v>
      </c>
      <c r="BH117" t="s">
        <v>74</v>
      </c>
      <c r="BI117">
        <v>9</v>
      </c>
      <c r="BJ117" t="s">
        <v>815</v>
      </c>
      <c r="BK117" t="s">
        <v>99</v>
      </c>
      <c r="BL117" t="s">
        <v>815</v>
      </c>
      <c r="BM117" t="s">
        <v>2528</v>
      </c>
      <c r="BN117">
        <v>24231161</v>
      </c>
      <c r="BO117" t="s">
        <v>524</v>
      </c>
      <c r="BP117" t="s">
        <v>74</v>
      </c>
      <c r="BQ117" t="s">
        <v>74</v>
      </c>
      <c r="BR117" t="s">
        <v>103</v>
      </c>
      <c r="BS117" t="s">
        <v>2529</v>
      </c>
      <c r="BT117" t="str">
        <f>HYPERLINK("https%3A%2F%2Fwww.webofscience.com%2Fwos%2Fwoscc%2Ffull-record%2FWOS:000336777000015","View Full Record in Web of Science")</f>
        <v>View Full Record in Web of Science</v>
      </c>
    </row>
    <row r="118" spans="1:72" x14ac:dyDescent="0.15">
      <c r="A118" t="s">
        <v>72</v>
      </c>
      <c r="B118" t="s">
        <v>2530</v>
      </c>
      <c r="C118" t="s">
        <v>74</v>
      </c>
      <c r="D118" t="s">
        <v>74</v>
      </c>
      <c r="E118" t="s">
        <v>74</v>
      </c>
      <c r="F118" t="s">
        <v>2531</v>
      </c>
      <c r="G118" t="s">
        <v>74</v>
      </c>
      <c r="H118" t="s">
        <v>74</v>
      </c>
      <c r="I118" t="s">
        <v>2532</v>
      </c>
      <c r="J118" t="s">
        <v>2533</v>
      </c>
      <c r="K118" t="s">
        <v>74</v>
      </c>
      <c r="L118" t="s">
        <v>74</v>
      </c>
      <c r="M118" t="s">
        <v>78</v>
      </c>
      <c r="N118" t="s">
        <v>79</v>
      </c>
      <c r="O118" t="s">
        <v>74</v>
      </c>
      <c r="P118" t="s">
        <v>74</v>
      </c>
      <c r="Q118" t="s">
        <v>74</v>
      </c>
      <c r="R118" t="s">
        <v>74</v>
      </c>
      <c r="S118" t="s">
        <v>74</v>
      </c>
      <c r="T118" t="s">
        <v>2534</v>
      </c>
      <c r="U118" t="s">
        <v>2535</v>
      </c>
      <c r="V118" t="s">
        <v>2536</v>
      </c>
      <c r="W118" t="s">
        <v>2537</v>
      </c>
      <c r="X118" t="s">
        <v>2538</v>
      </c>
      <c r="Y118" t="s">
        <v>2539</v>
      </c>
      <c r="Z118" t="s">
        <v>2540</v>
      </c>
      <c r="AA118" t="s">
        <v>2541</v>
      </c>
      <c r="AB118" t="s">
        <v>2542</v>
      </c>
      <c r="AC118" t="s">
        <v>2543</v>
      </c>
      <c r="AD118" t="s">
        <v>2544</v>
      </c>
      <c r="AE118" t="s">
        <v>2545</v>
      </c>
      <c r="AF118" t="s">
        <v>74</v>
      </c>
      <c r="AG118">
        <v>30</v>
      </c>
      <c r="AH118">
        <v>22</v>
      </c>
      <c r="AI118">
        <v>32</v>
      </c>
      <c r="AJ118">
        <v>1</v>
      </c>
      <c r="AK118">
        <v>19</v>
      </c>
      <c r="AL118" t="s">
        <v>920</v>
      </c>
      <c r="AM118" t="s">
        <v>921</v>
      </c>
      <c r="AN118" t="s">
        <v>922</v>
      </c>
      <c r="AO118" t="s">
        <v>2546</v>
      </c>
      <c r="AP118" t="s">
        <v>2547</v>
      </c>
      <c r="AQ118" t="s">
        <v>74</v>
      </c>
      <c r="AR118" t="s">
        <v>2548</v>
      </c>
      <c r="AS118" t="s">
        <v>815</v>
      </c>
      <c r="AT118" t="s">
        <v>417</v>
      </c>
      <c r="AU118">
        <v>2014</v>
      </c>
      <c r="AV118">
        <v>83</v>
      </c>
      <c r="AW118" t="s">
        <v>953</v>
      </c>
      <c r="AX118" t="s">
        <v>74</v>
      </c>
      <c r="AY118" t="s">
        <v>74</v>
      </c>
      <c r="AZ118" t="s">
        <v>74</v>
      </c>
      <c r="BA118" t="s">
        <v>74</v>
      </c>
      <c r="BB118">
        <v>94</v>
      </c>
      <c r="BC118">
        <v>101</v>
      </c>
      <c r="BD118" t="s">
        <v>74</v>
      </c>
      <c r="BE118" t="s">
        <v>2549</v>
      </c>
      <c r="BF118" t="str">
        <f>HYPERLINK("http://dx.doi.org/10.1134/S002626171402012X","http://dx.doi.org/10.1134/S002626171402012X")</f>
        <v>http://dx.doi.org/10.1134/S002626171402012X</v>
      </c>
      <c r="BG118" t="s">
        <v>74</v>
      </c>
      <c r="BH118" t="s">
        <v>74</v>
      </c>
      <c r="BI118">
        <v>8</v>
      </c>
      <c r="BJ118" t="s">
        <v>815</v>
      </c>
      <c r="BK118" t="s">
        <v>99</v>
      </c>
      <c r="BL118" t="s">
        <v>815</v>
      </c>
      <c r="BM118" t="s">
        <v>2550</v>
      </c>
      <c r="BN118" t="s">
        <v>74</v>
      </c>
      <c r="BO118" t="s">
        <v>74</v>
      </c>
      <c r="BP118" t="s">
        <v>74</v>
      </c>
      <c r="BQ118" t="s">
        <v>74</v>
      </c>
      <c r="BR118" t="s">
        <v>103</v>
      </c>
      <c r="BS118" t="s">
        <v>2551</v>
      </c>
      <c r="BT118" t="str">
        <f>HYPERLINK("https%3A%2F%2Fwww.webofscience.com%2Fwos%2Fwoscc%2Ffull-record%2FWOS:000335678500011","View Full Record in Web of Science")</f>
        <v>View Full Record in Web of Science</v>
      </c>
    </row>
    <row r="119" spans="1:72" x14ac:dyDescent="0.15">
      <c r="A119" t="s">
        <v>72</v>
      </c>
      <c r="B119" t="s">
        <v>2552</v>
      </c>
      <c r="C119" t="s">
        <v>74</v>
      </c>
      <c r="D119" t="s">
        <v>74</v>
      </c>
      <c r="E119" t="s">
        <v>74</v>
      </c>
      <c r="F119" t="s">
        <v>2553</v>
      </c>
      <c r="G119" t="s">
        <v>74</v>
      </c>
      <c r="H119" t="s">
        <v>74</v>
      </c>
      <c r="I119" t="s">
        <v>2554</v>
      </c>
      <c r="J119" t="s">
        <v>2555</v>
      </c>
      <c r="K119" t="s">
        <v>74</v>
      </c>
      <c r="L119" t="s">
        <v>74</v>
      </c>
      <c r="M119" t="s">
        <v>78</v>
      </c>
      <c r="N119" t="s">
        <v>79</v>
      </c>
      <c r="O119" t="s">
        <v>74</v>
      </c>
      <c r="P119" t="s">
        <v>74</v>
      </c>
      <c r="Q119" t="s">
        <v>74</v>
      </c>
      <c r="R119" t="s">
        <v>74</v>
      </c>
      <c r="S119" t="s">
        <v>74</v>
      </c>
      <c r="T119" t="s">
        <v>2556</v>
      </c>
      <c r="U119" t="s">
        <v>2557</v>
      </c>
      <c r="V119" t="s">
        <v>2558</v>
      </c>
      <c r="W119" t="s">
        <v>2559</v>
      </c>
      <c r="X119" t="s">
        <v>2560</v>
      </c>
      <c r="Y119" t="s">
        <v>2561</v>
      </c>
      <c r="Z119" t="s">
        <v>2562</v>
      </c>
      <c r="AA119" t="s">
        <v>74</v>
      </c>
      <c r="AB119" t="s">
        <v>2563</v>
      </c>
      <c r="AC119" t="s">
        <v>2564</v>
      </c>
      <c r="AD119" t="s">
        <v>2565</v>
      </c>
      <c r="AE119" t="s">
        <v>2566</v>
      </c>
      <c r="AF119" t="s">
        <v>74</v>
      </c>
      <c r="AG119">
        <v>128</v>
      </c>
      <c r="AH119">
        <v>7</v>
      </c>
      <c r="AI119">
        <v>7</v>
      </c>
      <c r="AJ119">
        <v>0</v>
      </c>
      <c r="AK119">
        <v>2</v>
      </c>
      <c r="AL119" t="s">
        <v>2567</v>
      </c>
      <c r="AM119" t="s">
        <v>2568</v>
      </c>
      <c r="AN119" t="s">
        <v>2569</v>
      </c>
      <c r="AO119" t="s">
        <v>2570</v>
      </c>
      <c r="AP119" t="s">
        <v>2571</v>
      </c>
      <c r="AQ119" t="s">
        <v>74</v>
      </c>
      <c r="AR119" t="s">
        <v>2555</v>
      </c>
      <c r="AS119" t="s">
        <v>2572</v>
      </c>
      <c r="AT119" t="s">
        <v>74</v>
      </c>
      <c r="AU119">
        <v>2014</v>
      </c>
      <c r="AV119">
        <v>60</v>
      </c>
      <c r="AW119">
        <v>2</v>
      </c>
      <c r="AX119" t="s">
        <v>74</v>
      </c>
      <c r="AY119" t="s">
        <v>74</v>
      </c>
      <c r="AZ119" t="s">
        <v>74</v>
      </c>
      <c r="BA119" t="s">
        <v>74</v>
      </c>
      <c r="BB119">
        <v>195</v>
      </c>
      <c r="BC119">
        <v>210</v>
      </c>
      <c r="BD119" t="s">
        <v>74</v>
      </c>
      <c r="BE119" t="s">
        <v>74</v>
      </c>
      <c r="BF119" t="s">
        <v>74</v>
      </c>
      <c r="BG119" t="s">
        <v>74</v>
      </c>
      <c r="BH119" t="s">
        <v>74</v>
      </c>
      <c r="BI119">
        <v>16</v>
      </c>
      <c r="BJ119" t="s">
        <v>2061</v>
      </c>
      <c r="BK119" t="s">
        <v>99</v>
      </c>
      <c r="BL119" t="s">
        <v>2061</v>
      </c>
      <c r="BM119" t="s">
        <v>2573</v>
      </c>
      <c r="BN119" t="s">
        <v>74</v>
      </c>
      <c r="BO119" t="s">
        <v>74</v>
      </c>
      <c r="BP119" t="s">
        <v>74</v>
      </c>
      <c r="BQ119" t="s">
        <v>74</v>
      </c>
      <c r="BR119" t="s">
        <v>103</v>
      </c>
      <c r="BS119" t="s">
        <v>2574</v>
      </c>
      <c r="BT119" t="str">
        <f>HYPERLINK("https%3A%2F%2Fwww.webofscience.com%2Fwos%2Fwoscc%2Ffull-record%2FWOS:000347174100003","View Full Record in Web of Science")</f>
        <v>View Full Record in Web of Science</v>
      </c>
    </row>
    <row r="120" spans="1:72" x14ac:dyDescent="0.15">
      <c r="A120" t="s">
        <v>72</v>
      </c>
      <c r="B120" t="s">
        <v>2575</v>
      </c>
      <c r="C120" t="s">
        <v>74</v>
      </c>
      <c r="D120" t="s">
        <v>74</v>
      </c>
      <c r="E120" t="s">
        <v>74</v>
      </c>
      <c r="F120" t="s">
        <v>2576</v>
      </c>
      <c r="G120" t="s">
        <v>74</v>
      </c>
      <c r="H120" t="s">
        <v>74</v>
      </c>
      <c r="I120" t="s">
        <v>2577</v>
      </c>
      <c r="J120" t="s">
        <v>2578</v>
      </c>
      <c r="K120" t="s">
        <v>74</v>
      </c>
      <c r="L120" t="s">
        <v>74</v>
      </c>
      <c r="M120" t="s">
        <v>78</v>
      </c>
      <c r="N120" t="s">
        <v>79</v>
      </c>
      <c r="O120" t="s">
        <v>74</v>
      </c>
      <c r="P120" t="s">
        <v>74</v>
      </c>
      <c r="Q120" t="s">
        <v>74</v>
      </c>
      <c r="R120" t="s">
        <v>74</v>
      </c>
      <c r="S120" t="s">
        <v>74</v>
      </c>
      <c r="T120" t="s">
        <v>2579</v>
      </c>
      <c r="U120" t="s">
        <v>2580</v>
      </c>
      <c r="V120" t="s">
        <v>2581</v>
      </c>
      <c r="W120" t="s">
        <v>2582</v>
      </c>
      <c r="X120" t="s">
        <v>2583</v>
      </c>
      <c r="Y120" t="s">
        <v>2584</v>
      </c>
      <c r="Z120" t="s">
        <v>2585</v>
      </c>
      <c r="AA120" t="s">
        <v>2586</v>
      </c>
      <c r="AB120" t="s">
        <v>2587</v>
      </c>
      <c r="AC120" t="s">
        <v>74</v>
      </c>
      <c r="AD120" t="s">
        <v>74</v>
      </c>
      <c r="AE120" t="s">
        <v>74</v>
      </c>
      <c r="AF120" t="s">
        <v>74</v>
      </c>
      <c r="AG120">
        <v>44</v>
      </c>
      <c r="AH120">
        <v>42</v>
      </c>
      <c r="AI120">
        <v>49</v>
      </c>
      <c r="AJ120">
        <v>0</v>
      </c>
      <c r="AK120">
        <v>27</v>
      </c>
      <c r="AL120" t="s">
        <v>2588</v>
      </c>
      <c r="AM120" t="s">
        <v>2470</v>
      </c>
      <c r="AN120" t="s">
        <v>2589</v>
      </c>
      <c r="AO120" t="s">
        <v>2590</v>
      </c>
      <c r="AP120" t="s">
        <v>2591</v>
      </c>
      <c r="AQ120" t="s">
        <v>74</v>
      </c>
      <c r="AR120" t="s">
        <v>2592</v>
      </c>
      <c r="AS120" t="s">
        <v>2593</v>
      </c>
      <c r="AT120" t="s">
        <v>417</v>
      </c>
      <c r="AU120">
        <v>2014</v>
      </c>
      <c r="AV120">
        <v>70</v>
      </c>
      <c r="AW120" t="s">
        <v>74</v>
      </c>
      <c r="AX120" t="s">
        <v>74</v>
      </c>
      <c r="AY120" t="s">
        <v>74</v>
      </c>
      <c r="AZ120" t="s">
        <v>74</v>
      </c>
      <c r="BA120" t="s">
        <v>74</v>
      </c>
      <c r="BB120">
        <v>420</v>
      </c>
      <c r="BC120">
        <v>428</v>
      </c>
      <c r="BD120" t="s">
        <v>74</v>
      </c>
      <c r="BE120" t="s">
        <v>2594</v>
      </c>
      <c r="BF120" t="str">
        <f>HYPERLINK("http://dx.doi.org/10.1016/j.ympev.2013.08.017","http://dx.doi.org/10.1016/j.ympev.2013.08.017")</f>
        <v>http://dx.doi.org/10.1016/j.ympev.2013.08.017</v>
      </c>
      <c r="BG120" t="s">
        <v>74</v>
      </c>
      <c r="BH120" t="s">
        <v>74</v>
      </c>
      <c r="BI120">
        <v>9</v>
      </c>
      <c r="BJ120" t="s">
        <v>2595</v>
      </c>
      <c r="BK120" t="s">
        <v>99</v>
      </c>
      <c r="BL120" t="s">
        <v>2595</v>
      </c>
      <c r="BM120" t="s">
        <v>2596</v>
      </c>
      <c r="BN120">
        <v>23994164</v>
      </c>
      <c r="BO120" t="s">
        <v>74</v>
      </c>
      <c r="BP120" t="s">
        <v>74</v>
      </c>
      <c r="BQ120" t="s">
        <v>74</v>
      </c>
      <c r="BR120" t="s">
        <v>103</v>
      </c>
      <c r="BS120" t="s">
        <v>2597</v>
      </c>
      <c r="BT120" t="str">
        <f>HYPERLINK("https%3A%2F%2Fwww.webofscience.com%2Fwos%2Fwoscc%2Ffull-record%2FWOS:000328441100040","View Full Record in Web of Science")</f>
        <v>View Full Record in Web of Science</v>
      </c>
    </row>
    <row r="121" spans="1:72" x14ac:dyDescent="0.15">
      <c r="A121" t="s">
        <v>72</v>
      </c>
      <c r="B121" t="s">
        <v>2598</v>
      </c>
      <c r="C121" t="s">
        <v>74</v>
      </c>
      <c r="D121" t="s">
        <v>74</v>
      </c>
      <c r="E121" t="s">
        <v>74</v>
      </c>
      <c r="F121" t="s">
        <v>2599</v>
      </c>
      <c r="G121" t="s">
        <v>74</v>
      </c>
      <c r="H121" t="s">
        <v>74</v>
      </c>
      <c r="I121" t="s">
        <v>2600</v>
      </c>
      <c r="J121" t="s">
        <v>2601</v>
      </c>
      <c r="K121" t="s">
        <v>74</v>
      </c>
      <c r="L121" t="s">
        <v>74</v>
      </c>
      <c r="M121" t="s">
        <v>78</v>
      </c>
      <c r="N121" t="s">
        <v>79</v>
      </c>
      <c r="O121" t="s">
        <v>74</v>
      </c>
      <c r="P121" t="s">
        <v>74</v>
      </c>
      <c r="Q121" t="s">
        <v>74</v>
      </c>
      <c r="R121" t="s">
        <v>74</v>
      </c>
      <c r="S121" t="s">
        <v>74</v>
      </c>
      <c r="T121" t="s">
        <v>74</v>
      </c>
      <c r="U121" t="s">
        <v>2602</v>
      </c>
      <c r="V121" t="s">
        <v>2603</v>
      </c>
      <c r="W121" t="s">
        <v>2604</v>
      </c>
      <c r="X121" t="s">
        <v>709</v>
      </c>
      <c r="Y121" t="s">
        <v>2605</v>
      </c>
      <c r="Z121" t="s">
        <v>2606</v>
      </c>
      <c r="AA121" t="s">
        <v>166</v>
      </c>
      <c r="AB121" t="s">
        <v>2607</v>
      </c>
      <c r="AC121" t="s">
        <v>2608</v>
      </c>
      <c r="AD121" t="s">
        <v>2609</v>
      </c>
      <c r="AE121" t="s">
        <v>2610</v>
      </c>
      <c r="AF121" t="s">
        <v>74</v>
      </c>
      <c r="AG121">
        <v>28</v>
      </c>
      <c r="AH121">
        <v>13</v>
      </c>
      <c r="AI121">
        <v>13</v>
      </c>
      <c r="AJ121">
        <v>0</v>
      </c>
      <c r="AK121">
        <v>12</v>
      </c>
      <c r="AL121" t="s">
        <v>91</v>
      </c>
      <c r="AM121" t="s">
        <v>92</v>
      </c>
      <c r="AN121" t="s">
        <v>93</v>
      </c>
      <c r="AO121" t="s">
        <v>2611</v>
      </c>
      <c r="AP121" t="s">
        <v>74</v>
      </c>
      <c r="AQ121" t="s">
        <v>74</v>
      </c>
      <c r="AR121" t="s">
        <v>2612</v>
      </c>
      <c r="AS121" t="s">
        <v>2613</v>
      </c>
      <c r="AT121" t="s">
        <v>74</v>
      </c>
      <c r="AU121">
        <v>2014</v>
      </c>
      <c r="AV121">
        <v>14</v>
      </c>
      <c r="AW121">
        <v>4</v>
      </c>
      <c r="AX121" t="s">
        <v>74</v>
      </c>
      <c r="AY121" t="s">
        <v>74</v>
      </c>
      <c r="AZ121" t="s">
        <v>74</v>
      </c>
      <c r="BA121" t="s">
        <v>74</v>
      </c>
      <c r="BB121">
        <v>917</v>
      </c>
      <c r="BC121">
        <v>927</v>
      </c>
      <c r="BD121" t="s">
        <v>74</v>
      </c>
      <c r="BE121" t="s">
        <v>2614</v>
      </c>
      <c r="BF121" t="str">
        <f>HYPERLINK("http://dx.doi.org/10.5194/nhess-14-917-2014","http://dx.doi.org/10.5194/nhess-14-917-2014")</f>
        <v>http://dx.doi.org/10.5194/nhess-14-917-2014</v>
      </c>
      <c r="BG121" t="s">
        <v>74</v>
      </c>
      <c r="BH121" t="s">
        <v>74</v>
      </c>
      <c r="BI121">
        <v>11</v>
      </c>
      <c r="BJ121" t="s">
        <v>2615</v>
      </c>
      <c r="BK121" t="s">
        <v>99</v>
      </c>
      <c r="BL121" t="s">
        <v>2616</v>
      </c>
      <c r="BM121" t="s">
        <v>2617</v>
      </c>
      <c r="BN121" t="s">
        <v>74</v>
      </c>
      <c r="BO121" t="s">
        <v>998</v>
      </c>
      <c r="BP121" t="s">
        <v>74</v>
      </c>
      <c r="BQ121" t="s">
        <v>74</v>
      </c>
      <c r="BR121" t="s">
        <v>103</v>
      </c>
      <c r="BS121" t="s">
        <v>2618</v>
      </c>
      <c r="BT121" t="str">
        <f>HYPERLINK("https%3A%2F%2Fwww.webofscience.com%2Fwos%2Fwoscc%2Ffull-record%2FWOS:000337948100016","View Full Record in Web of Science")</f>
        <v>View Full Record in Web of Science</v>
      </c>
    </row>
    <row r="122" spans="1:72" x14ac:dyDescent="0.15">
      <c r="A122" t="s">
        <v>72</v>
      </c>
      <c r="B122" t="s">
        <v>2619</v>
      </c>
      <c r="C122" t="s">
        <v>74</v>
      </c>
      <c r="D122" t="s">
        <v>74</v>
      </c>
      <c r="E122" t="s">
        <v>74</v>
      </c>
      <c r="F122" t="s">
        <v>2620</v>
      </c>
      <c r="G122" t="s">
        <v>74</v>
      </c>
      <c r="H122" t="s">
        <v>74</v>
      </c>
      <c r="I122" t="s">
        <v>2621</v>
      </c>
      <c r="J122" t="s">
        <v>2601</v>
      </c>
      <c r="K122" t="s">
        <v>74</v>
      </c>
      <c r="L122" t="s">
        <v>74</v>
      </c>
      <c r="M122" t="s">
        <v>78</v>
      </c>
      <c r="N122" t="s">
        <v>79</v>
      </c>
      <c r="O122" t="s">
        <v>74</v>
      </c>
      <c r="P122" t="s">
        <v>74</v>
      </c>
      <c r="Q122" t="s">
        <v>74</v>
      </c>
      <c r="R122" t="s">
        <v>74</v>
      </c>
      <c r="S122" t="s">
        <v>74</v>
      </c>
      <c r="T122" t="s">
        <v>74</v>
      </c>
      <c r="U122" t="s">
        <v>2622</v>
      </c>
      <c r="V122" t="s">
        <v>2623</v>
      </c>
      <c r="W122" t="s">
        <v>2624</v>
      </c>
      <c r="X122" t="s">
        <v>2625</v>
      </c>
      <c r="Y122" t="s">
        <v>2626</v>
      </c>
      <c r="Z122" t="s">
        <v>2627</v>
      </c>
      <c r="AA122" t="s">
        <v>2628</v>
      </c>
      <c r="AB122" t="s">
        <v>2629</v>
      </c>
      <c r="AC122" t="s">
        <v>74</v>
      </c>
      <c r="AD122" t="s">
        <v>74</v>
      </c>
      <c r="AE122" t="s">
        <v>74</v>
      </c>
      <c r="AF122" t="s">
        <v>74</v>
      </c>
      <c r="AG122">
        <v>74</v>
      </c>
      <c r="AH122">
        <v>42</v>
      </c>
      <c r="AI122">
        <v>43</v>
      </c>
      <c r="AJ122">
        <v>1</v>
      </c>
      <c r="AK122">
        <v>21</v>
      </c>
      <c r="AL122" t="s">
        <v>91</v>
      </c>
      <c r="AM122" t="s">
        <v>92</v>
      </c>
      <c r="AN122" t="s">
        <v>93</v>
      </c>
      <c r="AO122" t="s">
        <v>2611</v>
      </c>
      <c r="AP122" t="s">
        <v>2630</v>
      </c>
      <c r="AQ122" t="s">
        <v>74</v>
      </c>
      <c r="AR122" t="s">
        <v>2612</v>
      </c>
      <c r="AS122" t="s">
        <v>2613</v>
      </c>
      <c r="AT122" t="s">
        <v>74</v>
      </c>
      <c r="AU122">
        <v>2014</v>
      </c>
      <c r="AV122">
        <v>14</v>
      </c>
      <c r="AW122">
        <v>12</v>
      </c>
      <c r="AX122" t="s">
        <v>74</v>
      </c>
      <c r="AY122" t="s">
        <v>74</v>
      </c>
      <c r="AZ122" t="s">
        <v>74</v>
      </c>
      <c r="BA122" t="s">
        <v>74</v>
      </c>
      <c r="BB122">
        <v>3243</v>
      </c>
      <c r="BC122">
        <v>3259</v>
      </c>
      <c r="BD122" t="s">
        <v>74</v>
      </c>
      <c r="BE122" t="s">
        <v>2631</v>
      </c>
      <c r="BF122" t="str">
        <f>HYPERLINK("http://dx.doi.org/10.5194/nhess-14-3243-2014","http://dx.doi.org/10.5194/nhess-14-3243-2014")</f>
        <v>http://dx.doi.org/10.5194/nhess-14-3243-2014</v>
      </c>
      <c r="BG122" t="s">
        <v>74</v>
      </c>
      <c r="BH122" t="s">
        <v>74</v>
      </c>
      <c r="BI122">
        <v>17</v>
      </c>
      <c r="BJ122" t="s">
        <v>2615</v>
      </c>
      <c r="BK122" t="s">
        <v>99</v>
      </c>
      <c r="BL122" t="s">
        <v>2616</v>
      </c>
      <c r="BM122" t="s">
        <v>2632</v>
      </c>
      <c r="BN122" t="s">
        <v>74</v>
      </c>
      <c r="BO122" t="s">
        <v>119</v>
      </c>
      <c r="BP122" t="s">
        <v>74</v>
      </c>
      <c r="BQ122" t="s">
        <v>74</v>
      </c>
      <c r="BR122" t="s">
        <v>103</v>
      </c>
      <c r="BS122" t="s">
        <v>2633</v>
      </c>
      <c r="BT122" t="str">
        <f>HYPERLINK("https%3A%2F%2Fwww.webofscience.com%2Fwos%2Fwoscc%2Ffull-record%2FWOS:000345765600009","View Full Record in Web of Science")</f>
        <v>View Full Record in Web of Science</v>
      </c>
    </row>
    <row r="123" spans="1:72" x14ac:dyDescent="0.15">
      <c r="A123" t="s">
        <v>72</v>
      </c>
      <c r="B123" t="s">
        <v>2634</v>
      </c>
      <c r="C123" t="s">
        <v>74</v>
      </c>
      <c r="D123" t="s">
        <v>74</v>
      </c>
      <c r="E123" t="s">
        <v>74</v>
      </c>
      <c r="F123" t="s">
        <v>2635</v>
      </c>
      <c r="G123" t="s">
        <v>74</v>
      </c>
      <c r="H123" t="s">
        <v>74</v>
      </c>
      <c r="I123" t="s">
        <v>2636</v>
      </c>
      <c r="J123" t="s">
        <v>2637</v>
      </c>
      <c r="K123" t="s">
        <v>74</v>
      </c>
      <c r="L123" t="s">
        <v>74</v>
      </c>
      <c r="M123" t="s">
        <v>78</v>
      </c>
      <c r="N123" t="s">
        <v>79</v>
      </c>
      <c r="O123" t="s">
        <v>74</v>
      </c>
      <c r="P123" t="s">
        <v>74</v>
      </c>
      <c r="Q123" t="s">
        <v>74</v>
      </c>
      <c r="R123" t="s">
        <v>74</v>
      </c>
      <c r="S123" t="s">
        <v>74</v>
      </c>
      <c r="T123" t="s">
        <v>74</v>
      </c>
      <c r="U123" t="s">
        <v>2638</v>
      </c>
      <c r="V123" t="s">
        <v>2639</v>
      </c>
      <c r="W123" t="s">
        <v>2640</v>
      </c>
      <c r="X123" t="s">
        <v>2641</v>
      </c>
      <c r="Y123" t="s">
        <v>2642</v>
      </c>
      <c r="Z123" t="s">
        <v>2643</v>
      </c>
      <c r="AA123" t="s">
        <v>2644</v>
      </c>
      <c r="AB123" t="s">
        <v>2645</v>
      </c>
      <c r="AC123" t="s">
        <v>2646</v>
      </c>
      <c r="AD123" t="s">
        <v>2646</v>
      </c>
      <c r="AE123" t="s">
        <v>2647</v>
      </c>
      <c r="AF123" t="s">
        <v>74</v>
      </c>
      <c r="AG123">
        <v>49</v>
      </c>
      <c r="AH123">
        <v>121</v>
      </c>
      <c r="AI123">
        <v>124</v>
      </c>
      <c r="AJ123">
        <v>4</v>
      </c>
      <c r="AK123">
        <v>60</v>
      </c>
      <c r="AL123" t="s">
        <v>1371</v>
      </c>
      <c r="AM123" t="s">
        <v>849</v>
      </c>
      <c r="AN123" t="s">
        <v>1372</v>
      </c>
      <c r="AO123" t="s">
        <v>2648</v>
      </c>
      <c r="AP123" t="s">
        <v>74</v>
      </c>
      <c r="AQ123" t="s">
        <v>74</v>
      </c>
      <c r="AR123" t="s">
        <v>2649</v>
      </c>
      <c r="AS123" t="s">
        <v>2650</v>
      </c>
      <c r="AT123" t="s">
        <v>417</v>
      </c>
      <c r="AU123">
        <v>2014</v>
      </c>
      <c r="AV123">
        <v>5</v>
      </c>
      <c r="AW123" t="s">
        <v>74</v>
      </c>
      <c r="AX123" t="s">
        <v>74</v>
      </c>
      <c r="AY123" t="s">
        <v>74</v>
      </c>
      <c r="AZ123" t="s">
        <v>74</v>
      </c>
      <c r="BA123" t="s">
        <v>74</v>
      </c>
      <c r="BB123" t="s">
        <v>74</v>
      </c>
      <c r="BC123" t="s">
        <v>74</v>
      </c>
      <c r="BD123">
        <v>2999</v>
      </c>
      <c r="BE123" t="s">
        <v>2651</v>
      </c>
      <c r="BF123" t="str">
        <f>HYPERLINK("http://dx.doi.org/10.1038/ncomms3999","http://dx.doi.org/10.1038/ncomms3999")</f>
        <v>http://dx.doi.org/10.1038/ncomms3999</v>
      </c>
      <c r="BG123" t="s">
        <v>74</v>
      </c>
      <c r="BH123" t="s">
        <v>74</v>
      </c>
      <c r="BI123">
        <v>8</v>
      </c>
      <c r="BJ123" t="s">
        <v>2652</v>
      </c>
      <c r="BK123" t="s">
        <v>99</v>
      </c>
      <c r="BL123" t="s">
        <v>2653</v>
      </c>
      <c r="BM123" t="s">
        <v>2654</v>
      </c>
      <c r="BN123">
        <v>24385005</v>
      </c>
      <c r="BO123" t="s">
        <v>1648</v>
      </c>
      <c r="BP123" t="s">
        <v>74</v>
      </c>
      <c r="BQ123" t="s">
        <v>74</v>
      </c>
      <c r="BR123" t="s">
        <v>103</v>
      </c>
      <c r="BS123" t="s">
        <v>2655</v>
      </c>
      <c r="BT123" t="str">
        <f>HYPERLINK("https%3A%2F%2Fwww.webofscience.com%2Fwos%2Fwoscc%2Ffull-record%2FWOS:000331081900003","View Full Record in Web of Science")</f>
        <v>View Full Record in Web of Science</v>
      </c>
    </row>
    <row r="124" spans="1:72" x14ac:dyDescent="0.15">
      <c r="A124" t="s">
        <v>72</v>
      </c>
      <c r="B124" t="s">
        <v>2656</v>
      </c>
      <c r="C124" t="s">
        <v>74</v>
      </c>
      <c r="D124" t="s">
        <v>74</v>
      </c>
      <c r="E124" t="s">
        <v>74</v>
      </c>
      <c r="F124" t="s">
        <v>2657</v>
      </c>
      <c r="G124" t="s">
        <v>74</v>
      </c>
      <c r="H124" t="s">
        <v>74</v>
      </c>
      <c r="I124" t="s">
        <v>2658</v>
      </c>
      <c r="J124" t="s">
        <v>2637</v>
      </c>
      <c r="K124" t="s">
        <v>74</v>
      </c>
      <c r="L124" t="s">
        <v>74</v>
      </c>
      <c r="M124" t="s">
        <v>78</v>
      </c>
      <c r="N124" t="s">
        <v>79</v>
      </c>
      <c r="O124" t="s">
        <v>74</v>
      </c>
      <c r="P124" t="s">
        <v>74</v>
      </c>
      <c r="Q124" t="s">
        <v>74</v>
      </c>
      <c r="R124" t="s">
        <v>74</v>
      </c>
      <c r="S124" t="s">
        <v>74</v>
      </c>
      <c r="T124" t="s">
        <v>74</v>
      </c>
      <c r="U124" t="s">
        <v>2659</v>
      </c>
      <c r="V124" t="s">
        <v>2660</v>
      </c>
      <c r="W124" t="s">
        <v>2661</v>
      </c>
      <c r="X124" t="s">
        <v>2662</v>
      </c>
      <c r="Y124" t="s">
        <v>2663</v>
      </c>
      <c r="Z124" t="s">
        <v>2664</v>
      </c>
      <c r="AA124" t="s">
        <v>2665</v>
      </c>
      <c r="AB124" t="s">
        <v>2666</v>
      </c>
      <c r="AC124" t="s">
        <v>2667</v>
      </c>
      <c r="AD124" t="s">
        <v>2668</v>
      </c>
      <c r="AE124" t="s">
        <v>2669</v>
      </c>
      <c r="AF124" t="s">
        <v>74</v>
      </c>
      <c r="AG124">
        <v>63</v>
      </c>
      <c r="AH124">
        <v>25</v>
      </c>
      <c r="AI124">
        <v>28</v>
      </c>
      <c r="AJ124">
        <v>2</v>
      </c>
      <c r="AK124">
        <v>56</v>
      </c>
      <c r="AL124" t="s">
        <v>1371</v>
      </c>
      <c r="AM124" t="s">
        <v>849</v>
      </c>
      <c r="AN124" t="s">
        <v>1372</v>
      </c>
      <c r="AO124" t="s">
        <v>2648</v>
      </c>
      <c r="AP124" t="s">
        <v>74</v>
      </c>
      <c r="AQ124" t="s">
        <v>74</v>
      </c>
      <c r="AR124" t="s">
        <v>2649</v>
      </c>
      <c r="AS124" t="s">
        <v>2650</v>
      </c>
      <c r="AT124" t="s">
        <v>417</v>
      </c>
      <c r="AU124">
        <v>2014</v>
      </c>
      <c r="AV124">
        <v>5</v>
      </c>
      <c r="AW124" t="s">
        <v>74</v>
      </c>
      <c r="AX124" t="s">
        <v>74</v>
      </c>
      <c r="AY124" t="s">
        <v>74</v>
      </c>
      <c r="AZ124" t="s">
        <v>74</v>
      </c>
      <c r="BA124" t="s">
        <v>74</v>
      </c>
      <c r="BB124" t="s">
        <v>74</v>
      </c>
      <c r="BC124" t="s">
        <v>74</v>
      </c>
      <c r="BD124">
        <v>3107</v>
      </c>
      <c r="BE124" t="s">
        <v>2670</v>
      </c>
      <c r="BF124" t="str">
        <f>HYPERLINK("http://dx.doi.org/10.1038/ncomms4107","http://dx.doi.org/10.1038/ncomms4107")</f>
        <v>http://dx.doi.org/10.1038/ncomms4107</v>
      </c>
      <c r="BG124" t="s">
        <v>74</v>
      </c>
      <c r="BH124" t="s">
        <v>74</v>
      </c>
      <c r="BI124">
        <v>9</v>
      </c>
      <c r="BJ124" t="s">
        <v>2652</v>
      </c>
      <c r="BK124" t="s">
        <v>99</v>
      </c>
      <c r="BL124" t="s">
        <v>2653</v>
      </c>
      <c r="BM124" t="s">
        <v>2671</v>
      </c>
      <c r="BN124">
        <v>24452197</v>
      </c>
      <c r="BO124" t="s">
        <v>2672</v>
      </c>
      <c r="BP124" t="s">
        <v>74</v>
      </c>
      <c r="BQ124" t="s">
        <v>74</v>
      </c>
      <c r="BR124" t="s">
        <v>103</v>
      </c>
      <c r="BS124" t="s">
        <v>2673</v>
      </c>
      <c r="BT124" t="str">
        <f>HYPERLINK("https%3A%2F%2Fwww.webofscience.com%2Fwos%2Fwoscc%2Ffull-record%2FWOS:000331084400016","View Full Record in Web of Science")</f>
        <v>View Full Record in Web of Science</v>
      </c>
    </row>
    <row r="125" spans="1:72" x14ac:dyDescent="0.15">
      <c r="A125" t="s">
        <v>72</v>
      </c>
      <c r="B125" t="s">
        <v>2674</v>
      </c>
      <c r="C125" t="s">
        <v>74</v>
      </c>
      <c r="D125" t="s">
        <v>74</v>
      </c>
      <c r="E125" t="s">
        <v>74</v>
      </c>
      <c r="F125" t="s">
        <v>2675</v>
      </c>
      <c r="G125" t="s">
        <v>74</v>
      </c>
      <c r="H125" t="s">
        <v>74</v>
      </c>
      <c r="I125" t="s">
        <v>2676</v>
      </c>
      <c r="J125" t="s">
        <v>2677</v>
      </c>
      <c r="K125" t="s">
        <v>74</v>
      </c>
      <c r="L125" t="s">
        <v>74</v>
      </c>
      <c r="M125" t="s">
        <v>78</v>
      </c>
      <c r="N125" t="s">
        <v>79</v>
      </c>
      <c r="O125" t="s">
        <v>74</v>
      </c>
      <c r="P125" t="s">
        <v>74</v>
      </c>
      <c r="Q125" t="s">
        <v>74</v>
      </c>
      <c r="R125" t="s">
        <v>74</v>
      </c>
      <c r="S125" t="s">
        <v>74</v>
      </c>
      <c r="T125" t="s">
        <v>2678</v>
      </c>
      <c r="U125" t="s">
        <v>2679</v>
      </c>
      <c r="V125" t="s">
        <v>2680</v>
      </c>
      <c r="W125" t="s">
        <v>2681</v>
      </c>
      <c r="X125" t="s">
        <v>2682</v>
      </c>
      <c r="Y125" t="s">
        <v>2683</v>
      </c>
      <c r="Z125" t="s">
        <v>2684</v>
      </c>
      <c r="AA125" t="s">
        <v>2685</v>
      </c>
      <c r="AB125" t="s">
        <v>2686</v>
      </c>
      <c r="AC125" t="s">
        <v>2687</v>
      </c>
      <c r="AD125" t="s">
        <v>2688</v>
      </c>
      <c r="AE125" t="s">
        <v>2689</v>
      </c>
      <c r="AF125" t="s">
        <v>74</v>
      </c>
      <c r="AG125">
        <v>78</v>
      </c>
      <c r="AH125">
        <v>11</v>
      </c>
      <c r="AI125">
        <v>13</v>
      </c>
      <c r="AJ125">
        <v>0</v>
      </c>
      <c r="AK125">
        <v>14</v>
      </c>
      <c r="AL125" t="s">
        <v>1067</v>
      </c>
      <c r="AM125" t="s">
        <v>921</v>
      </c>
      <c r="AN125" t="s">
        <v>2690</v>
      </c>
      <c r="AO125" t="s">
        <v>2691</v>
      </c>
      <c r="AP125" t="s">
        <v>2692</v>
      </c>
      <c r="AQ125" t="s">
        <v>74</v>
      </c>
      <c r="AR125" t="s">
        <v>2677</v>
      </c>
      <c r="AS125" t="s">
        <v>2693</v>
      </c>
      <c r="AT125" t="s">
        <v>417</v>
      </c>
      <c r="AU125">
        <v>2014</v>
      </c>
      <c r="AV125">
        <v>101</v>
      </c>
      <c r="AW125">
        <v>1</v>
      </c>
      <c r="AX125" t="s">
        <v>74</v>
      </c>
      <c r="AY125" t="s">
        <v>74</v>
      </c>
      <c r="AZ125" t="s">
        <v>74</v>
      </c>
      <c r="BA125" t="s">
        <v>74</v>
      </c>
      <c r="BB125">
        <v>47</v>
      </c>
      <c r="BC125">
        <v>59</v>
      </c>
      <c r="BD125" t="s">
        <v>74</v>
      </c>
      <c r="BE125" t="s">
        <v>2694</v>
      </c>
      <c r="BF125" t="str">
        <f>HYPERLINK("http://dx.doi.org/10.1007/s00114-013-1128-0","http://dx.doi.org/10.1007/s00114-013-1128-0")</f>
        <v>http://dx.doi.org/10.1007/s00114-013-1128-0</v>
      </c>
      <c r="BG125" t="s">
        <v>74</v>
      </c>
      <c r="BH125" t="s">
        <v>74</v>
      </c>
      <c r="BI125">
        <v>13</v>
      </c>
      <c r="BJ125" t="s">
        <v>2652</v>
      </c>
      <c r="BK125" t="s">
        <v>99</v>
      </c>
      <c r="BL125" t="s">
        <v>2653</v>
      </c>
      <c r="BM125" t="s">
        <v>2695</v>
      </c>
      <c r="BN125">
        <v>24366334</v>
      </c>
      <c r="BO125" t="s">
        <v>450</v>
      </c>
      <c r="BP125" t="s">
        <v>74</v>
      </c>
      <c r="BQ125" t="s">
        <v>74</v>
      </c>
      <c r="BR125" t="s">
        <v>103</v>
      </c>
      <c r="BS125" t="s">
        <v>2696</v>
      </c>
      <c r="BT125" t="str">
        <f>HYPERLINK("https%3A%2F%2Fwww.webofscience.com%2Fwos%2Fwoscc%2Ffull-record%2FWOS:000329794200006","View Full Record in Web of Science")</f>
        <v>View Full Record in Web of Science</v>
      </c>
    </row>
    <row r="126" spans="1:72" x14ac:dyDescent="0.15">
      <c r="A126" t="s">
        <v>72</v>
      </c>
      <c r="B126" t="s">
        <v>2697</v>
      </c>
      <c r="C126" t="s">
        <v>74</v>
      </c>
      <c r="D126" t="s">
        <v>74</v>
      </c>
      <c r="E126" t="s">
        <v>74</v>
      </c>
      <c r="F126" t="s">
        <v>2698</v>
      </c>
      <c r="G126" t="s">
        <v>74</v>
      </c>
      <c r="H126" t="s">
        <v>74</v>
      </c>
      <c r="I126" t="s">
        <v>2699</v>
      </c>
      <c r="J126" t="s">
        <v>2700</v>
      </c>
      <c r="K126" t="s">
        <v>74</v>
      </c>
      <c r="L126" t="s">
        <v>74</v>
      </c>
      <c r="M126" t="s">
        <v>2701</v>
      </c>
      <c r="N126" t="s">
        <v>79</v>
      </c>
      <c r="O126" t="s">
        <v>74</v>
      </c>
      <c r="P126" t="s">
        <v>74</v>
      </c>
      <c r="Q126" t="s">
        <v>74</v>
      </c>
      <c r="R126" t="s">
        <v>74</v>
      </c>
      <c r="S126" t="s">
        <v>74</v>
      </c>
      <c r="T126" t="s">
        <v>2702</v>
      </c>
      <c r="U126" t="s">
        <v>74</v>
      </c>
      <c r="V126" t="s">
        <v>2703</v>
      </c>
      <c r="W126" t="s">
        <v>2704</v>
      </c>
      <c r="X126" t="s">
        <v>74</v>
      </c>
      <c r="Y126" t="s">
        <v>2705</v>
      </c>
      <c r="Z126" t="s">
        <v>74</v>
      </c>
      <c r="AA126" t="s">
        <v>74</v>
      </c>
      <c r="AB126" t="s">
        <v>74</v>
      </c>
      <c r="AC126" t="s">
        <v>74</v>
      </c>
      <c r="AD126" t="s">
        <v>74</v>
      </c>
      <c r="AE126" t="s">
        <v>74</v>
      </c>
      <c r="AF126" t="s">
        <v>74</v>
      </c>
      <c r="AG126">
        <v>11</v>
      </c>
      <c r="AH126">
        <v>0</v>
      </c>
      <c r="AI126">
        <v>0</v>
      </c>
      <c r="AJ126">
        <v>0</v>
      </c>
      <c r="AK126">
        <v>0</v>
      </c>
      <c r="AL126" t="s">
        <v>2706</v>
      </c>
      <c r="AM126" t="s">
        <v>2707</v>
      </c>
      <c r="AN126" t="s">
        <v>2708</v>
      </c>
      <c r="AO126" t="s">
        <v>2709</v>
      </c>
      <c r="AP126" t="s">
        <v>74</v>
      </c>
      <c r="AQ126" t="s">
        <v>74</v>
      </c>
      <c r="AR126" t="s">
        <v>2710</v>
      </c>
      <c r="AS126" t="s">
        <v>2711</v>
      </c>
      <c r="AT126" t="s">
        <v>74</v>
      </c>
      <c r="AU126">
        <v>2014</v>
      </c>
      <c r="AV126">
        <v>10</v>
      </c>
      <c r="AW126">
        <v>19</v>
      </c>
      <c r="AX126" t="s">
        <v>74</v>
      </c>
      <c r="AY126" t="s">
        <v>74</v>
      </c>
      <c r="AZ126" t="s">
        <v>74</v>
      </c>
      <c r="BA126" t="s">
        <v>74</v>
      </c>
      <c r="BB126">
        <v>11</v>
      </c>
      <c r="BC126">
        <v>18</v>
      </c>
      <c r="BD126" t="s">
        <v>74</v>
      </c>
      <c r="BE126" t="s">
        <v>74</v>
      </c>
      <c r="BF126" t="s">
        <v>74</v>
      </c>
      <c r="BG126" t="s">
        <v>74</v>
      </c>
      <c r="BH126" t="s">
        <v>74</v>
      </c>
      <c r="BI126">
        <v>8</v>
      </c>
      <c r="BJ126" t="s">
        <v>2712</v>
      </c>
      <c r="BK126" t="s">
        <v>494</v>
      </c>
      <c r="BL126" t="s">
        <v>2712</v>
      </c>
      <c r="BM126" t="s">
        <v>2713</v>
      </c>
      <c r="BN126" t="s">
        <v>74</v>
      </c>
      <c r="BO126" t="s">
        <v>74</v>
      </c>
      <c r="BP126" t="s">
        <v>74</v>
      </c>
      <c r="BQ126" t="s">
        <v>74</v>
      </c>
      <c r="BR126" t="s">
        <v>103</v>
      </c>
      <c r="BS126" t="s">
        <v>2714</v>
      </c>
      <c r="BT126" t="str">
        <f>HYPERLINK("https%3A%2F%2Fwww.webofscience.com%2Fwos%2Fwoscc%2Ffull-record%2FWOS:000409812000001","View Full Record in Web of Science")</f>
        <v>View Full Record in Web of Science</v>
      </c>
    </row>
    <row r="127" spans="1:72" x14ac:dyDescent="0.15">
      <c r="A127" t="s">
        <v>72</v>
      </c>
      <c r="B127" t="s">
        <v>2715</v>
      </c>
      <c r="C127" t="s">
        <v>74</v>
      </c>
      <c r="D127" t="s">
        <v>74</v>
      </c>
      <c r="E127" t="s">
        <v>74</v>
      </c>
      <c r="F127" t="s">
        <v>2716</v>
      </c>
      <c r="G127" t="s">
        <v>74</v>
      </c>
      <c r="H127" t="s">
        <v>74</v>
      </c>
      <c r="I127" t="s">
        <v>2717</v>
      </c>
      <c r="J127" t="s">
        <v>2718</v>
      </c>
      <c r="K127" t="s">
        <v>74</v>
      </c>
      <c r="L127" t="s">
        <v>74</v>
      </c>
      <c r="M127" t="s">
        <v>78</v>
      </c>
      <c r="N127" t="s">
        <v>79</v>
      </c>
      <c r="O127" t="s">
        <v>74</v>
      </c>
      <c r="P127" t="s">
        <v>74</v>
      </c>
      <c r="Q127" t="s">
        <v>74</v>
      </c>
      <c r="R127" t="s">
        <v>74</v>
      </c>
      <c r="S127" t="s">
        <v>74</v>
      </c>
      <c r="T127" t="s">
        <v>2719</v>
      </c>
      <c r="U127" t="s">
        <v>2720</v>
      </c>
      <c r="V127" t="s">
        <v>2721</v>
      </c>
      <c r="W127" t="s">
        <v>2722</v>
      </c>
      <c r="X127" t="s">
        <v>2723</v>
      </c>
      <c r="Y127" t="s">
        <v>2724</v>
      </c>
      <c r="Z127" t="s">
        <v>2725</v>
      </c>
      <c r="AA127" t="s">
        <v>2726</v>
      </c>
      <c r="AB127" t="s">
        <v>2727</v>
      </c>
      <c r="AC127" t="s">
        <v>74</v>
      </c>
      <c r="AD127" t="s">
        <v>74</v>
      </c>
      <c r="AE127" t="s">
        <v>74</v>
      </c>
      <c r="AF127" t="s">
        <v>74</v>
      </c>
      <c r="AG127">
        <v>45</v>
      </c>
      <c r="AH127">
        <v>29</v>
      </c>
      <c r="AI127">
        <v>33</v>
      </c>
      <c r="AJ127">
        <v>0</v>
      </c>
      <c r="AK127">
        <v>52</v>
      </c>
      <c r="AL127" t="s">
        <v>2728</v>
      </c>
      <c r="AM127" t="s">
        <v>2729</v>
      </c>
      <c r="AN127" t="s">
        <v>2730</v>
      </c>
      <c r="AO127" t="s">
        <v>2731</v>
      </c>
      <c r="AP127" t="s">
        <v>2732</v>
      </c>
      <c r="AQ127" t="s">
        <v>74</v>
      </c>
      <c r="AR127" t="s">
        <v>2733</v>
      </c>
      <c r="AS127" t="s">
        <v>2734</v>
      </c>
      <c r="AT127" t="s">
        <v>74</v>
      </c>
      <c r="AU127">
        <v>2014</v>
      </c>
      <c r="AV127">
        <v>38</v>
      </c>
      <c r="AW127">
        <v>2</v>
      </c>
      <c r="AX127" t="s">
        <v>74</v>
      </c>
      <c r="AY127" t="s">
        <v>74</v>
      </c>
      <c r="AZ127" t="s">
        <v>74</v>
      </c>
      <c r="BA127" t="s">
        <v>74</v>
      </c>
      <c r="BB127">
        <v>307</v>
      </c>
      <c r="BC127">
        <v>314</v>
      </c>
      <c r="BD127" t="s">
        <v>74</v>
      </c>
      <c r="BE127" t="s">
        <v>74</v>
      </c>
      <c r="BF127" t="s">
        <v>74</v>
      </c>
      <c r="BG127" t="s">
        <v>74</v>
      </c>
      <c r="BH127" t="s">
        <v>74</v>
      </c>
      <c r="BI127">
        <v>8</v>
      </c>
      <c r="BJ127" t="s">
        <v>419</v>
      </c>
      <c r="BK127" t="s">
        <v>99</v>
      </c>
      <c r="BL127" t="s">
        <v>420</v>
      </c>
      <c r="BM127" t="s">
        <v>2735</v>
      </c>
      <c r="BN127" t="s">
        <v>74</v>
      </c>
      <c r="BO127" t="s">
        <v>74</v>
      </c>
      <c r="BP127" t="s">
        <v>74</v>
      </c>
      <c r="BQ127" t="s">
        <v>74</v>
      </c>
      <c r="BR127" t="s">
        <v>103</v>
      </c>
      <c r="BS127" t="s">
        <v>2736</v>
      </c>
      <c r="BT127" t="str">
        <f>HYPERLINK("https%3A%2F%2Fwww.webofscience.com%2Fwos%2Fwoscc%2Ffull-record%2FWOS:000339134100014","View Full Record in Web of Science")</f>
        <v>View Full Record in Web of Science</v>
      </c>
    </row>
    <row r="128" spans="1:72" x14ac:dyDescent="0.15">
      <c r="A128" t="s">
        <v>72</v>
      </c>
      <c r="B128" t="s">
        <v>2737</v>
      </c>
      <c r="C128" t="s">
        <v>74</v>
      </c>
      <c r="D128" t="s">
        <v>74</v>
      </c>
      <c r="E128" t="s">
        <v>74</v>
      </c>
      <c r="F128" t="s">
        <v>2738</v>
      </c>
      <c r="G128" t="s">
        <v>74</v>
      </c>
      <c r="H128" t="s">
        <v>74</v>
      </c>
      <c r="I128" t="s">
        <v>2739</v>
      </c>
      <c r="J128" t="s">
        <v>2740</v>
      </c>
      <c r="K128" t="s">
        <v>74</v>
      </c>
      <c r="L128" t="s">
        <v>74</v>
      </c>
      <c r="M128" t="s">
        <v>78</v>
      </c>
      <c r="N128" t="s">
        <v>79</v>
      </c>
      <c r="O128" t="s">
        <v>74</v>
      </c>
      <c r="P128" t="s">
        <v>74</v>
      </c>
      <c r="Q128" t="s">
        <v>74</v>
      </c>
      <c r="R128" t="s">
        <v>74</v>
      </c>
      <c r="S128" t="s">
        <v>74</v>
      </c>
      <c r="T128" t="s">
        <v>2741</v>
      </c>
      <c r="U128" t="s">
        <v>2742</v>
      </c>
      <c r="V128" t="s">
        <v>2743</v>
      </c>
      <c r="W128" t="s">
        <v>2744</v>
      </c>
      <c r="X128" t="s">
        <v>74</v>
      </c>
      <c r="Y128" t="s">
        <v>2745</v>
      </c>
      <c r="Z128" t="s">
        <v>2746</v>
      </c>
      <c r="AA128" t="s">
        <v>2747</v>
      </c>
      <c r="AB128" t="s">
        <v>2748</v>
      </c>
      <c r="AC128" t="s">
        <v>2749</v>
      </c>
      <c r="AD128" t="s">
        <v>2750</v>
      </c>
      <c r="AE128" t="s">
        <v>2751</v>
      </c>
      <c r="AF128" t="s">
        <v>74</v>
      </c>
      <c r="AG128">
        <v>40</v>
      </c>
      <c r="AH128">
        <v>7</v>
      </c>
      <c r="AI128">
        <v>7</v>
      </c>
      <c r="AJ128">
        <v>1</v>
      </c>
      <c r="AK128">
        <v>26</v>
      </c>
      <c r="AL128" t="s">
        <v>276</v>
      </c>
      <c r="AM128" t="s">
        <v>277</v>
      </c>
      <c r="AN128" t="s">
        <v>2752</v>
      </c>
      <c r="AO128" t="s">
        <v>2753</v>
      </c>
      <c r="AP128" t="s">
        <v>2754</v>
      </c>
      <c r="AQ128" t="s">
        <v>74</v>
      </c>
      <c r="AR128" t="s">
        <v>2755</v>
      </c>
      <c r="AS128" t="s">
        <v>2756</v>
      </c>
      <c r="AT128" t="s">
        <v>74</v>
      </c>
      <c r="AU128">
        <v>2014</v>
      </c>
      <c r="AV128">
        <v>41</v>
      </c>
      <c r="AW128">
        <v>3</v>
      </c>
      <c r="AX128" t="s">
        <v>74</v>
      </c>
      <c r="AY128" t="s">
        <v>74</v>
      </c>
      <c r="AZ128" t="s">
        <v>74</v>
      </c>
      <c r="BA128" t="s">
        <v>74</v>
      </c>
      <c r="BB128">
        <v>161</v>
      </c>
      <c r="BC128">
        <v>170</v>
      </c>
      <c r="BD128" t="s">
        <v>74</v>
      </c>
      <c r="BE128" t="s">
        <v>2757</v>
      </c>
      <c r="BF128" t="str">
        <f>HYPERLINK("http://dx.doi.org/10.1080/03014223.2014.908931","http://dx.doi.org/10.1080/03014223.2014.908931")</f>
        <v>http://dx.doi.org/10.1080/03014223.2014.908931</v>
      </c>
      <c r="BG128" t="s">
        <v>74</v>
      </c>
      <c r="BH128" t="s">
        <v>74</v>
      </c>
      <c r="BI128">
        <v>10</v>
      </c>
      <c r="BJ128" t="s">
        <v>448</v>
      </c>
      <c r="BK128" t="s">
        <v>99</v>
      </c>
      <c r="BL128" t="s">
        <v>448</v>
      </c>
      <c r="BM128" t="s">
        <v>2758</v>
      </c>
      <c r="BN128" t="s">
        <v>74</v>
      </c>
      <c r="BO128" t="s">
        <v>74</v>
      </c>
      <c r="BP128" t="s">
        <v>74</v>
      </c>
      <c r="BQ128" t="s">
        <v>74</v>
      </c>
      <c r="BR128" t="s">
        <v>103</v>
      </c>
      <c r="BS128" t="s">
        <v>2759</v>
      </c>
      <c r="BT128" t="str">
        <f>HYPERLINK("https%3A%2F%2Fwww.webofscience.com%2Fwos%2Fwoscc%2Ffull-record%2FWOS:000342320300002","View Full Record in Web of Science")</f>
        <v>View Full Record in Web of Science</v>
      </c>
    </row>
    <row r="129" spans="1:72" x14ac:dyDescent="0.15">
      <c r="A129" t="s">
        <v>881</v>
      </c>
      <c r="B129" t="s">
        <v>2760</v>
      </c>
      <c r="C129" t="s">
        <v>74</v>
      </c>
      <c r="D129" t="s">
        <v>2761</v>
      </c>
      <c r="E129" t="s">
        <v>74</v>
      </c>
      <c r="F129" t="s">
        <v>2762</v>
      </c>
      <c r="G129" t="s">
        <v>74</v>
      </c>
      <c r="H129" t="s">
        <v>74</v>
      </c>
      <c r="I129" t="s">
        <v>2763</v>
      </c>
      <c r="J129" t="s">
        <v>2764</v>
      </c>
      <c r="K129" t="s">
        <v>1103</v>
      </c>
      <c r="L129" t="s">
        <v>74</v>
      </c>
      <c r="M129" t="s">
        <v>78</v>
      </c>
      <c r="N129" t="s">
        <v>888</v>
      </c>
      <c r="O129" t="s">
        <v>2765</v>
      </c>
      <c r="P129" t="s">
        <v>2766</v>
      </c>
      <c r="Q129" t="s">
        <v>1106</v>
      </c>
      <c r="R129" t="s">
        <v>74</v>
      </c>
      <c r="S129" t="s">
        <v>74</v>
      </c>
      <c r="T129" t="s">
        <v>2767</v>
      </c>
      <c r="U129" t="s">
        <v>74</v>
      </c>
      <c r="V129" t="s">
        <v>2768</v>
      </c>
      <c r="W129" t="s">
        <v>2769</v>
      </c>
      <c r="X129" t="s">
        <v>2770</v>
      </c>
      <c r="Y129" t="s">
        <v>2771</v>
      </c>
      <c r="Z129" t="s">
        <v>2772</v>
      </c>
      <c r="AA129" t="s">
        <v>2773</v>
      </c>
      <c r="AB129" t="s">
        <v>2774</v>
      </c>
      <c r="AC129" t="s">
        <v>2775</v>
      </c>
      <c r="AD129" t="s">
        <v>2776</v>
      </c>
      <c r="AE129" t="s">
        <v>2777</v>
      </c>
      <c r="AF129" t="s">
        <v>74</v>
      </c>
      <c r="AG129">
        <v>8</v>
      </c>
      <c r="AH129">
        <v>7</v>
      </c>
      <c r="AI129">
        <v>7</v>
      </c>
      <c r="AJ129">
        <v>2</v>
      </c>
      <c r="AK129">
        <v>7</v>
      </c>
      <c r="AL129" t="s">
        <v>1114</v>
      </c>
      <c r="AM129" t="s">
        <v>1115</v>
      </c>
      <c r="AN129" t="s">
        <v>1116</v>
      </c>
      <c r="AO129" t="s">
        <v>1117</v>
      </c>
      <c r="AP129" t="s">
        <v>2778</v>
      </c>
      <c r="AQ129" t="s">
        <v>2779</v>
      </c>
      <c r="AR129" t="s">
        <v>1119</v>
      </c>
      <c r="AS129" t="s">
        <v>74</v>
      </c>
      <c r="AT129" t="s">
        <v>74</v>
      </c>
      <c r="AU129">
        <v>2014</v>
      </c>
      <c r="AV129">
        <v>9149</v>
      </c>
      <c r="AW129" t="s">
        <v>74</v>
      </c>
      <c r="AX129" t="s">
        <v>74</v>
      </c>
      <c r="AY129" t="s">
        <v>74</v>
      </c>
      <c r="AZ129" t="s">
        <v>74</v>
      </c>
      <c r="BA129" t="s">
        <v>74</v>
      </c>
      <c r="BB129" t="s">
        <v>74</v>
      </c>
      <c r="BC129" t="s">
        <v>74</v>
      </c>
      <c r="BD129" t="s">
        <v>2780</v>
      </c>
      <c r="BE129" t="s">
        <v>2781</v>
      </c>
      <c r="BF129" t="str">
        <f>HYPERLINK("http://dx.doi.org/10.1117/12.2055459","http://dx.doi.org/10.1117/12.2055459")</f>
        <v>http://dx.doi.org/10.1117/12.2055459</v>
      </c>
      <c r="BG129" t="s">
        <v>74</v>
      </c>
      <c r="BH129" t="s">
        <v>74</v>
      </c>
      <c r="BI129">
        <v>7</v>
      </c>
      <c r="BJ129" t="s">
        <v>2782</v>
      </c>
      <c r="BK129" t="s">
        <v>905</v>
      </c>
      <c r="BL129" t="s">
        <v>2783</v>
      </c>
      <c r="BM129" t="s">
        <v>2784</v>
      </c>
      <c r="BN129" t="s">
        <v>74</v>
      </c>
      <c r="BO129" t="s">
        <v>1145</v>
      </c>
      <c r="BP129" t="s">
        <v>74</v>
      </c>
      <c r="BQ129" t="s">
        <v>74</v>
      </c>
      <c r="BR129" t="s">
        <v>103</v>
      </c>
      <c r="BS129" t="s">
        <v>2785</v>
      </c>
      <c r="BT129" t="str">
        <f>HYPERLINK("https%3A%2F%2Fwww.webofscience.com%2Fwos%2Fwoscc%2Ffull-record%2FWOS:000343092000081","View Full Record in Web of Science")</f>
        <v>View Full Record in Web of Science</v>
      </c>
    </row>
    <row r="130" spans="1:72" x14ac:dyDescent="0.15">
      <c r="A130" t="s">
        <v>1053</v>
      </c>
      <c r="B130" t="s">
        <v>2786</v>
      </c>
      <c r="C130" t="s">
        <v>74</v>
      </c>
      <c r="D130" t="s">
        <v>2787</v>
      </c>
      <c r="E130" t="s">
        <v>74</v>
      </c>
      <c r="F130" t="s">
        <v>2788</v>
      </c>
      <c r="G130" t="s">
        <v>74</v>
      </c>
      <c r="H130" t="s">
        <v>74</v>
      </c>
      <c r="I130" t="s">
        <v>2789</v>
      </c>
      <c r="J130" t="s">
        <v>2790</v>
      </c>
      <c r="K130" t="s">
        <v>1059</v>
      </c>
      <c r="L130" t="s">
        <v>74</v>
      </c>
      <c r="M130" t="s">
        <v>78</v>
      </c>
      <c r="N130" t="s">
        <v>244</v>
      </c>
      <c r="O130" t="s">
        <v>74</v>
      </c>
      <c r="P130" t="s">
        <v>74</v>
      </c>
      <c r="Q130" t="s">
        <v>74</v>
      </c>
      <c r="R130" t="s">
        <v>74</v>
      </c>
      <c r="S130" t="s">
        <v>74</v>
      </c>
      <c r="T130" t="s">
        <v>74</v>
      </c>
      <c r="U130" t="s">
        <v>2791</v>
      </c>
      <c r="V130" t="s">
        <v>2792</v>
      </c>
      <c r="W130" t="s">
        <v>2793</v>
      </c>
      <c r="X130" t="s">
        <v>2794</v>
      </c>
      <c r="Y130" t="s">
        <v>2795</v>
      </c>
      <c r="Z130" t="s">
        <v>2796</v>
      </c>
      <c r="AA130" t="s">
        <v>2797</v>
      </c>
      <c r="AB130" t="s">
        <v>2798</v>
      </c>
      <c r="AC130" t="s">
        <v>74</v>
      </c>
      <c r="AD130" t="s">
        <v>74</v>
      </c>
      <c r="AE130" t="s">
        <v>74</v>
      </c>
      <c r="AF130" t="s">
        <v>74</v>
      </c>
      <c r="AG130">
        <v>545</v>
      </c>
      <c r="AH130">
        <v>26</v>
      </c>
      <c r="AI130">
        <v>27</v>
      </c>
      <c r="AJ130">
        <v>3</v>
      </c>
      <c r="AK130">
        <v>15</v>
      </c>
      <c r="AL130" t="s">
        <v>2799</v>
      </c>
      <c r="AM130" t="s">
        <v>2800</v>
      </c>
      <c r="AN130" t="s">
        <v>2801</v>
      </c>
      <c r="AO130" t="s">
        <v>1070</v>
      </c>
      <c r="AP130" t="s">
        <v>2802</v>
      </c>
      <c r="AQ130" t="s">
        <v>2803</v>
      </c>
      <c r="AR130" t="s">
        <v>1072</v>
      </c>
      <c r="AS130" t="s">
        <v>74</v>
      </c>
      <c r="AT130" t="s">
        <v>74</v>
      </c>
      <c r="AU130">
        <v>2014</v>
      </c>
      <c r="AV130" t="s">
        <v>74</v>
      </c>
      <c r="AW130" t="s">
        <v>74</v>
      </c>
      <c r="AX130" t="s">
        <v>74</v>
      </c>
      <c r="AY130" t="s">
        <v>74</v>
      </c>
      <c r="AZ130" t="s">
        <v>74</v>
      </c>
      <c r="BA130" t="s">
        <v>74</v>
      </c>
      <c r="BB130">
        <v>171</v>
      </c>
      <c r="BC130">
        <v>246</v>
      </c>
      <c r="BD130" t="s">
        <v>74</v>
      </c>
      <c r="BE130" t="s">
        <v>2804</v>
      </c>
      <c r="BF130" t="str">
        <f>HYPERLINK("http://dx.doi.org/10.1007/978-3-642-25643-1_4","http://dx.doi.org/10.1007/978-3-642-25643-1_4")</f>
        <v>http://dx.doi.org/10.1007/978-3-642-25643-1_4</v>
      </c>
      <c r="BG130" t="s">
        <v>2805</v>
      </c>
      <c r="BH130" t="s">
        <v>74</v>
      </c>
      <c r="BI130">
        <v>76</v>
      </c>
      <c r="BJ130" t="s">
        <v>2806</v>
      </c>
      <c r="BK130" t="s">
        <v>632</v>
      </c>
      <c r="BL130" t="s">
        <v>2807</v>
      </c>
      <c r="BM130" t="s">
        <v>2808</v>
      </c>
      <c r="BN130" t="s">
        <v>74</v>
      </c>
      <c r="BO130" t="s">
        <v>2809</v>
      </c>
      <c r="BP130" t="s">
        <v>74</v>
      </c>
      <c r="BQ130" t="s">
        <v>74</v>
      </c>
      <c r="BR130" t="s">
        <v>103</v>
      </c>
      <c r="BS130" t="s">
        <v>2810</v>
      </c>
      <c r="BT130" t="str">
        <f>HYPERLINK("https%3A%2F%2Fwww.webofscience.com%2Fwos%2Fwoscc%2Ffull-record%2FWOS:000460678000005","View Full Record in Web of Science")</f>
        <v>View Full Record in Web of Science</v>
      </c>
    </row>
    <row r="131" spans="1:72" x14ac:dyDescent="0.15">
      <c r="A131" t="s">
        <v>1053</v>
      </c>
      <c r="B131" t="s">
        <v>2811</v>
      </c>
      <c r="C131" t="s">
        <v>74</v>
      </c>
      <c r="D131" t="s">
        <v>2787</v>
      </c>
      <c r="E131" t="s">
        <v>74</v>
      </c>
      <c r="F131" t="s">
        <v>2812</v>
      </c>
      <c r="G131" t="s">
        <v>74</v>
      </c>
      <c r="H131" t="s">
        <v>74</v>
      </c>
      <c r="I131" t="s">
        <v>2813</v>
      </c>
      <c r="J131" t="s">
        <v>2790</v>
      </c>
      <c r="K131" t="s">
        <v>1059</v>
      </c>
      <c r="L131" t="s">
        <v>74</v>
      </c>
      <c r="M131" t="s">
        <v>78</v>
      </c>
      <c r="N131" t="s">
        <v>244</v>
      </c>
      <c r="O131" t="s">
        <v>74</v>
      </c>
      <c r="P131" t="s">
        <v>74</v>
      </c>
      <c r="Q131" t="s">
        <v>74</v>
      </c>
      <c r="R131" t="s">
        <v>74</v>
      </c>
      <c r="S131" t="s">
        <v>74</v>
      </c>
      <c r="T131" t="s">
        <v>74</v>
      </c>
      <c r="U131" t="s">
        <v>2814</v>
      </c>
      <c r="V131" t="s">
        <v>2815</v>
      </c>
      <c r="W131" t="s">
        <v>2816</v>
      </c>
      <c r="X131" t="s">
        <v>2817</v>
      </c>
      <c r="Y131" t="s">
        <v>2818</v>
      </c>
      <c r="Z131" t="s">
        <v>2819</v>
      </c>
      <c r="AA131" t="s">
        <v>2820</v>
      </c>
      <c r="AB131" t="s">
        <v>2821</v>
      </c>
      <c r="AC131" t="s">
        <v>2822</v>
      </c>
      <c r="AD131" t="s">
        <v>2823</v>
      </c>
      <c r="AE131" t="s">
        <v>74</v>
      </c>
      <c r="AF131" t="s">
        <v>74</v>
      </c>
      <c r="AG131">
        <v>333</v>
      </c>
      <c r="AH131">
        <v>3</v>
      </c>
      <c r="AI131">
        <v>4</v>
      </c>
      <c r="AJ131">
        <v>2</v>
      </c>
      <c r="AK131">
        <v>3</v>
      </c>
      <c r="AL131" t="s">
        <v>2799</v>
      </c>
      <c r="AM131" t="s">
        <v>2800</v>
      </c>
      <c r="AN131" t="s">
        <v>2801</v>
      </c>
      <c r="AO131" t="s">
        <v>1070</v>
      </c>
      <c r="AP131" t="s">
        <v>2802</v>
      </c>
      <c r="AQ131" t="s">
        <v>2803</v>
      </c>
      <c r="AR131" t="s">
        <v>1072</v>
      </c>
      <c r="AS131" t="s">
        <v>74</v>
      </c>
      <c r="AT131" t="s">
        <v>74</v>
      </c>
      <c r="AU131">
        <v>2014</v>
      </c>
      <c r="AV131" t="s">
        <v>74</v>
      </c>
      <c r="AW131" t="s">
        <v>74</v>
      </c>
      <c r="AX131" t="s">
        <v>74</v>
      </c>
      <c r="AY131" t="s">
        <v>74</v>
      </c>
      <c r="AZ131" t="s">
        <v>74</v>
      </c>
      <c r="BA131" t="s">
        <v>74</v>
      </c>
      <c r="BB131">
        <v>247</v>
      </c>
      <c r="BC131">
        <v>306</v>
      </c>
      <c r="BD131" t="s">
        <v>74</v>
      </c>
      <c r="BE131" t="s">
        <v>2824</v>
      </c>
      <c r="BF131" t="str">
        <f>HYPERLINK("http://dx.doi.org/10.1007/978-3-642-25643-1_5","http://dx.doi.org/10.1007/978-3-642-25643-1_5")</f>
        <v>http://dx.doi.org/10.1007/978-3-642-25643-1_5</v>
      </c>
      <c r="BG131" t="s">
        <v>2805</v>
      </c>
      <c r="BH131" t="s">
        <v>74</v>
      </c>
      <c r="BI131">
        <v>60</v>
      </c>
      <c r="BJ131" t="s">
        <v>2806</v>
      </c>
      <c r="BK131" t="s">
        <v>632</v>
      </c>
      <c r="BL131" t="s">
        <v>2807</v>
      </c>
      <c r="BM131" t="s">
        <v>2808</v>
      </c>
      <c r="BN131" t="s">
        <v>74</v>
      </c>
      <c r="BO131" t="s">
        <v>1854</v>
      </c>
      <c r="BP131" t="s">
        <v>74</v>
      </c>
      <c r="BQ131" t="s">
        <v>74</v>
      </c>
      <c r="BR131" t="s">
        <v>103</v>
      </c>
      <c r="BS131" t="s">
        <v>2825</v>
      </c>
      <c r="BT131" t="str">
        <f>HYPERLINK("https%3A%2F%2Fwww.webofscience.com%2Fwos%2Fwoscc%2Ffull-record%2FWOS:000460678000006","View Full Record in Web of Science")</f>
        <v>View Full Record in Web of Science</v>
      </c>
    </row>
    <row r="132" spans="1:72" x14ac:dyDescent="0.15">
      <c r="A132" t="s">
        <v>72</v>
      </c>
      <c r="B132" t="s">
        <v>2826</v>
      </c>
      <c r="C132" t="s">
        <v>74</v>
      </c>
      <c r="D132" t="s">
        <v>74</v>
      </c>
      <c r="E132" t="s">
        <v>74</v>
      </c>
      <c r="F132" t="s">
        <v>2827</v>
      </c>
      <c r="G132" t="s">
        <v>74</v>
      </c>
      <c r="H132" t="s">
        <v>74</v>
      </c>
      <c r="I132" t="s">
        <v>2828</v>
      </c>
      <c r="J132" t="s">
        <v>2829</v>
      </c>
      <c r="K132" t="s">
        <v>74</v>
      </c>
      <c r="L132" t="s">
        <v>74</v>
      </c>
      <c r="M132" t="s">
        <v>78</v>
      </c>
      <c r="N132" t="s">
        <v>2830</v>
      </c>
      <c r="O132" t="s">
        <v>74</v>
      </c>
      <c r="P132" t="s">
        <v>74</v>
      </c>
      <c r="Q132" t="s">
        <v>74</v>
      </c>
      <c r="R132" t="s">
        <v>74</v>
      </c>
      <c r="S132" t="s">
        <v>74</v>
      </c>
      <c r="T132" t="s">
        <v>74</v>
      </c>
      <c r="U132" t="s">
        <v>74</v>
      </c>
      <c r="V132" t="s">
        <v>2831</v>
      </c>
      <c r="W132" t="s">
        <v>2832</v>
      </c>
      <c r="X132" t="s">
        <v>2833</v>
      </c>
      <c r="Y132" t="s">
        <v>2834</v>
      </c>
      <c r="Z132" t="s">
        <v>2835</v>
      </c>
      <c r="AA132" t="s">
        <v>74</v>
      </c>
      <c r="AB132" t="s">
        <v>74</v>
      </c>
      <c r="AC132" t="s">
        <v>74</v>
      </c>
      <c r="AD132" t="s">
        <v>74</v>
      </c>
      <c r="AE132" t="s">
        <v>74</v>
      </c>
      <c r="AF132" t="s">
        <v>74</v>
      </c>
      <c r="AG132">
        <v>4</v>
      </c>
      <c r="AH132">
        <v>6</v>
      </c>
      <c r="AI132">
        <v>6</v>
      </c>
      <c r="AJ132">
        <v>0</v>
      </c>
      <c r="AK132">
        <v>4</v>
      </c>
      <c r="AL132" t="s">
        <v>783</v>
      </c>
      <c r="AM132" t="s">
        <v>252</v>
      </c>
      <c r="AN132" t="s">
        <v>784</v>
      </c>
      <c r="AO132" t="s">
        <v>2836</v>
      </c>
      <c r="AP132" t="s">
        <v>2837</v>
      </c>
      <c r="AQ132" t="s">
        <v>74</v>
      </c>
      <c r="AR132" t="s">
        <v>2838</v>
      </c>
      <c r="AS132" t="s">
        <v>2839</v>
      </c>
      <c r="AT132" t="s">
        <v>417</v>
      </c>
      <c r="AU132">
        <v>2014</v>
      </c>
      <c r="AV132">
        <v>87</v>
      </c>
      <c r="AW132" t="s">
        <v>74</v>
      </c>
      <c r="AX132" t="s">
        <v>74</v>
      </c>
      <c r="AY132" t="s">
        <v>74</v>
      </c>
      <c r="AZ132" t="s">
        <v>74</v>
      </c>
      <c r="BA132" t="s">
        <v>74</v>
      </c>
      <c r="BB132">
        <v>114</v>
      </c>
      <c r="BC132">
        <v>115</v>
      </c>
      <c r="BD132" t="s">
        <v>74</v>
      </c>
      <c r="BE132" t="s">
        <v>2840</v>
      </c>
      <c r="BF132" t="str">
        <f>HYPERLINK("http://dx.doi.org/10.1016/j.ocecoaman.2013.10.023","http://dx.doi.org/10.1016/j.ocecoaman.2013.10.023")</f>
        <v>http://dx.doi.org/10.1016/j.ocecoaman.2013.10.023</v>
      </c>
      <c r="BG132" t="s">
        <v>74</v>
      </c>
      <c r="BH132" t="s">
        <v>74</v>
      </c>
      <c r="BI132">
        <v>2</v>
      </c>
      <c r="BJ132" t="s">
        <v>2841</v>
      </c>
      <c r="BK132" t="s">
        <v>99</v>
      </c>
      <c r="BL132" t="s">
        <v>2841</v>
      </c>
      <c r="BM132" t="s">
        <v>2842</v>
      </c>
      <c r="BN132" t="s">
        <v>74</v>
      </c>
      <c r="BO132" t="s">
        <v>74</v>
      </c>
      <c r="BP132" t="s">
        <v>74</v>
      </c>
      <c r="BQ132" t="s">
        <v>74</v>
      </c>
      <c r="BR132" t="s">
        <v>103</v>
      </c>
      <c r="BS132" t="s">
        <v>2843</v>
      </c>
      <c r="BT132" t="str">
        <f>HYPERLINK("https%3A%2F%2Fwww.webofscience.com%2Fwos%2Fwoscc%2Ffull-record%2FWOS:000331414800013","View Full Record in Web of Science")</f>
        <v>View Full Record in Web of Science</v>
      </c>
    </row>
    <row r="133" spans="1:72" x14ac:dyDescent="0.15">
      <c r="A133" t="s">
        <v>72</v>
      </c>
      <c r="B133" t="s">
        <v>2844</v>
      </c>
      <c r="C133" t="s">
        <v>74</v>
      </c>
      <c r="D133" t="s">
        <v>74</v>
      </c>
      <c r="E133" t="s">
        <v>74</v>
      </c>
      <c r="F133" t="s">
        <v>2845</v>
      </c>
      <c r="G133" t="s">
        <v>74</v>
      </c>
      <c r="H133" t="s">
        <v>74</v>
      </c>
      <c r="I133" t="s">
        <v>2846</v>
      </c>
      <c r="J133" t="s">
        <v>2847</v>
      </c>
      <c r="K133" t="s">
        <v>74</v>
      </c>
      <c r="L133" t="s">
        <v>74</v>
      </c>
      <c r="M133" t="s">
        <v>78</v>
      </c>
      <c r="N133" t="s">
        <v>79</v>
      </c>
      <c r="O133" t="s">
        <v>74</v>
      </c>
      <c r="P133" t="s">
        <v>74</v>
      </c>
      <c r="Q133" t="s">
        <v>74</v>
      </c>
      <c r="R133" t="s">
        <v>74</v>
      </c>
      <c r="S133" t="s">
        <v>74</v>
      </c>
      <c r="T133" t="s">
        <v>74</v>
      </c>
      <c r="U133" t="s">
        <v>2848</v>
      </c>
      <c r="V133" t="s">
        <v>2849</v>
      </c>
      <c r="W133" t="s">
        <v>2850</v>
      </c>
      <c r="X133" t="s">
        <v>2851</v>
      </c>
      <c r="Y133" t="s">
        <v>2852</v>
      </c>
      <c r="Z133" t="s">
        <v>2853</v>
      </c>
      <c r="AA133" t="s">
        <v>2854</v>
      </c>
      <c r="AB133" t="s">
        <v>2855</v>
      </c>
      <c r="AC133" t="s">
        <v>2856</v>
      </c>
      <c r="AD133" t="s">
        <v>2857</v>
      </c>
      <c r="AE133" t="s">
        <v>2858</v>
      </c>
      <c r="AF133" t="s">
        <v>74</v>
      </c>
      <c r="AG133">
        <v>53</v>
      </c>
      <c r="AH133">
        <v>29</v>
      </c>
      <c r="AI133">
        <v>35</v>
      </c>
      <c r="AJ133">
        <v>0</v>
      </c>
      <c r="AK133">
        <v>22</v>
      </c>
      <c r="AL133" t="s">
        <v>91</v>
      </c>
      <c r="AM133" t="s">
        <v>92</v>
      </c>
      <c r="AN133" t="s">
        <v>93</v>
      </c>
      <c r="AO133" t="s">
        <v>2859</v>
      </c>
      <c r="AP133" t="s">
        <v>74</v>
      </c>
      <c r="AQ133" t="s">
        <v>74</v>
      </c>
      <c r="AR133" t="s">
        <v>2860</v>
      </c>
      <c r="AS133" t="s">
        <v>2861</v>
      </c>
      <c r="AT133" t="s">
        <v>74</v>
      </c>
      <c r="AU133">
        <v>2014</v>
      </c>
      <c r="AV133">
        <v>10</v>
      </c>
      <c r="AW133">
        <v>1</v>
      </c>
      <c r="AX133" t="s">
        <v>74</v>
      </c>
      <c r="AY133" t="s">
        <v>74</v>
      </c>
      <c r="AZ133" t="s">
        <v>74</v>
      </c>
      <c r="BA133" t="s">
        <v>74</v>
      </c>
      <c r="BB133">
        <v>141</v>
      </c>
      <c r="BC133">
        <v>154</v>
      </c>
      <c r="BD133" t="s">
        <v>74</v>
      </c>
      <c r="BE133" t="s">
        <v>2862</v>
      </c>
      <c r="BF133" t="str">
        <f>HYPERLINK("http://dx.doi.org/10.5194/os-10-141-2014","http://dx.doi.org/10.5194/os-10-141-2014")</f>
        <v>http://dx.doi.org/10.5194/os-10-141-2014</v>
      </c>
      <c r="BG133" t="s">
        <v>74</v>
      </c>
      <c r="BH133" t="s">
        <v>74</v>
      </c>
      <c r="BI133">
        <v>14</v>
      </c>
      <c r="BJ133" t="s">
        <v>2863</v>
      </c>
      <c r="BK133" t="s">
        <v>99</v>
      </c>
      <c r="BL133" t="s">
        <v>2863</v>
      </c>
      <c r="BM133" t="s">
        <v>2864</v>
      </c>
      <c r="BN133" t="s">
        <v>74</v>
      </c>
      <c r="BO133" t="s">
        <v>102</v>
      </c>
      <c r="BP133" t="s">
        <v>74</v>
      </c>
      <c r="BQ133" t="s">
        <v>74</v>
      </c>
      <c r="BR133" t="s">
        <v>103</v>
      </c>
      <c r="BS133" t="s">
        <v>2865</v>
      </c>
      <c r="BT133" t="str">
        <f>HYPERLINK("https%3A%2F%2Fwww.webofscience.com%2Fwos%2Fwoscc%2Ffull-record%2FWOS:000332316200011","View Full Record in Web of Science")</f>
        <v>View Full Record in Web of Science</v>
      </c>
    </row>
    <row r="134" spans="1:72" x14ac:dyDescent="0.15">
      <c r="A134" t="s">
        <v>72</v>
      </c>
      <c r="B134" t="s">
        <v>2866</v>
      </c>
      <c r="C134" t="s">
        <v>74</v>
      </c>
      <c r="D134" t="s">
        <v>74</v>
      </c>
      <c r="E134" t="s">
        <v>74</v>
      </c>
      <c r="F134" t="s">
        <v>2867</v>
      </c>
      <c r="G134" t="s">
        <v>74</v>
      </c>
      <c r="H134" t="s">
        <v>74</v>
      </c>
      <c r="I134" t="s">
        <v>2868</v>
      </c>
      <c r="J134" t="s">
        <v>2847</v>
      </c>
      <c r="K134" t="s">
        <v>74</v>
      </c>
      <c r="L134" t="s">
        <v>74</v>
      </c>
      <c r="M134" t="s">
        <v>78</v>
      </c>
      <c r="N134" t="s">
        <v>79</v>
      </c>
      <c r="O134" t="s">
        <v>74</v>
      </c>
      <c r="P134" t="s">
        <v>74</v>
      </c>
      <c r="Q134" t="s">
        <v>74</v>
      </c>
      <c r="R134" t="s">
        <v>74</v>
      </c>
      <c r="S134" t="s">
        <v>74</v>
      </c>
      <c r="T134" t="s">
        <v>74</v>
      </c>
      <c r="U134" t="s">
        <v>2869</v>
      </c>
      <c r="V134" t="s">
        <v>2870</v>
      </c>
      <c r="W134" t="s">
        <v>2871</v>
      </c>
      <c r="X134" t="s">
        <v>2872</v>
      </c>
      <c r="Y134" t="s">
        <v>2873</v>
      </c>
      <c r="Z134" t="s">
        <v>2874</v>
      </c>
      <c r="AA134" t="s">
        <v>2875</v>
      </c>
      <c r="AB134" t="s">
        <v>2876</v>
      </c>
      <c r="AC134" t="s">
        <v>2877</v>
      </c>
      <c r="AD134" t="s">
        <v>2878</v>
      </c>
      <c r="AE134" t="s">
        <v>2879</v>
      </c>
      <c r="AF134" t="s">
        <v>74</v>
      </c>
      <c r="AG134">
        <v>58</v>
      </c>
      <c r="AH134">
        <v>7</v>
      </c>
      <c r="AI134">
        <v>7</v>
      </c>
      <c r="AJ134">
        <v>1</v>
      </c>
      <c r="AK134">
        <v>7</v>
      </c>
      <c r="AL134" t="s">
        <v>91</v>
      </c>
      <c r="AM134" t="s">
        <v>92</v>
      </c>
      <c r="AN134" t="s">
        <v>93</v>
      </c>
      <c r="AO134" t="s">
        <v>2859</v>
      </c>
      <c r="AP134" t="s">
        <v>74</v>
      </c>
      <c r="AQ134" t="s">
        <v>74</v>
      </c>
      <c r="AR134" t="s">
        <v>2860</v>
      </c>
      <c r="AS134" t="s">
        <v>2861</v>
      </c>
      <c r="AT134" t="s">
        <v>74</v>
      </c>
      <c r="AU134">
        <v>2014</v>
      </c>
      <c r="AV134">
        <v>10</v>
      </c>
      <c r="AW134">
        <v>2</v>
      </c>
      <c r="AX134" t="s">
        <v>74</v>
      </c>
      <c r="AY134" t="s">
        <v>74</v>
      </c>
      <c r="AZ134" t="s">
        <v>74</v>
      </c>
      <c r="BA134" t="s">
        <v>74</v>
      </c>
      <c r="BB134">
        <v>201</v>
      </c>
      <c r="BC134">
        <v>213</v>
      </c>
      <c r="BD134" t="s">
        <v>74</v>
      </c>
      <c r="BE134" t="s">
        <v>2880</v>
      </c>
      <c r="BF134" t="str">
        <f>HYPERLINK("http://dx.doi.org/10.5194/os-10-201-2014","http://dx.doi.org/10.5194/os-10-201-2014")</f>
        <v>http://dx.doi.org/10.5194/os-10-201-2014</v>
      </c>
      <c r="BG134" t="s">
        <v>74</v>
      </c>
      <c r="BH134" t="s">
        <v>74</v>
      </c>
      <c r="BI134">
        <v>13</v>
      </c>
      <c r="BJ134" t="s">
        <v>2863</v>
      </c>
      <c r="BK134" t="s">
        <v>99</v>
      </c>
      <c r="BL134" t="s">
        <v>2863</v>
      </c>
      <c r="BM134" t="s">
        <v>2881</v>
      </c>
      <c r="BN134" t="s">
        <v>74</v>
      </c>
      <c r="BO134" t="s">
        <v>138</v>
      </c>
      <c r="BP134" t="s">
        <v>74</v>
      </c>
      <c r="BQ134" t="s">
        <v>74</v>
      </c>
      <c r="BR134" t="s">
        <v>103</v>
      </c>
      <c r="BS134" t="s">
        <v>2882</v>
      </c>
      <c r="BT134" t="str">
        <f>HYPERLINK("https%3A%2F%2Fwww.webofscience.com%2Fwos%2Fwoscc%2Ffull-record%2FWOS:000335376700004","View Full Record in Web of Science")</f>
        <v>View Full Record in Web of Science</v>
      </c>
    </row>
    <row r="135" spans="1:72" x14ac:dyDescent="0.15">
      <c r="A135" t="s">
        <v>72</v>
      </c>
      <c r="B135" t="s">
        <v>2883</v>
      </c>
      <c r="C135" t="s">
        <v>74</v>
      </c>
      <c r="D135" t="s">
        <v>74</v>
      </c>
      <c r="E135" t="s">
        <v>74</v>
      </c>
      <c r="F135" t="s">
        <v>2884</v>
      </c>
      <c r="G135" t="s">
        <v>74</v>
      </c>
      <c r="H135" t="s">
        <v>74</v>
      </c>
      <c r="I135" t="s">
        <v>2885</v>
      </c>
      <c r="J135" t="s">
        <v>2847</v>
      </c>
      <c r="K135" t="s">
        <v>74</v>
      </c>
      <c r="L135" t="s">
        <v>74</v>
      </c>
      <c r="M135" t="s">
        <v>78</v>
      </c>
      <c r="N135" t="s">
        <v>79</v>
      </c>
      <c r="O135" t="s">
        <v>74</v>
      </c>
      <c r="P135" t="s">
        <v>74</v>
      </c>
      <c r="Q135" t="s">
        <v>74</v>
      </c>
      <c r="R135" t="s">
        <v>74</v>
      </c>
      <c r="S135" t="s">
        <v>74</v>
      </c>
      <c r="T135" t="s">
        <v>74</v>
      </c>
      <c r="U135" t="s">
        <v>2886</v>
      </c>
      <c r="V135" t="s">
        <v>2887</v>
      </c>
      <c r="W135" t="s">
        <v>2888</v>
      </c>
      <c r="X135" t="s">
        <v>2889</v>
      </c>
      <c r="Y135" t="s">
        <v>2890</v>
      </c>
      <c r="Z135" t="s">
        <v>2891</v>
      </c>
      <c r="AA135" t="s">
        <v>2892</v>
      </c>
      <c r="AB135" t="s">
        <v>2893</v>
      </c>
      <c r="AC135" t="s">
        <v>2894</v>
      </c>
      <c r="AD135" t="s">
        <v>2895</v>
      </c>
      <c r="AE135" t="s">
        <v>2896</v>
      </c>
      <c r="AF135" t="s">
        <v>74</v>
      </c>
      <c r="AG135">
        <v>17</v>
      </c>
      <c r="AH135">
        <v>8</v>
      </c>
      <c r="AI135">
        <v>10</v>
      </c>
      <c r="AJ135">
        <v>0</v>
      </c>
      <c r="AK135">
        <v>9</v>
      </c>
      <c r="AL135" t="s">
        <v>91</v>
      </c>
      <c r="AM135" t="s">
        <v>92</v>
      </c>
      <c r="AN135" t="s">
        <v>93</v>
      </c>
      <c r="AO135" t="s">
        <v>2859</v>
      </c>
      <c r="AP135" t="s">
        <v>74</v>
      </c>
      <c r="AQ135" t="s">
        <v>74</v>
      </c>
      <c r="AR135" t="s">
        <v>2860</v>
      </c>
      <c r="AS135" t="s">
        <v>2861</v>
      </c>
      <c r="AT135" t="s">
        <v>74</v>
      </c>
      <c r="AU135">
        <v>2014</v>
      </c>
      <c r="AV135">
        <v>10</v>
      </c>
      <c r="AW135">
        <v>2</v>
      </c>
      <c r="AX135" t="s">
        <v>74</v>
      </c>
      <c r="AY135" t="s">
        <v>74</v>
      </c>
      <c r="AZ135" t="s">
        <v>74</v>
      </c>
      <c r="BA135" t="s">
        <v>74</v>
      </c>
      <c r="BB135">
        <v>215</v>
      </c>
      <c r="BC135">
        <v>225</v>
      </c>
      <c r="BD135" t="s">
        <v>74</v>
      </c>
      <c r="BE135" t="s">
        <v>2897</v>
      </c>
      <c r="BF135" t="str">
        <f>HYPERLINK("http://dx.doi.org/10.5194/os-10-215-2014","http://dx.doi.org/10.5194/os-10-215-2014")</f>
        <v>http://dx.doi.org/10.5194/os-10-215-2014</v>
      </c>
      <c r="BG135" t="s">
        <v>74</v>
      </c>
      <c r="BH135" t="s">
        <v>74</v>
      </c>
      <c r="BI135">
        <v>11</v>
      </c>
      <c r="BJ135" t="s">
        <v>2863</v>
      </c>
      <c r="BK135" t="s">
        <v>99</v>
      </c>
      <c r="BL135" t="s">
        <v>2863</v>
      </c>
      <c r="BM135" t="s">
        <v>2881</v>
      </c>
      <c r="BN135" t="s">
        <v>74</v>
      </c>
      <c r="BO135" t="s">
        <v>998</v>
      </c>
      <c r="BP135" t="s">
        <v>74</v>
      </c>
      <c r="BQ135" t="s">
        <v>74</v>
      </c>
      <c r="BR135" t="s">
        <v>103</v>
      </c>
      <c r="BS135" t="s">
        <v>2898</v>
      </c>
      <c r="BT135" t="str">
        <f>HYPERLINK("https%3A%2F%2Fwww.webofscience.com%2Fwos%2Fwoscc%2Ffull-record%2FWOS:000335376700005","View Full Record in Web of Science")</f>
        <v>View Full Record in Web of Science</v>
      </c>
    </row>
    <row r="136" spans="1:72" x14ac:dyDescent="0.15">
      <c r="A136" t="s">
        <v>72</v>
      </c>
      <c r="B136" t="s">
        <v>2899</v>
      </c>
      <c r="C136" t="s">
        <v>74</v>
      </c>
      <c r="D136" t="s">
        <v>74</v>
      </c>
      <c r="E136" t="s">
        <v>74</v>
      </c>
      <c r="F136" t="s">
        <v>2900</v>
      </c>
      <c r="G136" t="s">
        <v>74</v>
      </c>
      <c r="H136" t="s">
        <v>74</v>
      </c>
      <c r="I136" t="s">
        <v>2901</v>
      </c>
      <c r="J136" t="s">
        <v>2847</v>
      </c>
      <c r="K136" t="s">
        <v>74</v>
      </c>
      <c r="L136" t="s">
        <v>74</v>
      </c>
      <c r="M136" t="s">
        <v>78</v>
      </c>
      <c r="N136" t="s">
        <v>79</v>
      </c>
      <c r="O136" t="s">
        <v>74</v>
      </c>
      <c r="P136" t="s">
        <v>74</v>
      </c>
      <c r="Q136" t="s">
        <v>74</v>
      </c>
      <c r="R136" t="s">
        <v>74</v>
      </c>
      <c r="S136" t="s">
        <v>74</v>
      </c>
      <c r="T136" t="s">
        <v>74</v>
      </c>
      <c r="U136" t="s">
        <v>2902</v>
      </c>
      <c r="V136" t="s">
        <v>2903</v>
      </c>
      <c r="W136" t="s">
        <v>2904</v>
      </c>
      <c r="X136" t="s">
        <v>2905</v>
      </c>
      <c r="Y136" t="s">
        <v>2906</v>
      </c>
      <c r="Z136" t="s">
        <v>2907</v>
      </c>
      <c r="AA136" t="s">
        <v>2908</v>
      </c>
      <c r="AB136" t="s">
        <v>2909</v>
      </c>
      <c r="AC136" t="s">
        <v>2910</v>
      </c>
      <c r="AD136" t="s">
        <v>2911</v>
      </c>
      <c r="AE136" t="s">
        <v>2912</v>
      </c>
      <c r="AF136" t="s">
        <v>74</v>
      </c>
      <c r="AG136">
        <v>63</v>
      </c>
      <c r="AH136">
        <v>60</v>
      </c>
      <c r="AI136">
        <v>63</v>
      </c>
      <c r="AJ136">
        <v>2</v>
      </c>
      <c r="AK136">
        <v>23</v>
      </c>
      <c r="AL136" t="s">
        <v>91</v>
      </c>
      <c r="AM136" t="s">
        <v>92</v>
      </c>
      <c r="AN136" t="s">
        <v>93</v>
      </c>
      <c r="AO136" t="s">
        <v>2859</v>
      </c>
      <c r="AP136" t="s">
        <v>74</v>
      </c>
      <c r="AQ136" t="s">
        <v>74</v>
      </c>
      <c r="AR136" t="s">
        <v>2860</v>
      </c>
      <c r="AS136" t="s">
        <v>2861</v>
      </c>
      <c r="AT136" t="s">
        <v>74</v>
      </c>
      <c r="AU136">
        <v>2014</v>
      </c>
      <c r="AV136">
        <v>10</v>
      </c>
      <c r="AW136">
        <v>3</v>
      </c>
      <c r="AX136" t="s">
        <v>74</v>
      </c>
      <c r="AY136" t="s">
        <v>74</v>
      </c>
      <c r="AZ136" t="s">
        <v>74</v>
      </c>
      <c r="BA136" t="s">
        <v>74</v>
      </c>
      <c r="BB136">
        <v>267</v>
      </c>
      <c r="BC136">
        <v>279</v>
      </c>
      <c r="BD136" t="s">
        <v>74</v>
      </c>
      <c r="BE136" t="s">
        <v>2913</v>
      </c>
      <c r="BF136" t="str">
        <f>HYPERLINK("http://dx.doi.org/10.5194/os-10-267-2014","http://dx.doi.org/10.5194/os-10-267-2014")</f>
        <v>http://dx.doi.org/10.5194/os-10-267-2014</v>
      </c>
      <c r="BG136" t="s">
        <v>74</v>
      </c>
      <c r="BH136" t="s">
        <v>74</v>
      </c>
      <c r="BI136">
        <v>13</v>
      </c>
      <c r="BJ136" t="s">
        <v>2863</v>
      </c>
      <c r="BK136" t="s">
        <v>99</v>
      </c>
      <c r="BL136" t="s">
        <v>2863</v>
      </c>
      <c r="BM136" t="s">
        <v>2914</v>
      </c>
      <c r="BN136" t="s">
        <v>74</v>
      </c>
      <c r="BO136" t="s">
        <v>172</v>
      </c>
      <c r="BP136" t="s">
        <v>74</v>
      </c>
      <c r="BQ136" t="s">
        <v>74</v>
      </c>
      <c r="BR136" t="s">
        <v>103</v>
      </c>
      <c r="BS136" t="s">
        <v>2915</v>
      </c>
      <c r="BT136" t="str">
        <f>HYPERLINK("https%3A%2F%2Fwww.webofscience.com%2Fwos%2Fwoscc%2Ffull-record%2FWOS:000338651700001","View Full Record in Web of Science")</f>
        <v>View Full Record in Web of Science</v>
      </c>
    </row>
    <row r="137" spans="1:72" x14ac:dyDescent="0.15">
      <c r="A137" t="s">
        <v>72</v>
      </c>
      <c r="B137" t="s">
        <v>2916</v>
      </c>
      <c r="C137" t="s">
        <v>74</v>
      </c>
      <c r="D137" t="s">
        <v>74</v>
      </c>
      <c r="E137" t="s">
        <v>74</v>
      </c>
      <c r="F137" t="s">
        <v>2917</v>
      </c>
      <c r="G137" t="s">
        <v>74</v>
      </c>
      <c r="H137" t="s">
        <v>74</v>
      </c>
      <c r="I137" t="s">
        <v>2918</v>
      </c>
      <c r="J137" t="s">
        <v>2847</v>
      </c>
      <c r="K137" t="s">
        <v>74</v>
      </c>
      <c r="L137" t="s">
        <v>74</v>
      </c>
      <c r="M137" t="s">
        <v>78</v>
      </c>
      <c r="N137" t="s">
        <v>79</v>
      </c>
      <c r="O137" t="s">
        <v>74</v>
      </c>
      <c r="P137" t="s">
        <v>74</v>
      </c>
      <c r="Q137" t="s">
        <v>74</v>
      </c>
      <c r="R137" t="s">
        <v>74</v>
      </c>
      <c r="S137" t="s">
        <v>74</v>
      </c>
      <c r="T137" t="s">
        <v>74</v>
      </c>
      <c r="U137" t="s">
        <v>2919</v>
      </c>
      <c r="V137" t="s">
        <v>2920</v>
      </c>
      <c r="W137" t="s">
        <v>2921</v>
      </c>
      <c r="X137" t="s">
        <v>2922</v>
      </c>
      <c r="Y137" t="s">
        <v>2923</v>
      </c>
      <c r="Z137" t="s">
        <v>2924</v>
      </c>
      <c r="AA137" t="s">
        <v>2925</v>
      </c>
      <c r="AB137" t="s">
        <v>2926</v>
      </c>
      <c r="AC137" t="s">
        <v>2927</v>
      </c>
      <c r="AD137" t="s">
        <v>2928</v>
      </c>
      <c r="AE137" t="s">
        <v>2929</v>
      </c>
      <c r="AF137" t="s">
        <v>74</v>
      </c>
      <c r="AG137">
        <v>46</v>
      </c>
      <c r="AH137">
        <v>14</v>
      </c>
      <c r="AI137">
        <v>14</v>
      </c>
      <c r="AJ137">
        <v>0</v>
      </c>
      <c r="AK137">
        <v>40</v>
      </c>
      <c r="AL137" t="s">
        <v>91</v>
      </c>
      <c r="AM137" t="s">
        <v>92</v>
      </c>
      <c r="AN137" t="s">
        <v>93</v>
      </c>
      <c r="AO137" t="s">
        <v>2859</v>
      </c>
      <c r="AP137" t="s">
        <v>2930</v>
      </c>
      <c r="AQ137" t="s">
        <v>74</v>
      </c>
      <c r="AR137" t="s">
        <v>2860</v>
      </c>
      <c r="AS137" t="s">
        <v>2861</v>
      </c>
      <c r="AT137" t="s">
        <v>74</v>
      </c>
      <c r="AU137">
        <v>2014</v>
      </c>
      <c r="AV137">
        <v>10</v>
      </c>
      <c r="AW137">
        <v>3</v>
      </c>
      <c r="AX137" t="s">
        <v>74</v>
      </c>
      <c r="AY137" t="s">
        <v>74</v>
      </c>
      <c r="AZ137" t="s">
        <v>74</v>
      </c>
      <c r="BA137" t="s">
        <v>74</v>
      </c>
      <c r="BB137">
        <v>473</v>
      </c>
      <c r="BC137">
        <v>483</v>
      </c>
      <c r="BD137" t="s">
        <v>74</v>
      </c>
      <c r="BE137" t="s">
        <v>2931</v>
      </c>
      <c r="BF137" t="str">
        <f>HYPERLINK("http://dx.doi.org/10.5194/os-10-473-2014","http://dx.doi.org/10.5194/os-10-473-2014")</f>
        <v>http://dx.doi.org/10.5194/os-10-473-2014</v>
      </c>
      <c r="BG137" t="s">
        <v>74</v>
      </c>
      <c r="BH137" t="s">
        <v>74</v>
      </c>
      <c r="BI137">
        <v>11</v>
      </c>
      <c r="BJ137" t="s">
        <v>2863</v>
      </c>
      <c r="BK137" t="s">
        <v>99</v>
      </c>
      <c r="BL137" t="s">
        <v>2863</v>
      </c>
      <c r="BM137" t="s">
        <v>2914</v>
      </c>
      <c r="BN137" t="s">
        <v>74</v>
      </c>
      <c r="BO137" t="s">
        <v>102</v>
      </c>
      <c r="BP137" t="s">
        <v>74</v>
      </c>
      <c r="BQ137" t="s">
        <v>74</v>
      </c>
      <c r="BR137" t="s">
        <v>103</v>
      </c>
      <c r="BS137" t="s">
        <v>2932</v>
      </c>
      <c r="BT137" t="str">
        <f>HYPERLINK("https%3A%2F%2Fwww.webofscience.com%2Fwos%2Fwoscc%2Ffull-record%2FWOS:000338651700012","View Full Record in Web of Science")</f>
        <v>View Full Record in Web of Science</v>
      </c>
    </row>
    <row r="138" spans="1:72" x14ac:dyDescent="0.15">
      <c r="A138" t="s">
        <v>72</v>
      </c>
      <c r="B138" t="s">
        <v>2933</v>
      </c>
      <c r="C138" t="s">
        <v>74</v>
      </c>
      <c r="D138" t="s">
        <v>74</v>
      </c>
      <c r="E138" t="s">
        <v>74</v>
      </c>
      <c r="F138" t="s">
        <v>2934</v>
      </c>
      <c r="G138" t="s">
        <v>74</v>
      </c>
      <c r="H138" t="s">
        <v>74</v>
      </c>
      <c r="I138" t="s">
        <v>2935</v>
      </c>
      <c r="J138" t="s">
        <v>2847</v>
      </c>
      <c r="K138" t="s">
        <v>74</v>
      </c>
      <c r="L138" t="s">
        <v>74</v>
      </c>
      <c r="M138" t="s">
        <v>78</v>
      </c>
      <c r="N138" t="s">
        <v>79</v>
      </c>
      <c r="O138" t="s">
        <v>74</v>
      </c>
      <c r="P138" t="s">
        <v>74</v>
      </c>
      <c r="Q138" t="s">
        <v>74</v>
      </c>
      <c r="R138" t="s">
        <v>74</v>
      </c>
      <c r="S138" t="s">
        <v>74</v>
      </c>
      <c r="T138" t="s">
        <v>74</v>
      </c>
      <c r="U138" t="s">
        <v>2936</v>
      </c>
      <c r="V138" t="s">
        <v>2937</v>
      </c>
      <c r="W138" t="s">
        <v>2938</v>
      </c>
      <c r="X138" t="s">
        <v>2939</v>
      </c>
      <c r="Y138" t="s">
        <v>2940</v>
      </c>
      <c r="Z138" t="s">
        <v>2941</v>
      </c>
      <c r="AA138" t="s">
        <v>2942</v>
      </c>
      <c r="AB138" t="s">
        <v>2943</v>
      </c>
      <c r="AC138" t="s">
        <v>2944</v>
      </c>
      <c r="AD138" t="s">
        <v>2945</v>
      </c>
      <c r="AE138" t="s">
        <v>2946</v>
      </c>
      <c r="AF138" t="s">
        <v>74</v>
      </c>
      <c r="AG138">
        <v>81</v>
      </c>
      <c r="AH138">
        <v>14</v>
      </c>
      <c r="AI138">
        <v>14</v>
      </c>
      <c r="AJ138">
        <v>0</v>
      </c>
      <c r="AK138">
        <v>11</v>
      </c>
      <c r="AL138" t="s">
        <v>91</v>
      </c>
      <c r="AM138" t="s">
        <v>92</v>
      </c>
      <c r="AN138" t="s">
        <v>93</v>
      </c>
      <c r="AO138" t="s">
        <v>2859</v>
      </c>
      <c r="AP138" t="s">
        <v>2930</v>
      </c>
      <c r="AQ138" t="s">
        <v>74</v>
      </c>
      <c r="AR138" t="s">
        <v>2860</v>
      </c>
      <c r="AS138" t="s">
        <v>2861</v>
      </c>
      <c r="AT138" t="s">
        <v>74</v>
      </c>
      <c r="AU138">
        <v>2014</v>
      </c>
      <c r="AV138">
        <v>10</v>
      </c>
      <c r="AW138">
        <v>3</v>
      </c>
      <c r="AX138" t="s">
        <v>74</v>
      </c>
      <c r="AY138" t="s">
        <v>74</v>
      </c>
      <c r="AZ138" t="s">
        <v>74</v>
      </c>
      <c r="BA138" t="s">
        <v>74</v>
      </c>
      <c r="BB138">
        <v>523</v>
      </c>
      <c r="BC138">
        <v>546</v>
      </c>
      <c r="BD138" t="s">
        <v>74</v>
      </c>
      <c r="BE138" t="s">
        <v>2947</v>
      </c>
      <c r="BF138" t="str">
        <f>HYPERLINK("http://dx.doi.org/10.5194/os-10-523-2014","http://dx.doi.org/10.5194/os-10-523-2014")</f>
        <v>http://dx.doi.org/10.5194/os-10-523-2014</v>
      </c>
      <c r="BG138" t="s">
        <v>74</v>
      </c>
      <c r="BH138" t="s">
        <v>74</v>
      </c>
      <c r="BI138">
        <v>24</v>
      </c>
      <c r="BJ138" t="s">
        <v>2863</v>
      </c>
      <c r="BK138" t="s">
        <v>99</v>
      </c>
      <c r="BL138" t="s">
        <v>2863</v>
      </c>
      <c r="BM138" t="s">
        <v>2914</v>
      </c>
      <c r="BN138" t="s">
        <v>74</v>
      </c>
      <c r="BO138" t="s">
        <v>2948</v>
      </c>
      <c r="BP138" t="s">
        <v>74</v>
      </c>
      <c r="BQ138" t="s">
        <v>74</v>
      </c>
      <c r="BR138" t="s">
        <v>103</v>
      </c>
      <c r="BS138" t="s">
        <v>2949</v>
      </c>
      <c r="BT138" t="str">
        <f>HYPERLINK("https%3A%2F%2Fwww.webofscience.com%2Fwos%2Fwoscc%2Ffull-record%2FWOS:000338651700016","View Full Record in Web of Science")</f>
        <v>View Full Record in Web of Science</v>
      </c>
    </row>
    <row r="139" spans="1:72" x14ac:dyDescent="0.15">
      <c r="A139" t="s">
        <v>72</v>
      </c>
      <c r="B139" t="s">
        <v>2950</v>
      </c>
      <c r="C139" t="s">
        <v>74</v>
      </c>
      <c r="D139" t="s">
        <v>74</v>
      </c>
      <c r="E139" t="s">
        <v>74</v>
      </c>
      <c r="F139" t="s">
        <v>2951</v>
      </c>
      <c r="G139" t="s">
        <v>74</v>
      </c>
      <c r="H139" t="s">
        <v>74</v>
      </c>
      <c r="I139" t="s">
        <v>2952</v>
      </c>
      <c r="J139" t="s">
        <v>2847</v>
      </c>
      <c r="K139" t="s">
        <v>74</v>
      </c>
      <c r="L139" t="s">
        <v>74</v>
      </c>
      <c r="M139" t="s">
        <v>78</v>
      </c>
      <c r="N139" t="s">
        <v>79</v>
      </c>
      <c r="O139" t="s">
        <v>74</v>
      </c>
      <c r="P139" t="s">
        <v>74</v>
      </c>
      <c r="Q139" t="s">
        <v>74</v>
      </c>
      <c r="R139" t="s">
        <v>74</v>
      </c>
      <c r="S139" t="s">
        <v>74</v>
      </c>
      <c r="T139" t="s">
        <v>74</v>
      </c>
      <c r="U139" t="s">
        <v>2953</v>
      </c>
      <c r="V139" t="s">
        <v>2954</v>
      </c>
      <c r="W139" t="s">
        <v>2955</v>
      </c>
      <c r="X139" t="s">
        <v>2956</v>
      </c>
      <c r="Y139" t="s">
        <v>2957</v>
      </c>
      <c r="Z139" t="s">
        <v>2958</v>
      </c>
      <c r="AA139" t="s">
        <v>2959</v>
      </c>
      <c r="AB139" t="s">
        <v>2960</v>
      </c>
      <c r="AC139" t="s">
        <v>2961</v>
      </c>
      <c r="AD139" t="s">
        <v>2962</v>
      </c>
      <c r="AE139" t="s">
        <v>2963</v>
      </c>
      <c r="AF139" t="s">
        <v>74</v>
      </c>
      <c r="AG139">
        <v>61</v>
      </c>
      <c r="AH139">
        <v>45</v>
      </c>
      <c r="AI139">
        <v>45</v>
      </c>
      <c r="AJ139">
        <v>0</v>
      </c>
      <c r="AK139">
        <v>36</v>
      </c>
      <c r="AL139" t="s">
        <v>91</v>
      </c>
      <c r="AM139" t="s">
        <v>92</v>
      </c>
      <c r="AN139" t="s">
        <v>93</v>
      </c>
      <c r="AO139" t="s">
        <v>2859</v>
      </c>
      <c r="AP139" t="s">
        <v>74</v>
      </c>
      <c r="AQ139" t="s">
        <v>74</v>
      </c>
      <c r="AR139" t="s">
        <v>2860</v>
      </c>
      <c r="AS139" t="s">
        <v>2861</v>
      </c>
      <c r="AT139" t="s">
        <v>74</v>
      </c>
      <c r="AU139">
        <v>2014</v>
      </c>
      <c r="AV139">
        <v>10</v>
      </c>
      <c r="AW139">
        <v>3</v>
      </c>
      <c r="AX139" t="s">
        <v>74</v>
      </c>
      <c r="AY139" t="s">
        <v>74</v>
      </c>
      <c r="AZ139" t="s">
        <v>74</v>
      </c>
      <c r="BA139" t="s">
        <v>74</v>
      </c>
      <c r="BB139">
        <v>547</v>
      </c>
      <c r="BC139">
        <v>557</v>
      </c>
      <c r="BD139" t="s">
        <v>74</v>
      </c>
      <c r="BE139" t="s">
        <v>2964</v>
      </c>
      <c r="BF139" t="str">
        <f>HYPERLINK("http://dx.doi.org/10.5194/os-10-547-2014","http://dx.doi.org/10.5194/os-10-547-2014")</f>
        <v>http://dx.doi.org/10.5194/os-10-547-2014</v>
      </c>
      <c r="BG139" t="s">
        <v>74</v>
      </c>
      <c r="BH139" t="s">
        <v>74</v>
      </c>
      <c r="BI139">
        <v>11</v>
      </c>
      <c r="BJ139" t="s">
        <v>2863</v>
      </c>
      <c r="BK139" t="s">
        <v>99</v>
      </c>
      <c r="BL139" t="s">
        <v>2863</v>
      </c>
      <c r="BM139" t="s">
        <v>2914</v>
      </c>
      <c r="BN139" t="s">
        <v>74</v>
      </c>
      <c r="BO139" t="s">
        <v>2965</v>
      </c>
      <c r="BP139" t="s">
        <v>74</v>
      </c>
      <c r="BQ139" t="s">
        <v>74</v>
      </c>
      <c r="BR139" t="s">
        <v>103</v>
      </c>
      <c r="BS139" t="s">
        <v>2966</v>
      </c>
      <c r="BT139" t="str">
        <f>HYPERLINK("https%3A%2F%2Fwww.webofscience.com%2Fwos%2Fwoscc%2Ffull-record%2FWOS:000338651700017","View Full Record in Web of Science")</f>
        <v>View Full Record in Web of Science</v>
      </c>
    </row>
    <row r="140" spans="1:72" x14ac:dyDescent="0.15">
      <c r="A140" t="s">
        <v>72</v>
      </c>
      <c r="B140" t="s">
        <v>2967</v>
      </c>
      <c r="C140" t="s">
        <v>74</v>
      </c>
      <c r="D140" t="s">
        <v>74</v>
      </c>
      <c r="E140" t="s">
        <v>74</v>
      </c>
      <c r="F140" t="s">
        <v>2968</v>
      </c>
      <c r="G140" t="s">
        <v>74</v>
      </c>
      <c r="H140" t="s">
        <v>74</v>
      </c>
      <c r="I140" t="s">
        <v>2969</v>
      </c>
      <c r="J140" t="s">
        <v>2847</v>
      </c>
      <c r="K140" t="s">
        <v>74</v>
      </c>
      <c r="L140" t="s">
        <v>74</v>
      </c>
      <c r="M140" t="s">
        <v>78</v>
      </c>
      <c r="N140" t="s">
        <v>79</v>
      </c>
      <c r="O140" t="s">
        <v>74</v>
      </c>
      <c r="P140" t="s">
        <v>74</v>
      </c>
      <c r="Q140" t="s">
        <v>74</v>
      </c>
      <c r="R140" t="s">
        <v>74</v>
      </c>
      <c r="S140" t="s">
        <v>74</v>
      </c>
      <c r="T140" t="s">
        <v>74</v>
      </c>
      <c r="U140" t="s">
        <v>2970</v>
      </c>
      <c r="V140" t="s">
        <v>2971</v>
      </c>
      <c r="W140" t="s">
        <v>2972</v>
      </c>
      <c r="X140" t="s">
        <v>2973</v>
      </c>
      <c r="Y140" t="s">
        <v>2974</v>
      </c>
      <c r="Z140" t="s">
        <v>2975</v>
      </c>
      <c r="AA140" t="s">
        <v>2976</v>
      </c>
      <c r="AB140" t="s">
        <v>2977</v>
      </c>
      <c r="AC140" t="s">
        <v>2978</v>
      </c>
      <c r="AD140" t="s">
        <v>2979</v>
      </c>
      <c r="AE140" t="s">
        <v>2980</v>
      </c>
      <c r="AF140" t="s">
        <v>74</v>
      </c>
      <c r="AG140">
        <v>43</v>
      </c>
      <c r="AH140">
        <v>27</v>
      </c>
      <c r="AI140">
        <v>29</v>
      </c>
      <c r="AJ140">
        <v>1</v>
      </c>
      <c r="AK140">
        <v>19</v>
      </c>
      <c r="AL140" t="s">
        <v>91</v>
      </c>
      <c r="AM140" t="s">
        <v>92</v>
      </c>
      <c r="AN140" t="s">
        <v>93</v>
      </c>
      <c r="AO140" t="s">
        <v>2859</v>
      </c>
      <c r="AP140" t="s">
        <v>74</v>
      </c>
      <c r="AQ140" t="s">
        <v>74</v>
      </c>
      <c r="AR140" t="s">
        <v>2860</v>
      </c>
      <c r="AS140" t="s">
        <v>2861</v>
      </c>
      <c r="AT140" t="s">
        <v>74</v>
      </c>
      <c r="AU140">
        <v>2014</v>
      </c>
      <c r="AV140">
        <v>10</v>
      </c>
      <c r="AW140">
        <v>4</v>
      </c>
      <c r="AX140" t="s">
        <v>74</v>
      </c>
      <c r="AY140" t="s">
        <v>74</v>
      </c>
      <c r="AZ140" t="s">
        <v>74</v>
      </c>
      <c r="BA140" t="s">
        <v>74</v>
      </c>
      <c r="BB140">
        <v>719</v>
      </c>
      <c r="BC140">
        <v>730</v>
      </c>
      <c r="BD140" t="s">
        <v>74</v>
      </c>
      <c r="BE140" t="s">
        <v>2981</v>
      </c>
      <c r="BF140" t="str">
        <f>HYPERLINK("http://dx.doi.org/10.5194/os-10-719-2014","http://dx.doi.org/10.5194/os-10-719-2014")</f>
        <v>http://dx.doi.org/10.5194/os-10-719-2014</v>
      </c>
      <c r="BG140" t="s">
        <v>74</v>
      </c>
      <c r="BH140" t="s">
        <v>74</v>
      </c>
      <c r="BI140">
        <v>12</v>
      </c>
      <c r="BJ140" t="s">
        <v>2863</v>
      </c>
      <c r="BK140" t="s">
        <v>99</v>
      </c>
      <c r="BL140" t="s">
        <v>2863</v>
      </c>
      <c r="BM140" t="s">
        <v>2982</v>
      </c>
      <c r="BN140" t="s">
        <v>74</v>
      </c>
      <c r="BO140" t="s">
        <v>998</v>
      </c>
      <c r="BP140" t="s">
        <v>74</v>
      </c>
      <c r="BQ140" t="s">
        <v>74</v>
      </c>
      <c r="BR140" t="s">
        <v>103</v>
      </c>
      <c r="BS140" t="s">
        <v>2983</v>
      </c>
      <c r="BT140" t="str">
        <f>HYPERLINK("https%3A%2F%2Fwww.webofscience.com%2Fwos%2Fwoscc%2Ffull-record%2FWOS:000343940000001","View Full Record in Web of Science")</f>
        <v>View Full Record in Web of Science</v>
      </c>
    </row>
    <row r="141" spans="1:72" x14ac:dyDescent="0.15">
      <c r="A141" t="s">
        <v>72</v>
      </c>
      <c r="B141" t="s">
        <v>2984</v>
      </c>
      <c r="C141" t="s">
        <v>74</v>
      </c>
      <c r="D141" t="s">
        <v>74</v>
      </c>
      <c r="E141" t="s">
        <v>74</v>
      </c>
      <c r="F141" t="s">
        <v>2985</v>
      </c>
      <c r="G141" t="s">
        <v>74</v>
      </c>
      <c r="H141" t="s">
        <v>74</v>
      </c>
      <c r="I141" t="s">
        <v>2986</v>
      </c>
      <c r="J141" t="s">
        <v>2847</v>
      </c>
      <c r="K141" t="s">
        <v>74</v>
      </c>
      <c r="L141" t="s">
        <v>74</v>
      </c>
      <c r="M141" t="s">
        <v>78</v>
      </c>
      <c r="N141" t="s">
        <v>79</v>
      </c>
      <c r="O141" t="s">
        <v>74</v>
      </c>
      <c r="P141" t="s">
        <v>74</v>
      </c>
      <c r="Q141" t="s">
        <v>74</v>
      </c>
      <c r="R141" t="s">
        <v>74</v>
      </c>
      <c r="S141" t="s">
        <v>74</v>
      </c>
      <c r="T141" t="s">
        <v>74</v>
      </c>
      <c r="U141" t="s">
        <v>2987</v>
      </c>
      <c r="V141" t="s">
        <v>2988</v>
      </c>
      <c r="W141" t="s">
        <v>2989</v>
      </c>
      <c r="X141" t="s">
        <v>2990</v>
      </c>
      <c r="Y141" t="s">
        <v>2991</v>
      </c>
      <c r="Z141" t="s">
        <v>2992</v>
      </c>
      <c r="AA141" t="s">
        <v>2993</v>
      </c>
      <c r="AB141" t="s">
        <v>2994</v>
      </c>
      <c r="AC141" t="s">
        <v>2995</v>
      </c>
      <c r="AD141" t="s">
        <v>2996</v>
      </c>
      <c r="AE141" t="s">
        <v>2997</v>
      </c>
      <c r="AF141" t="s">
        <v>74</v>
      </c>
      <c r="AG141">
        <v>82</v>
      </c>
      <c r="AH141">
        <v>20</v>
      </c>
      <c r="AI141">
        <v>20</v>
      </c>
      <c r="AJ141">
        <v>0</v>
      </c>
      <c r="AK141">
        <v>13</v>
      </c>
      <c r="AL141" t="s">
        <v>91</v>
      </c>
      <c r="AM141" t="s">
        <v>92</v>
      </c>
      <c r="AN141" t="s">
        <v>93</v>
      </c>
      <c r="AO141" t="s">
        <v>2859</v>
      </c>
      <c r="AP141" t="s">
        <v>74</v>
      </c>
      <c r="AQ141" t="s">
        <v>74</v>
      </c>
      <c r="AR141" t="s">
        <v>2860</v>
      </c>
      <c r="AS141" t="s">
        <v>2861</v>
      </c>
      <c r="AT141" t="s">
        <v>74</v>
      </c>
      <c r="AU141">
        <v>2014</v>
      </c>
      <c r="AV141">
        <v>10</v>
      </c>
      <c r="AW141">
        <v>6</v>
      </c>
      <c r="AX141" t="s">
        <v>74</v>
      </c>
      <c r="AY141" t="s">
        <v>74</v>
      </c>
      <c r="AZ141" t="s">
        <v>74</v>
      </c>
      <c r="BA141" t="s">
        <v>74</v>
      </c>
      <c r="BB141">
        <v>923</v>
      </c>
      <c r="BC141">
        <v>946</v>
      </c>
      <c r="BD141" t="s">
        <v>74</v>
      </c>
      <c r="BE141" t="s">
        <v>2998</v>
      </c>
      <c r="BF141" t="str">
        <f>HYPERLINK("http://dx.doi.org/10.5194/os-10-923-2014","http://dx.doi.org/10.5194/os-10-923-2014")</f>
        <v>http://dx.doi.org/10.5194/os-10-923-2014</v>
      </c>
      <c r="BG141" t="s">
        <v>74</v>
      </c>
      <c r="BH141" t="s">
        <v>74</v>
      </c>
      <c r="BI141">
        <v>24</v>
      </c>
      <c r="BJ141" t="s">
        <v>2863</v>
      </c>
      <c r="BK141" t="s">
        <v>99</v>
      </c>
      <c r="BL141" t="s">
        <v>2863</v>
      </c>
      <c r="BM141" t="s">
        <v>2999</v>
      </c>
      <c r="BN141" t="s">
        <v>74</v>
      </c>
      <c r="BO141" t="s">
        <v>3000</v>
      </c>
      <c r="BP141" t="s">
        <v>74</v>
      </c>
      <c r="BQ141" t="s">
        <v>74</v>
      </c>
      <c r="BR141" t="s">
        <v>103</v>
      </c>
      <c r="BS141" t="s">
        <v>3001</v>
      </c>
      <c r="BT141" t="str">
        <f>HYPERLINK("https%3A%2F%2Fwww.webofscience.com%2Fwos%2Fwoscc%2Ffull-record%2FWOS:000347475600004","View Full Record in Web of Science")</f>
        <v>View Full Record in Web of Science</v>
      </c>
    </row>
    <row r="142" spans="1:72" x14ac:dyDescent="0.15">
      <c r="A142" t="s">
        <v>72</v>
      </c>
      <c r="B142" t="s">
        <v>3002</v>
      </c>
      <c r="C142" t="s">
        <v>74</v>
      </c>
      <c r="D142" t="s">
        <v>74</v>
      </c>
      <c r="E142" t="s">
        <v>74</v>
      </c>
      <c r="F142" t="s">
        <v>3003</v>
      </c>
      <c r="G142" t="s">
        <v>74</v>
      </c>
      <c r="H142" t="s">
        <v>74</v>
      </c>
      <c r="I142" t="s">
        <v>3004</v>
      </c>
      <c r="J142" t="s">
        <v>3005</v>
      </c>
      <c r="K142" t="s">
        <v>74</v>
      </c>
      <c r="L142" t="s">
        <v>74</v>
      </c>
      <c r="M142" t="s">
        <v>78</v>
      </c>
      <c r="N142" t="s">
        <v>79</v>
      </c>
      <c r="O142" t="s">
        <v>74</v>
      </c>
      <c r="P142" t="s">
        <v>74</v>
      </c>
      <c r="Q142" t="s">
        <v>74</v>
      </c>
      <c r="R142" t="s">
        <v>74</v>
      </c>
      <c r="S142" t="s">
        <v>74</v>
      </c>
      <c r="T142" t="s">
        <v>74</v>
      </c>
      <c r="U142" t="s">
        <v>74</v>
      </c>
      <c r="V142" t="s">
        <v>74</v>
      </c>
      <c r="W142" t="s">
        <v>3006</v>
      </c>
      <c r="X142" t="s">
        <v>3007</v>
      </c>
      <c r="Y142" t="s">
        <v>3008</v>
      </c>
      <c r="Z142" t="s">
        <v>74</v>
      </c>
      <c r="AA142" t="s">
        <v>74</v>
      </c>
      <c r="AB142" t="s">
        <v>74</v>
      </c>
      <c r="AC142" t="s">
        <v>74</v>
      </c>
      <c r="AD142" t="s">
        <v>74</v>
      </c>
      <c r="AE142" t="s">
        <v>74</v>
      </c>
      <c r="AF142" t="s">
        <v>74</v>
      </c>
      <c r="AG142">
        <v>52</v>
      </c>
      <c r="AH142">
        <v>2</v>
      </c>
      <c r="AI142">
        <v>2</v>
      </c>
      <c r="AJ142">
        <v>0</v>
      </c>
      <c r="AK142">
        <v>0</v>
      </c>
      <c r="AL142" t="s">
        <v>2236</v>
      </c>
      <c r="AM142" t="s">
        <v>2237</v>
      </c>
      <c r="AN142" t="s">
        <v>2238</v>
      </c>
      <c r="AO142" t="s">
        <v>3009</v>
      </c>
      <c r="AP142" t="s">
        <v>3010</v>
      </c>
      <c r="AQ142" t="s">
        <v>74</v>
      </c>
      <c r="AR142" t="s">
        <v>3011</v>
      </c>
      <c r="AS142" t="s">
        <v>3012</v>
      </c>
      <c r="AT142" t="s">
        <v>74</v>
      </c>
      <c r="AU142">
        <v>2014</v>
      </c>
      <c r="AV142">
        <v>28</v>
      </c>
      <c r="AW142">
        <v>1</v>
      </c>
      <c r="AX142" t="s">
        <v>74</v>
      </c>
      <c r="AY142" t="s">
        <v>74</v>
      </c>
      <c r="AZ142" t="s">
        <v>74</v>
      </c>
      <c r="BA142" t="s">
        <v>74</v>
      </c>
      <c r="BB142">
        <v>445</v>
      </c>
      <c r="BC142">
        <v>493</v>
      </c>
      <c r="BD142" t="s">
        <v>74</v>
      </c>
      <c r="BE142" t="s">
        <v>3013</v>
      </c>
      <c r="BF142" t="str">
        <f>HYPERLINK("http://dx.doi.org/10.1163/22116001-02801017","http://dx.doi.org/10.1163/22116001-02801017")</f>
        <v>http://dx.doi.org/10.1163/22116001-02801017</v>
      </c>
      <c r="BG142" t="s">
        <v>74</v>
      </c>
      <c r="BH142" t="s">
        <v>74</v>
      </c>
      <c r="BI142">
        <v>49</v>
      </c>
      <c r="BJ142" t="s">
        <v>3014</v>
      </c>
      <c r="BK142" t="s">
        <v>494</v>
      </c>
      <c r="BL142" t="s">
        <v>420</v>
      </c>
      <c r="BM142" t="s">
        <v>3015</v>
      </c>
      <c r="BN142" t="s">
        <v>74</v>
      </c>
      <c r="BO142" t="s">
        <v>74</v>
      </c>
      <c r="BP142" t="s">
        <v>74</v>
      </c>
      <c r="BQ142" t="s">
        <v>74</v>
      </c>
      <c r="BR142" t="s">
        <v>103</v>
      </c>
      <c r="BS142" t="s">
        <v>3016</v>
      </c>
      <c r="BT142" t="str">
        <f>HYPERLINK("https%3A%2F%2Fwww.webofscience.com%2Fwos%2Fwoscc%2Ffull-record%2FWOS:000213820300019","View Full Record in Web of Science")</f>
        <v>View Full Record in Web of Science</v>
      </c>
    </row>
    <row r="143" spans="1:72" x14ac:dyDescent="0.15">
      <c r="A143" t="s">
        <v>1053</v>
      </c>
      <c r="B143" t="s">
        <v>3017</v>
      </c>
      <c r="C143" t="s">
        <v>74</v>
      </c>
      <c r="D143" t="s">
        <v>3018</v>
      </c>
      <c r="E143" t="s">
        <v>74</v>
      </c>
      <c r="F143" t="s">
        <v>3019</v>
      </c>
      <c r="G143" t="s">
        <v>74</v>
      </c>
      <c r="H143" t="s">
        <v>74</v>
      </c>
      <c r="I143" t="s">
        <v>3020</v>
      </c>
      <c r="J143" t="s">
        <v>3021</v>
      </c>
      <c r="K143" t="s">
        <v>3022</v>
      </c>
      <c r="L143" t="s">
        <v>74</v>
      </c>
      <c r="M143" t="s">
        <v>78</v>
      </c>
      <c r="N143" t="s">
        <v>244</v>
      </c>
      <c r="O143" t="s">
        <v>74</v>
      </c>
      <c r="P143" t="s">
        <v>74</v>
      </c>
      <c r="Q143" t="s">
        <v>74</v>
      </c>
      <c r="R143" t="s">
        <v>74</v>
      </c>
      <c r="S143" t="s">
        <v>74</v>
      </c>
      <c r="T143" t="s">
        <v>74</v>
      </c>
      <c r="U143" t="s">
        <v>3023</v>
      </c>
      <c r="V143" t="s">
        <v>3024</v>
      </c>
      <c r="W143" t="s">
        <v>3025</v>
      </c>
      <c r="X143" t="s">
        <v>3026</v>
      </c>
      <c r="Y143" t="s">
        <v>3027</v>
      </c>
      <c r="Z143" t="s">
        <v>3028</v>
      </c>
      <c r="AA143" t="s">
        <v>3029</v>
      </c>
      <c r="AB143" t="s">
        <v>74</v>
      </c>
      <c r="AC143" t="s">
        <v>74</v>
      </c>
      <c r="AD143" t="s">
        <v>74</v>
      </c>
      <c r="AE143" t="s">
        <v>74</v>
      </c>
      <c r="AF143" t="s">
        <v>74</v>
      </c>
      <c r="AG143">
        <v>151</v>
      </c>
      <c r="AH143">
        <v>28</v>
      </c>
      <c r="AI143">
        <v>29</v>
      </c>
      <c r="AJ143">
        <v>0</v>
      </c>
      <c r="AK143">
        <v>75</v>
      </c>
      <c r="AL143" t="s">
        <v>3030</v>
      </c>
      <c r="AM143" t="s">
        <v>3031</v>
      </c>
      <c r="AN143" t="s">
        <v>3032</v>
      </c>
      <c r="AO143" t="s">
        <v>3033</v>
      </c>
      <c r="AP143" t="s">
        <v>74</v>
      </c>
      <c r="AQ143" t="s">
        <v>3034</v>
      </c>
      <c r="AR143" t="s">
        <v>3035</v>
      </c>
      <c r="AS143" t="s">
        <v>3036</v>
      </c>
      <c r="AT143" t="s">
        <v>74</v>
      </c>
      <c r="AU143">
        <v>2014</v>
      </c>
      <c r="AV143">
        <v>52</v>
      </c>
      <c r="AW143" t="s">
        <v>74</v>
      </c>
      <c r="AX143" t="s">
        <v>74</v>
      </c>
      <c r="AY143" t="s">
        <v>74</v>
      </c>
      <c r="AZ143" t="s">
        <v>74</v>
      </c>
      <c r="BA143" t="s">
        <v>74</v>
      </c>
      <c r="BB143">
        <v>315</v>
      </c>
      <c r="BC143">
        <v>335</v>
      </c>
      <c r="BD143" t="s">
        <v>74</v>
      </c>
      <c r="BE143" t="s">
        <v>74</v>
      </c>
      <c r="BF143" t="s">
        <v>74</v>
      </c>
      <c r="BG143" t="s">
        <v>3037</v>
      </c>
      <c r="BH143" t="s">
        <v>74</v>
      </c>
      <c r="BI143">
        <v>21</v>
      </c>
      <c r="BJ143" t="s">
        <v>2306</v>
      </c>
      <c r="BK143" t="s">
        <v>2478</v>
      </c>
      <c r="BL143" t="s">
        <v>2307</v>
      </c>
      <c r="BM143" t="s">
        <v>3038</v>
      </c>
      <c r="BN143" t="s">
        <v>74</v>
      </c>
      <c r="BO143" t="s">
        <v>74</v>
      </c>
      <c r="BP143" t="s">
        <v>74</v>
      </c>
      <c r="BQ143" t="s">
        <v>74</v>
      </c>
      <c r="BR143" t="s">
        <v>103</v>
      </c>
      <c r="BS143" t="s">
        <v>3039</v>
      </c>
      <c r="BT143" t="str">
        <f>HYPERLINK("https%3A%2F%2Fwww.webofscience.com%2Fwos%2Fwoscc%2Ffull-record%2FWOS:000350304100007","View Full Record in Web of Science")</f>
        <v>View Full Record in Web of Science</v>
      </c>
    </row>
    <row r="144" spans="1:72" x14ac:dyDescent="0.15">
      <c r="A144" t="s">
        <v>72</v>
      </c>
      <c r="B144" t="s">
        <v>3040</v>
      </c>
      <c r="C144" t="s">
        <v>74</v>
      </c>
      <c r="D144" t="s">
        <v>74</v>
      </c>
      <c r="E144" t="s">
        <v>74</v>
      </c>
      <c r="F144" t="s">
        <v>3041</v>
      </c>
      <c r="G144" t="s">
        <v>74</v>
      </c>
      <c r="H144" t="s">
        <v>74</v>
      </c>
      <c r="I144" t="s">
        <v>3042</v>
      </c>
      <c r="J144" t="s">
        <v>3043</v>
      </c>
      <c r="K144" t="s">
        <v>74</v>
      </c>
      <c r="L144" t="s">
        <v>74</v>
      </c>
      <c r="M144" t="s">
        <v>78</v>
      </c>
      <c r="N144" t="s">
        <v>79</v>
      </c>
      <c r="O144" t="s">
        <v>74</v>
      </c>
      <c r="P144" t="s">
        <v>74</v>
      </c>
      <c r="Q144" t="s">
        <v>74</v>
      </c>
      <c r="R144" t="s">
        <v>74</v>
      </c>
      <c r="S144" t="s">
        <v>74</v>
      </c>
      <c r="T144" t="s">
        <v>3044</v>
      </c>
      <c r="U144" t="s">
        <v>3045</v>
      </c>
      <c r="V144" t="s">
        <v>3046</v>
      </c>
      <c r="W144" t="s">
        <v>3047</v>
      </c>
      <c r="X144" t="s">
        <v>3048</v>
      </c>
      <c r="Y144" t="s">
        <v>3049</v>
      </c>
      <c r="Z144" t="s">
        <v>3050</v>
      </c>
      <c r="AA144" t="s">
        <v>3051</v>
      </c>
      <c r="AB144" t="s">
        <v>3052</v>
      </c>
      <c r="AC144" t="s">
        <v>3053</v>
      </c>
      <c r="AD144" t="s">
        <v>3054</v>
      </c>
      <c r="AE144" t="s">
        <v>3055</v>
      </c>
      <c r="AF144" t="s">
        <v>74</v>
      </c>
      <c r="AG144">
        <v>65</v>
      </c>
      <c r="AH144">
        <v>28</v>
      </c>
      <c r="AI144">
        <v>30</v>
      </c>
      <c r="AJ144">
        <v>0</v>
      </c>
      <c r="AK144">
        <v>74</v>
      </c>
      <c r="AL144" t="s">
        <v>1067</v>
      </c>
      <c r="AM144" t="s">
        <v>921</v>
      </c>
      <c r="AN144" t="s">
        <v>2690</v>
      </c>
      <c r="AO144" t="s">
        <v>3056</v>
      </c>
      <c r="AP144" t="s">
        <v>3057</v>
      </c>
      <c r="AQ144" t="s">
        <v>74</v>
      </c>
      <c r="AR144" t="s">
        <v>3043</v>
      </c>
      <c r="AS144" t="s">
        <v>3058</v>
      </c>
      <c r="AT144" t="s">
        <v>417</v>
      </c>
      <c r="AU144">
        <v>2014</v>
      </c>
      <c r="AV144">
        <v>174</v>
      </c>
      <c r="AW144">
        <v>1</v>
      </c>
      <c r="AX144" t="s">
        <v>74</v>
      </c>
      <c r="AY144" t="s">
        <v>74</v>
      </c>
      <c r="AZ144" t="s">
        <v>74</v>
      </c>
      <c r="BA144" t="s">
        <v>74</v>
      </c>
      <c r="BB144">
        <v>45</v>
      </c>
      <c r="BC144">
        <v>54</v>
      </c>
      <c r="BD144" t="s">
        <v>74</v>
      </c>
      <c r="BE144" t="s">
        <v>3059</v>
      </c>
      <c r="BF144" t="str">
        <f>HYPERLINK("http://dx.doi.org/10.1007/s00442-013-2767-8","http://dx.doi.org/10.1007/s00442-013-2767-8")</f>
        <v>http://dx.doi.org/10.1007/s00442-013-2767-8</v>
      </c>
      <c r="BG144" t="s">
        <v>74</v>
      </c>
      <c r="BH144" t="s">
        <v>74</v>
      </c>
      <c r="BI144">
        <v>10</v>
      </c>
      <c r="BJ144" t="s">
        <v>419</v>
      </c>
      <c r="BK144" t="s">
        <v>99</v>
      </c>
      <c r="BL144" t="s">
        <v>420</v>
      </c>
      <c r="BM144" t="s">
        <v>3060</v>
      </c>
      <c r="BN144">
        <v>24036933</v>
      </c>
      <c r="BO144" t="s">
        <v>315</v>
      </c>
      <c r="BP144" t="s">
        <v>74</v>
      </c>
      <c r="BQ144" t="s">
        <v>74</v>
      </c>
      <c r="BR144" t="s">
        <v>103</v>
      </c>
      <c r="BS144" t="s">
        <v>3061</v>
      </c>
      <c r="BT144" t="str">
        <f>HYPERLINK("https%3A%2F%2Fwww.webofscience.com%2Fwos%2Fwoscc%2Ffull-record%2FWOS:000329624300005","View Full Record in Web of Science")</f>
        <v>View Full Record in Web of Science</v>
      </c>
    </row>
    <row r="145" spans="1:72" x14ac:dyDescent="0.15">
      <c r="A145" t="s">
        <v>72</v>
      </c>
      <c r="B145" t="s">
        <v>3062</v>
      </c>
      <c r="C145" t="s">
        <v>74</v>
      </c>
      <c r="D145" t="s">
        <v>74</v>
      </c>
      <c r="E145" t="s">
        <v>74</v>
      </c>
      <c r="F145" t="s">
        <v>3063</v>
      </c>
      <c r="G145" t="s">
        <v>74</v>
      </c>
      <c r="H145" t="s">
        <v>74</v>
      </c>
      <c r="I145" t="s">
        <v>3064</v>
      </c>
      <c r="J145" t="s">
        <v>3065</v>
      </c>
      <c r="K145" t="s">
        <v>74</v>
      </c>
      <c r="L145" t="s">
        <v>74</v>
      </c>
      <c r="M145" t="s">
        <v>78</v>
      </c>
      <c r="N145" t="s">
        <v>79</v>
      </c>
      <c r="O145" t="s">
        <v>74</v>
      </c>
      <c r="P145" t="s">
        <v>74</v>
      </c>
      <c r="Q145" t="s">
        <v>74</v>
      </c>
      <c r="R145" t="s">
        <v>74</v>
      </c>
      <c r="S145" t="s">
        <v>74</v>
      </c>
      <c r="T145" t="s">
        <v>74</v>
      </c>
      <c r="U145" t="s">
        <v>3066</v>
      </c>
      <c r="V145" t="s">
        <v>3067</v>
      </c>
      <c r="W145" t="s">
        <v>3068</v>
      </c>
      <c r="X145" t="s">
        <v>3069</v>
      </c>
      <c r="Y145" t="s">
        <v>3070</v>
      </c>
      <c r="Z145" t="s">
        <v>3071</v>
      </c>
      <c r="AA145" t="s">
        <v>3072</v>
      </c>
      <c r="AB145" t="s">
        <v>3073</v>
      </c>
      <c r="AC145" t="s">
        <v>3074</v>
      </c>
      <c r="AD145" t="s">
        <v>3075</v>
      </c>
      <c r="AE145" t="s">
        <v>3076</v>
      </c>
      <c r="AF145" t="s">
        <v>74</v>
      </c>
      <c r="AG145">
        <v>87</v>
      </c>
      <c r="AH145">
        <v>75</v>
      </c>
      <c r="AI145">
        <v>77</v>
      </c>
      <c r="AJ145">
        <v>3</v>
      </c>
      <c r="AK145">
        <v>55</v>
      </c>
      <c r="AL145" t="s">
        <v>1606</v>
      </c>
      <c r="AM145" t="s">
        <v>808</v>
      </c>
      <c r="AN145" t="s">
        <v>1607</v>
      </c>
      <c r="AO145" t="s">
        <v>3077</v>
      </c>
      <c r="AP145" t="s">
        <v>3078</v>
      </c>
      <c r="AQ145" t="s">
        <v>74</v>
      </c>
      <c r="AR145" t="s">
        <v>3065</v>
      </c>
      <c r="AS145" t="s">
        <v>3079</v>
      </c>
      <c r="AT145" t="s">
        <v>417</v>
      </c>
      <c r="AU145">
        <v>2014</v>
      </c>
      <c r="AV145">
        <v>29</v>
      </c>
      <c r="AW145">
        <v>1</v>
      </c>
      <c r="AX145" t="s">
        <v>74</v>
      </c>
      <c r="AY145" t="s">
        <v>74</v>
      </c>
      <c r="AZ145" t="s">
        <v>74</v>
      </c>
      <c r="BA145" t="s">
        <v>74</v>
      </c>
      <c r="BB145">
        <v>58</v>
      </c>
      <c r="BC145">
        <v>70</v>
      </c>
      <c r="BD145" t="s">
        <v>74</v>
      </c>
      <c r="BE145" t="s">
        <v>3080</v>
      </c>
      <c r="BF145" t="str">
        <f>HYPERLINK("http://dx.doi.org/10.1002/2013PA002542","http://dx.doi.org/10.1002/2013PA002542")</f>
        <v>http://dx.doi.org/10.1002/2013PA002542</v>
      </c>
      <c r="BG145" t="s">
        <v>74</v>
      </c>
      <c r="BH145" t="s">
        <v>74</v>
      </c>
      <c r="BI145">
        <v>13</v>
      </c>
      <c r="BJ145" t="s">
        <v>3081</v>
      </c>
      <c r="BK145" t="s">
        <v>99</v>
      </c>
      <c r="BL145" t="s">
        <v>3082</v>
      </c>
      <c r="BM145" t="s">
        <v>3083</v>
      </c>
      <c r="BN145" t="s">
        <v>74</v>
      </c>
      <c r="BO145" t="s">
        <v>3084</v>
      </c>
      <c r="BP145" t="s">
        <v>74</v>
      </c>
      <c r="BQ145" t="s">
        <v>74</v>
      </c>
      <c r="BR145" t="s">
        <v>103</v>
      </c>
      <c r="BS145" t="s">
        <v>3085</v>
      </c>
      <c r="BT145" t="str">
        <f>HYPERLINK("https%3A%2F%2Fwww.webofscience.com%2Fwos%2Fwoscc%2Ffull-record%2FWOS:000337977700005","View Full Record in Web of Science")</f>
        <v>View Full Record in Web of Science</v>
      </c>
    </row>
    <row r="146" spans="1:72" x14ac:dyDescent="0.15">
      <c r="A146" t="s">
        <v>72</v>
      </c>
      <c r="B146" t="s">
        <v>3086</v>
      </c>
      <c r="C146" t="s">
        <v>74</v>
      </c>
      <c r="D146" t="s">
        <v>74</v>
      </c>
      <c r="E146" t="s">
        <v>74</v>
      </c>
      <c r="F146" t="s">
        <v>3087</v>
      </c>
      <c r="G146" t="s">
        <v>74</v>
      </c>
      <c r="H146" t="s">
        <v>74</v>
      </c>
      <c r="I146" t="s">
        <v>3088</v>
      </c>
      <c r="J146" t="s">
        <v>3089</v>
      </c>
      <c r="K146" t="s">
        <v>74</v>
      </c>
      <c r="L146" t="s">
        <v>74</v>
      </c>
      <c r="M146" t="s">
        <v>78</v>
      </c>
      <c r="N146" t="s">
        <v>79</v>
      </c>
      <c r="O146" t="s">
        <v>74</v>
      </c>
      <c r="P146" t="s">
        <v>74</v>
      </c>
      <c r="Q146" t="s">
        <v>74</v>
      </c>
      <c r="R146" t="s">
        <v>74</v>
      </c>
      <c r="S146" t="s">
        <v>74</v>
      </c>
      <c r="T146" t="s">
        <v>3090</v>
      </c>
      <c r="U146" t="s">
        <v>74</v>
      </c>
      <c r="V146" t="s">
        <v>3091</v>
      </c>
      <c r="W146" t="s">
        <v>3092</v>
      </c>
      <c r="X146" t="s">
        <v>3093</v>
      </c>
      <c r="Y146" t="s">
        <v>3094</v>
      </c>
      <c r="Z146" t="s">
        <v>3095</v>
      </c>
      <c r="AA146" t="s">
        <v>3096</v>
      </c>
      <c r="AB146" t="s">
        <v>74</v>
      </c>
      <c r="AC146" t="s">
        <v>74</v>
      </c>
      <c r="AD146" t="s">
        <v>74</v>
      </c>
      <c r="AE146" t="s">
        <v>74</v>
      </c>
      <c r="AF146" t="s">
        <v>74</v>
      </c>
      <c r="AG146">
        <v>15</v>
      </c>
      <c r="AH146">
        <v>0</v>
      </c>
      <c r="AI146">
        <v>0</v>
      </c>
      <c r="AJ146">
        <v>0</v>
      </c>
      <c r="AK146">
        <v>0</v>
      </c>
      <c r="AL146" t="s">
        <v>3097</v>
      </c>
      <c r="AM146" t="s">
        <v>3098</v>
      </c>
      <c r="AN146" t="s">
        <v>3099</v>
      </c>
      <c r="AO146" t="s">
        <v>3100</v>
      </c>
      <c r="AP146" t="s">
        <v>3101</v>
      </c>
      <c r="AQ146" t="s">
        <v>74</v>
      </c>
      <c r="AR146" t="s">
        <v>3102</v>
      </c>
      <c r="AS146" t="s">
        <v>3103</v>
      </c>
      <c r="AT146" t="s">
        <v>3104</v>
      </c>
      <c r="AU146">
        <v>2014</v>
      </c>
      <c r="AV146">
        <v>19</v>
      </c>
      <c r="AW146">
        <v>1</v>
      </c>
      <c r="AX146" t="s">
        <v>74</v>
      </c>
      <c r="AY146" t="s">
        <v>74</v>
      </c>
      <c r="AZ146" t="s">
        <v>74</v>
      </c>
      <c r="BA146" t="s">
        <v>74</v>
      </c>
      <c r="BB146">
        <v>152</v>
      </c>
      <c r="BC146">
        <v>161</v>
      </c>
      <c r="BD146" t="s">
        <v>74</v>
      </c>
      <c r="BE146" t="s">
        <v>74</v>
      </c>
      <c r="BF146" t="s">
        <v>74</v>
      </c>
      <c r="BG146" t="s">
        <v>74</v>
      </c>
      <c r="BH146" t="s">
        <v>74</v>
      </c>
      <c r="BI146">
        <v>10</v>
      </c>
      <c r="BJ146" t="s">
        <v>1012</v>
      </c>
      <c r="BK146" t="s">
        <v>494</v>
      </c>
      <c r="BL146" t="s">
        <v>1013</v>
      </c>
      <c r="BM146" t="s">
        <v>3105</v>
      </c>
      <c r="BN146" t="s">
        <v>74</v>
      </c>
      <c r="BO146" t="s">
        <v>74</v>
      </c>
      <c r="BP146" t="s">
        <v>74</v>
      </c>
      <c r="BQ146" t="s">
        <v>74</v>
      </c>
      <c r="BR146" t="s">
        <v>103</v>
      </c>
      <c r="BS146" t="s">
        <v>3106</v>
      </c>
      <c r="BT146" t="str">
        <f>HYPERLINK("https%3A%2F%2Fwww.webofscience.com%2Fwos%2Fwoscc%2Ffull-record%2FWOS:000421709200011","View Full Record in Web of Science")</f>
        <v>View Full Record in Web of Science</v>
      </c>
    </row>
    <row r="147" spans="1:72" x14ac:dyDescent="0.15">
      <c r="A147" t="s">
        <v>1053</v>
      </c>
      <c r="B147" t="s">
        <v>3107</v>
      </c>
      <c r="C147" t="s">
        <v>74</v>
      </c>
      <c r="D147" t="s">
        <v>3108</v>
      </c>
      <c r="E147" t="s">
        <v>74</v>
      </c>
      <c r="F147" t="s">
        <v>3109</v>
      </c>
      <c r="G147" t="s">
        <v>74</v>
      </c>
      <c r="H147" t="s">
        <v>74</v>
      </c>
      <c r="I147" t="s">
        <v>3110</v>
      </c>
      <c r="J147" t="s">
        <v>3111</v>
      </c>
      <c r="K147" t="s">
        <v>3112</v>
      </c>
      <c r="L147" t="s">
        <v>74</v>
      </c>
      <c r="M147" t="s">
        <v>78</v>
      </c>
      <c r="N147" t="s">
        <v>244</v>
      </c>
      <c r="O147" t="s">
        <v>74</v>
      </c>
      <c r="P147" t="s">
        <v>74</v>
      </c>
      <c r="Q147" t="s">
        <v>74</v>
      </c>
      <c r="R147" t="s">
        <v>74</v>
      </c>
      <c r="S147" t="s">
        <v>74</v>
      </c>
      <c r="T147" t="s">
        <v>74</v>
      </c>
      <c r="U147" t="s">
        <v>3113</v>
      </c>
      <c r="V147" t="s">
        <v>3114</v>
      </c>
      <c r="W147" t="s">
        <v>3115</v>
      </c>
      <c r="X147" t="s">
        <v>3116</v>
      </c>
      <c r="Y147" t="s">
        <v>3117</v>
      </c>
      <c r="Z147" t="s">
        <v>3118</v>
      </c>
      <c r="AA147" t="s">
        <v>3119</v>
      </c>
      <c r="AB147" t="s">
        <v>3120</v>
      </c>
      <c r="AC147" t="s">
        <v>74</v>
      </c>
      <c r="AD147" t="s">
        <v>74</v>
      </c>
      <c r="AE147" t="s">
        <v>74</v>
      </c>
      <c r="AF147" t="s">
        <v>74</v>
      </c>
      <c r="AG147">
        <v>107</v>
      </c>
      <c r="AH147">
        <v>27</v>
      </c>
      <c r="AI147">
        <v>32</v>
      </c>
      <c r="AJ147">
        <v>1</v>
      </c>
      <c r="AK147">
        <v>12</v>
      </c>
      <c r="AL147" t="s">
        <v>1067</v>
      </c>
      <c r="AM147" t="s">
        <v>1068</v>
      </c>
      <c r="AN147" t="s">
        <v>1069</v>
      </c>
      <c r="AO147" t="s">
        <v>3121</v>
      </c>
      <c r="AP147" t="s">
        <v>74</v>
      </c>
      <c r="AQ147" t="s">
        <v>3122</v>
      </c>
      <c r="AR147" t="s">
        <v>3123</v>
      </c>
      <c r="AS147" t="s">
        <v>3124</v>
      </c>
      <c r="AT147" t="s">
        <v>74</v>
      </c>
      <c r="AU147">
        <v>2014</v>
      </c>
      <c r="AV147">
        <v>37</v>
      </c>
      <c r="AW147" t="s">
        <v>74</v>
      </c>
      <c r="AX147" t="s">
        <v>74</v>
      </c>
      <c r="AY147" t="s">
        <v>74</v>
      </c>
      <c r="AZ147" t="s">
        <v>74</v>
      </c>
      <c r="BA147" t="s">
        <v>74</v>
      </c>
      <c r="BB147">
        <v>113</v>
      </c>
      <c r="BC147">
        <v>130</v>
      </c>
      <c r="BD147" t="s">
        <v>74</v>
      </c>
      <c r="BE147" t="s">
        <v>3125</v>
      </c>
      <c r="BF147" t="str">
        <f>HYPERLINK("http://dx.doi.org/10.1007/978-94-007-6988-5_7","http://dx.doi.org/10.1007/978-94-007-6988-5_7")</f>
        <v>http://dx.doi.org/10.1007/978-94-007-6988-5_7</v>
      </c>
      <c r="BG147" t="s">
        <v>3126</v>
      </c>
      <c r="BH147" t="s">
        <v>74</v>
      </c>
      <c r="BI147">
        <v>18</v>
      </c>
      <c r="BJ147" t="s">
        <v>3127</v>
      </c>
      <c r="BK147" t="s">
        <v>632</v>
      </c>
      <c r="BL147" t="s">
        <v>3127</v>
      </c>
      <c r="BM147" t="s">
        <v>3128</v>
      </c>
      <c r="BN147" t="s">
        <v>74</v>
      </c>
      <c r="BO147" t="s">
        <v>1145</v>
      </c>
      <c r="BP147" t="s">
        <v>74</v>
      </c>
      <c r="BQ147" t="s">
        <v>74</v>
      </c>
      <c r="BR147" t="s">
        <v>103</v>
      </c>
      <c r="BS147" t="s">
        <v>3129</v>
      </c>
      <c r="BT147" t="str">
        <f>HYPERLINK("https%3A%2F%2Fwww.webofscience.com%2Fwos%2Fwoscc%2Ffull-record%2FWOS:000332364600008","View Full Record in Web of Science")</f>
        <v>View Full Record in Web of Science</v>
      </c>
    </row>
    <row r="148" spans="1:72" x14ac:dyDescent="0.15">
      <c r="A148" t="s">
        <v>1053</v>
      </c>
      <c r="B148" t="s">
        <v>3130</v>
      </c>
      <c r="C148" t="s">
        <v>74</v>
      </c>
      <c r="D148" t="s">
        <v>3108</v>
      </c>
      <c r="E148" t="s">
        <v>74</v>
      </c>
      <c r="F148" t="s">
        <v>3131</v>
      </c>
      <c r="G148" t="s">
        <v>74</v>
      </c>
      <c r="H148" t="s">
        <v>74</v>
      </c>
      <c r="I148" t="s">
        <v>3132</v>
      </c>
      <c r="J148" t="s">
        <v>3111</v>
      </c>
      <c r="K148" t="s">
        <v>3112</v>
      </c>
      <c r="L148" t="s">
        <v>74</v>
      </c>
      <c r="M148" t="s">
        <v>78</v>
      </c>
      <c r="N148" t="s">
        <v>244</v>
      </c>
      <c r="O148" t="s">
        <v>74</v>
      </c>
      <c r="P148" t="s">
        <v>74</v>
      </c>
      <c r="Q148" t="s">
        <v>74</v>
      </c>
      <c r="R148" t="s">
        <v>74</v>
      </c>
      <c r="S148" t="s">
        <v>74</v>
      </c>
      <c r="T148" t="s">
        <v>74</v>
      </c>
      <c r="U148" t="s">
        <v>3133</v>
      </c>
      <c r="V148" t="s">
        <v>3134</v>
      </c>
      <c r="W148" t="s">
        <v>3135</v>
      </c>
      <c r="X148" t="s">
        <v>3136</v>
      </c>
      <c r="Y148" t="s">
        <v>3117</v>
      </c>
      <c r="Z148" t="s">
        <v>3118</v>
      </c>
      <c r="AA148" t="s">
        <v>3137</v>
      </c>
      <c r="AB148" t="s">
        <v>3138</v>
      </c>
      <c r="AC148" t="s">
        <v>74</v>
      </c>
      <c r="AD148" t="s">
        <v>74</v>
      </c>
      <c r="AE148" t="s">
        <v>74</v>
      </c>
      <c r="AF148" t="s">
        <v>74</v>
      </c>
      <c r="AG148">
        <v>102</v>
      </c>
      <c r="AH148">
        <v>37</v>
      </c>
      <c r="AI148">
        <v>39</v>
      </c>
      <c r="AJ148">
        <v>0</v>
      </c>
      <c r="AK148">
        <v>19</v>
      </c>
      <c r="AL148" t="s">
        <v>1067</v>
      </c>
      <c r="AM148" t="s">
        <v>1068</v>
      </c>
      <c r="AN148" t="s">
        <v>1069</v>
      </c>
      <c r="AO148" t="s">
        <v>3121</v>
      </c>
      <c r="AP148" t="s">
        <v>74</v>
      </c>
      <c r="AQ148" t="s">
        <v>3122</v>
      </c>
      <c r="AR148" t="s">
        <v>3123</v>
      </c>
      <c r="AS148" t="s">
        <v>3124</v>
      </c>
      <c r="AT148" t="s">
        <v>74</v>
      </c>
      <c r="AU148">
        <v>2014</v>
      </c>
      <c r="AV148">
        <v>37</v>
      </c>
      <c r="AW148" t="s">
        <v>74</v>
      </c>
      <c r="AX148" t="s">
        <v>74</v>
      </c>
      <c r="AY148" t="s">
        <v>74</v>
      </c>
      <c r="AZ148" t="s">
        <v>74</v>
      </c>
      <c r="BA148" t="s">
        <v>74</v>
      </c>
      <c r="BB148">
        <v>309</v>
      </c>
      <c r="BC148">
        <v>324</v>
      </c>
      <c r="BD148" t="s">
        <v>74</v>
      </c>
      <c r="BE148" t="s">
        <v>3139</v>
      </c>
      <c r="BF148" t="str">
        <f>HYPERLINK("http://dx.doi.org/10.1007/978-94-007-6988-5_17","http://dx.doi.org/10.1007/978-94-007-6988-5_17")</f>
        <v>http://dx.doi.org/10.1007/978-94-007-6988-5_17</v>
      </c>
      <c r="BG148" t="s">
        <v>3126</v>
      </c>
      <c r="BH148" t="s">
        <v>74</v>
      </c>
      <c r="BI148">
        <v>16</v>
      </c>
      <c r="BJ148" t="s">
        <v>3127</v>
      </c>
      <c r="BK148" t="s">
        <v>632</v>
      </c>
      <c r="BL148" t="s">
        <v>3127</v>
      </c>
      <c r="BM148" t="s">
        <v>3128</v>
      </c>
      <c r="BN148" t="s">
        <v>74</v>
      </c>
      <c r="BO148" t="s">
        <v>1145</v>
      </c>
      <c r="BP148" t="s">
        <v>74</v>
      </c>
      <c r="BQ148" t="s">
        <v>74</v>
      </c>
      <c r="BR148" t="s">
        <v>103</v>
      </c>
      <c r="BS148" t="s">
        <v>3140</v>
      </c>
      <c r="BT148" t="str">
        <f>HYPERLINK("https%3A%2F%2Fwww.webofscience.com%2Fwos%2Fwoscc%2Ffull-record%2FWOS:000332364600018","View Full Record in Web of Science")</f>
        <v>View Full Record in Web of Science</v>
      </c>
    </row>
    <row r="149" spans="1:72" x14ac:dyDescent="0.15">
      <c r="A149" t="s">
        <v>72</v>
      </c>
      <c r="B149" t="s">
        <v>3141</v>
      </c>
      <c r="C149" t="s">
        <v>74</v>
      </c>
      <c r="D149" t="s">
        <v>74</v>
      </c>
      <c r="E149" t="s">
        <v>74</v>
      </c>
      <c r="F149" t="s">
        <v>3142</v>
      </c>
      <c r="G149" t="s">
        <v>74</v>
      </c>
      <c r="H149" t="s">
        <v>74</v>
      </c>
      <c r="I149" t="s">
        <v>3143</v>
      </c>
      <c r="J149" t="s">
        <v>3144</v>
      </c>
      <c r="K149" t="s">
        <v>74</v>
      </c>
      <c r="L149" t="s">
        <v>74</v>
      </c>
      <c r="M149" t="s">
        <v>78</v>
      </c>
      <c r="N149" t="s">
        <v>79</v>
      </c>
      <c r="O149" t="s">
        <v>74</v>
      </c>
      <c r="P149" t="s">
        <v>74</v>
      </c>
      <c r="Q149" t="s">
        <v>74</v>
      </c>
      <c r="R149" t="s">
        <v>74</v>
      </c>
      <c r="S149" t="s">
        <v>74</v>
      </c>
      <c r="T149" t="s">
        <v>3145</v>
      </c>
      <c r="U149" t="s">
        <v>3146</v>
      </c>
      <c r="V149" t="s">
        <v>3147</v>
      </c>
      <c r="W149" t="s">
        <v>3148</v>
      </c>
      <c r="X149" t="s">
        <v>3149</v>
      </c>
      <c r="Y149" t="s">
        <v>3150</v>
      </c>
      <c r="Z149" t="s">
        <v>3151</v>
      </c>
      <c r="AA149" t="s">
        <v>3152</v>
      </c>
      <c r="AB149" t="s">
        <v>3153</v>
      </c>
      <c r="AC149" t="s">
        <v>3154</v>
      </c>
      <c r="AD149" t="s">
        <v>3155</v>
      </c>
      <c r="AE149" t="s">
        <v>3156</v>
      </c>
      <c r="AF149" t="s">
        <v>74</v>
      </c>
      <c r="AG149">
        <v>58</v>
      </c>
      <c r="AH149">
        <v>29</v>
      </c>
      <c r="AI149">
        <v>33</v>
      </c>
      <c r="AJ149">
        <v>0</v>
      </c>
      <c r="AK149">
        <v>16</v>
      </c>
      <c r="AL149" t="s">
        <v>276</v>
      </c>
      <c r="AM149" t="s">
        <v>277</v>
      </c>
      <c r="AN149" t="s">
        <v>2752</v>
      </c>
      <c r="AO149" t="s">
        <v>3157</v>
      </c>
      <c r="AP149" t="s">
        <v>3158</v>
      </c>
      <c r="AQ149" t="s">
        <v>74</v>
      </c>
      <c r="AR149" t="s">
        <v>3144</v>
      </c>
      <c r="AS149" t="s">
        <v>3159</v>
      </c>
      <c r="AT149" t="s">
        <v>74</v>
      </c>
      <c r="AU149">
        <v>2014</v>
      </c>
      <c r="AV149">
        <v>53</v>
      </c>
      <c r="AW149">
        <v>6</v>
      </c>
      <c r="AX149" t="s">
        <v>74</v>
      </c>
      <c r="AY149" t="s">
        <v>74</v>
      </c>
      <c r="AZ149" t="s">
        <v>74</v>
      </c>
      <c r="BA149" t="s">
        <v>74</v>
      </c>
      <c r="BB149">
        <v>593</v>
      </c>
      <c r="BC149">
        <v>601</v>
      </c>
      <c r="BD149" t="s">
        <v>74</v>
      </c>
      <c r="BE149" t="s">
        <v>3160</v>
      </c>
      <c r="BF149" t="str">
        <f>HYPERLINK("http://dx.doi.org/10.2216/14-044.1","http://dx.doi.org/10.2216/14-044.1")</f>
        <v>http://dx.doi.org/10.2216/14-044.1</v>
      </c>
      <c r="BG149" t="s">
        <v>74</v>
      </c>
      <c r="BH149" t="s">
        <v>74</v>
      </c>
      <c r="BI149">
        <v>9</v>
      </c>
      <c r="BJ149" t="s">
        <v>3161</v>
      </c>
      <c r="BK149" t="s">
        <v>99</v>
      </c>
      <c r="BL149" t="s">
        <v>3161</v>
      </c>
      <c r="BM149" t="s">
        <v>3162</v>
      </c>
      <c r="BN149" t="s">
        <v>74</v>
      </c>
      <c r="BO149" t="s">
        <v>74</v>
      </c>
      <c r="BP149" t="s">
        <v>74</v>
      </c>
      <c r="BQ149" t="s">
        <v>74</v>
      </c>
      <c r="BR149" t="s">
        <v>103</v>
      </c>
      <c r="BS149" t="s">
        <v>3163</v>
      </c>
      <c r="BT149" t="str">
        <f>HYPERLINK("https%3A%2F%2Fwww.webofscience.com%2Fwos%2Fwoscc%2Ffull-record%2FWOS:000347965000008","View Full Record in Web of Science")</f>
        <v>View Full Record in Web of Science</v>
      </c>
    </row>
    <row r="150" spans="1:72" x14ac:dyDescent="0.15">
      <c r="A150" t="s">
        <v>72</v>
      </c>
      <c r="B150" t="s">
        <v>3164</v>
      </c>
      <c r="C150" t="s">
        <v>74</v>
      </c>
      <c r="D150" t="s">
        <v>74</v>
      </c>
      <c r="E150" t="s">
        <v>74</v>
      </c>
      <c r="F150" t="s">
        <v>3165</v>
      </c>
      <c r="G150" t="s">
        <v>74</v>
      </c>
      <c r="H150" t="s">
        <v>74</v>
      </c>
      <c r="I150" t="s">
        <v>3166</v>
      </c>
      <c r="J150" t="s">
        <v>3167</v>
      </c>
      <c r="K150" t="s">
        <v>74</v>
      </c>
      <c r="L150" t="s">
        <v>74</v>
      </c>
      <c r="M150" t="s">
        <v>78</v>
      </c>
      <c r="N150" t="s">
        <v>79</v>
      </c>
      <c r="O150" t="s">
        <v>74</v>
      </c>
      <c r="P150" t="s">
        <v>74</v>
      </c>
      <c r="Q150" t="s">
        <v>74</v>
      </c>
      <c r="R150" t="s">
        <v>74</v>
      </c>
      <c r="S150" t="s">
        <v>74</v>
      </c>
      <c r="T150" t="s">
        <v>3168</v>
      </c>
      <c r="U150" t="s">
        <v>3169</v>
      </c>
      <c r="V150" t="s">
        <v>3170</v>
      </c>
      <c r="W150" t="s">
        <v>3171</v>
      </c>
      <c r="X150" t="s">
        <v>3172</v>
      </c>
      <c r="Y150" t="s">
        <v>3173</v>
      </c>
      <c r="Z150" t="s">
        <v>3174</v>
      </c>
      <c r="AA150" t="s">
        <v>74</v>
      </c>
      <c r="AB150" t="s">
        <v>74</v>
      </c>
      <c r="AC150" t="s">
        <v>3175</v>
      </c>
      <c r="AD150" t="s">
        <v>3176</v>
      </c>
      <c r="AE150" t="s">
        <v>3177</v>
      </c>
      <c r="AF150" t="s">
        <v>74</v>
      </c>
      <c r="AG150">
        <v>45</v>
      </c>
      <c r="AH150">
        <v>22</v>
      </c>
      <c r="AI150">
        <v>27</v>
      </c>
      <c r="AJ150">
        <v>0</v>
      </c>
      <c r="AK150">
        <v>57</v>
      </c>
      <c r="AL150" t="s">
        <v>1067</v>
      </c>
      <c r="AM150" t="s">
        <v>921</v>
      </c>
      <c r="AN150" t="s">
        <v>2493</v>
      </c>
      <c r="AO150" t="s">
        <v>3178</v>
      </c>
      <c r="AP150" t="s">
        <v>3179</v>
      </c>
      <c r="AQ150" t="s">
        <v>74</v>
      </c>
      <c r="AR150" t="s">
        <v>3180</v>
      </c>
      <c r="AS150" t="s">
        <v>3181</v>
      </c>
      <c r="AT150" t="s">
        <v>417</v>
      </c>
      <c r="AU150">
        <v>2014</v>
      </c>
      <c r="AV150">
        <v>37</v>
      </c>
      <c r="AW150">
        <v>1</v>
      </c>
      <c r="AX150" t="s">
        <v>74</v>
      </c>
      <c r="AY150" t="s">
        <v>74</v>
      </c>
      <c r="AZ150" t="s">
        <v>74</v>
      </c>
      <c r="BA150" t="s">
        <v>74</v>
      </c>
      <c r="BB150">
        <v>27</v>
      </c>
      <c r="BC150">
        <v>36</v>
      </c>
      <c r="BD150" t="s">
        <v>74</v>
      </c>
      <c r="BE150" t="s">
        <v>3182</v>
      </c>
      <c r="BF150" t="str">
        <f>HYPERLINK("http://dx.doi.org/10.1007/s00300-013-1406-5","http://dx.doi.org/10.1007/s00300-013-1406-5")</f>
        <v>http://dx.doi.org/10.1007/s00300-013-1406-5</v>
      </c>
      <c r="BG150" t="s">
        <v>74</v>
      </c>
      <c r="BH150" t="s">
        <v>74</v>
      </c>
      <c r="BI150">
        <v>10</v>
      </c>
      <c r="BJ150" t="s">
        <v>3183</v>
      </c>
      <c r="BK150" t="s">
        <v>99</v>
      </c>
      <c r="BL150" t="s">
        <v>1050</v>
      </c>
      <c r="BM150" t="s">
        <v>3184</v>
      </c>
      <c r="BN150" t="s">
        <v>74</v>
      </c>
      <c r="BO150" t="s">
        <v>74</v>
      </c>
      <c r="BP150" t="s">
        <v>74</v>
      </c>
      <c r="BQ150" t="s">
        <v>74</v>
      </c>
      <c r="BR150" t="s">
        <v>103</v>
      </c>
      <c r="BS150" t="s">
        <v>3185</v>
      </c>
      <c r="BT150" t="str">
        <f>HYPERLINK("https%3A%2F%2Fwww.webofscience.com%2Fwos%2Fwoscc%2Ffull-record%2FWOS:000328849600003","View Full Record in Web of Science")</f>
        <v>View Full Record in Web of Science</v>
      </c>
    </row>
    <row r="151" spans="1:72" x14ac:dyDescent="0.15">
      <c r="A151" t="s">
        <v>72</v>
      </c>
      <c r="B151" t="s">
        <v>3186</v>
      </c>
      <c r="C151" t="s">
        <v>74</v>
      </c>
      <c r="D151" t="s">
        <v>74</v>
      </c>
      <c r="E151" t="s">
        <v>74</v>
      </c>
      <c r="F151" t="s">
        <v>3187</v>
      </c>
      <c r="G151" t="s">
        <v>74</v>
      </c>
      <c r="H151" t="s">
        <v>74</v>
      </c>
      <c r="I151" t="s">
        <v>3188</v>
      </c>
      <c r="J151" t="s">
        <v>3189</v>
      </c>
      <c r="K151" t="s">
        <v>74</v>
      </c>
      <c r="L151" t="s">
        <v>74</v>
      </c>
      <c r="M151" t="s">
        <v>78</v>
      </c>
      <c r="N151" t="s">
        <v>2830</v>
      </c>
      <c r="O151" t="s">
        <v>74</v>
      </c>
      <c r="P151" t="s">
        <v>74</v>
      </c>
      <c r="Q151" t="s">
        <v>74</v>
      </c>
      <c r="R151" t="s">
        <v>74</v>
      </c>
      <c r="S151" t="s">
        <v>74</v>
      </c>
      <c r="T151" t="s">
        <v>74</v>
      </c>
      <c r="U151" t="s">
        <v>74</v>
      </c>
      <c r="V151" t="s">
        <v>74</v>
      </c>
      <c r="W151" t="s">
        <v>3190</v>
      </c>
      <c r="X151" t="s">
        <v>3191</v>
      </c>
      <c r="Y151" t="s">
        <v>3192</v>
      </c>
      <c r="Z151" t="s">
        <v>3193</v>
      </c>
      <c r="AA151" t="s">
        <v>3194</v>
      </c>
      <c r="AB151" t="s">
        <v>3195</v>
      </c>
      <c r="AC151" t="s">
        <v>3196</v>
      </c>
      <c r="AD151" t="s">
        <v>3197</v>
      </c>
      <c r="AE151" t="s">
        <v>3198</v>
      </c>
      <c r="AF151" t="s">
        <v>74</v>
      </c>
      <c r="AG151">
        <v>0</v>
      </c>
      <c r="AH151">
        <v>8</v>
      </c>
      <c r="AI151">
        <v>8</v>
      </c>
      <c r="AJ151">
        <v>0</v>
      </c>
      <c r="AK151">
        <v>1</v>
      </c>
      <c r="AL151" t="s">
        <v>2140</v>
      </c>
      <c r="AM151" t="s">
        <v>2141</v>
      </c>
      <c r="AN151" t="s">
        <v>2142</v>
      </c>
      <c r="AO151" t="s">
        <v>3199</v>
      </c>
      <c r="AP151" t="s">
        <v>3200</v>
      </c>
      <c r="AQ151" t="s">
        <v>74</v>
      </c>
      <c r="AR151" t="s">
        <v>3201</v>
      </c>
      <c r="AS151" t="s">
        <v>3202</v>
      </c>
      <c r="AT151" t="s">
        <v>74</v>
      </c>
      <c r="AU151">
        <v>2014</v>
      </c>
      <c r="AV151">
        <v>37</v>
      </c>
      <c r="AW151">
        <v>1</v>
      </c>
      <c r="AX151" t="s">
        <v>74</v>
      </c>
      <c r="AY151" t="s">
        <v>74</v>
      </c>
      <c r="AZ151" t="s">
        <v>74</v>
      </c>
      <c r="BA151" t="s">
        <v>74</v>
      </c>
      <c r="BB151">
        <v>1</v>
      </c>
      <c r="BC151">
        <v>4</v>
      </c>
      <c r="BD151" t="s">
        <v>74</v>
      </c>
      <c r="BE151" t="s">
        <v>3203</v>
      </c>
      <c r="BF151" t="str">
        <f>HYPERLINK("http://dx.doi.org/10.1080/1088937X.2014.894591","http://dx.doi.org/10.1080/1088937X.2014.894591")</f>
        <v>http://dx.doi.org/10.1080/1088937X.2014.894591</v>
      </c>
      <c r="BG151" t="s">
        <v>74</v>
      </c>
      <c r="BH151" t="s">
        <v>74</v>
      </c>
      <c r="BI151">
        <v>4</v>
      </c>
      <c r="BJ151" t="s">
        <v>3204</v>
      </c>
      <c r="BK151" t="s">
        <v>494</v>
      </c>
      <c r="BL151" t="s">
        <v>3205</v>
      </c>
      <c r="BM151" t="s">
        <v>3206</v>
      </c>
      <c r="BN151" t="s">
        <v>74</v>
      </c>
      <c r="BO151" t="s">
        <v>74</v>
      </c>
      <c r="BP151" t="s">
        <v>74</v>
      </c>
      <c r="BQ151" t="s">
        <v>74</v>
      </c>
      <c r="BR151" t="s">
        <v>103</v>
      </c>
      <c r="BS151" t="s">
        <v>3207</v>
      </c>
      <c r="BT151" t="str">
        <f>HYPERLINK("https%3A%2F%2Fwww.webofscience.com%2Fwos%2Fwoscc%2Ffull-record%2FWOS:000211114700001","View Full Record in Web of Science")</f>
        <v>View Full Record in Web of Science</v>
      </c>
    </row>
    <row r="152" spans="1:72" x14ac:dyDescent="0.15">
      <c r="A152" t="s">
        <v>72</v>
      </c>
      <c r="B152" t="s">
        <v>3208</v>
      </c>
      <c r="C152" t="s">
        <v>74</v>
      </c>
      <c r="D152" t="s">
        <v>74</v>
      </c>
      <c r="E152" t="s">
        <v>74</v>
      </c>
      <c r="F152" t="s">
        <v>3209</v>
      </c>
      <c r="G152" t="s">
        <v>74</v>
      </c>
      <c r="H152" t="s">
        <v>74</v>
      </c>
      <c r="I152" t="s">
        <v>3210</v>
      </c>
      <c r="J152" t="s">
        <v>3189</v>
      </c>
      <c r="K152" t="s">
        <v>74</v>
      </c>
      <c r="L152" t="s">
        <v>74</v>
      </c>
      <c r="M152" t="s">
        <v>78</v>
      </c>
      <c r="N152" t="s">
        <v>79</v>
      </c>
      <c r="O152" t="s">
        <v>74</v>
      </c>
      <c r="P152" t="s">
        <v>74</v>
      </c>
      <c r="Q152" t="s">
        <v>74</v>
      </c>
      <c r="R152" t="s">
        <v>74</v>
      </c>
      <c r="S152" t="s">
        <v>74</v>
      </c>
      <c r="T152" t="s">
        <v>74</v>
      </c>
      <c r="U152" t="s">
        <v>3211</v>
      </c>
      <c r="V152" t="s">
        <v>3212</v>
      </c>
      <c r="W152" t="s">
        <v>3213</v>
      </c>
      <c r="X152" t="s">
        <v>3214</v>
      </c>
      <c r="Y152" t="s">
        <v>3215</v>
      </c>
      <c r="Z152" t="s">
        <v>3216</v>
      </c>
      <c r="AA152" t="s">
        <v>3217</v>
      </c>
      <c r="AB152" t="s">
        <v>3218</v>
      </c>
      <c r="AC152" t="s">
        <v>3219</v>
      </c>
      <c r="AD152" t="s">
        <v>3220</v>
      </c>
      <c r="AE152" t="s">
        <v>3221</v>
      </c>
      <c r="AF152" t="s">
        <v>74</v>
      </c>
      <c r="AG152">
        <v>109</v>
      </c>
      <c r="AH152">
        <v>155</v>
      </c>
      <c r="AI152">
        <v>170</v>
      </c>
      <c r="AJ152">
        <v>0</v>
      </c>
      <c r="AK152">
        <v>2</v>
      </c>
      <c r="AL152" t="s">
        <v>2140</v>
      </c>
      <c r="AM152" t="s">
        <v>2141</v>
      </c>
      <c r="AN152" t="s">
        <v>2142</v>
      </c>
      <c r="AO152" t="s">
        <v>3199</v>
      </c>
      <c r="AP152" t="s">
        <v>3200</v>
      </c>
      <c r="AQ152" t="s">
        <v>74</v>
      </c>
      <c r="AR152" t="s">
        <v>3201</v>
      </c>
      <c r="AS152" t="s">
        <v>3202</v>
      </c>
      <c r="AT152" t="s">
        <v>74</v>
      </c>
      <c r="AU152">
        <v>2014</v>
      </c>
      <c r="AV152">
        <v>37</v>
      </c>
      <c r="AW152">
        <v>4</v>
      </c>
      <c r="AX152" t="s">
        <v>74</v>
      </c>
      <c r="AY152" t="s">
        <v>74</v>
      </c>
      <c r="AZ152" t="s">
        <v>74</v>
      </c>
      <c r="BA152" t="s">
        <v>74</v>
      </c>
      <c r="BB152">
        <v>298</v>
      </c>
      <c r="BC152">
        <v>324</v>
      </c>
      <c r="BD152" t="s">
        <v>74</v>
      </c>
      <c r="BE152" t="s">
        <v>3222</v>
      </c>
      <c r="BF152" t="str">
        <f>HYPERLINK("http://dx.doi.org/10.1080/1088937X.2014.965769","http://dx.doi.org/10.1080/1088937X.2014.965769")</f>
        <v>http://dx.doi.org/10.1080/1088937X.2014.965769</v>
      </c>
      <c r="BG152" t="s">
        <v>74</v>
      </c>
      <c r="BH152" t="s">
        <v>74</v>
      </c>
      <c r="BI152">
        <v>27</v>
      </c>
      <c r="BJ152" t="s">
        <v>3204</v>
      </c>
      <c r="BK152" t="s">
        <v>494</v>
      </c>
      <c r="BL152" t="s">
        <v>3205</v>
      </c>
      <c r="BM152" t="s">
        <v>3223</v>
      </c>
      <c r="BN152" t="s">
        <v>74</v>
      </c>
      <c r="BO152" t="s">
        <v>1381</v>
      </c>
      <c r="BP152" t="s">
        <v>74</v>
      </c>
      <c r="BQ152" t="s">
        <v>74</v>
      </c>
      <c r="BR152" t="s">
        <v>103</v>
      </c>
      <c r="BS152" t="s">
        <v>3224</v>
      </c>
      <c r="BT152" t="str">
        <f>HYPERLINK("https%3A%2F%2Fwww.webofscience.com%2Fwos%2Fwoscc%2Ffull-record%2FWOS:000211123100002","View Full Record in Web of Science")</f>
        <v>View Full Record in Web of Science</v>
      </c>
    </row>
    <row r="153" spans="1:72" x14ac:dyDescent="0.15">
      <c r="A153" t="s">
        <v>72</v>
      </c>
      <c r="B153" t="s">
        <v>3225</v>
      </c>
      <c r="C153" t="s">
        <v>74</v>
      </c>
      <c r="D153" t="s">
        <v>74</v>
      </c>
      <c r="E153" t="s">
        <v>74</v>
      </c>
      <c r="F153" t="s">
        <v>3226</v>
      </c>
      <c r="G153" t="s">
        <v>74</v>
      </c>
      <c r="H153" t="s">
        <v>74</v>
      </c>
      <c r="I153" t="s">
        <v>3227</v>
      </c>
      <c r="J153" t="s">
        <v>3228</v>
      </c>
      <c r="K153" t="s">
        <v>74</v>
      </c>
      <c r="L153" t="s">
        <v>74</v>
      </c>
      <c r="M153" t="s">
        <v>78</v>
      </c>
      <c r="N153" t="s">
        <v>2830</v>
      </c>
      <c r="O153" t="s">
        <v>74</v>
      </c>
      <c r="P153" t="s">
        <v>74</v>
      </c>
      <c r="Q153" t="s">
        <v>74</v>
      </c>
      <c r="R153" t="s">
        <v>74</v>
      </c>
      <c r="S153" t="s">
        <v>74</v>
      </c>
      <c r="T153" t="s">
        <v>74</v>
      </c>
      <c r="U153" t="s">
        <v>74</v>
      </c>
      <c r="V153" t="s">
        <v>3229</v>
      </c>
      <c r="W153" t="s">
        <v>74</v>
      </c>
      <c r="X153" t="s">
        <v>74</v>
      </c>
      <c r="Y153" t="s">
        <v>3230</v>
      </c>
      <c r="Z153" t="s">
        <v>3231</v>
      </c>
      <c r="AA153" t="s">
        <v>74</v>
      </c>
      <c r="AB153" t="s">
        <v>74</v>
      </c>
      <c r="AC153" t="s">
        <v>74</v>
      </c>
      <c r="AD153" t="s">
        <v>74</v>
      </c>
      <c r="AE153" t="s">
        <v>74</v>
      </c>
      <c r="AF153" t="s">
        <v>74</v>
      </c>
      <c r="AG153">
        <v>0</v>
      </c>
      <c r="AH153">
        <v>0</v>
      </c>
      <c r="AI153">
        <v>0</v>
      </c>
      <c r="AJ153">
        <v>0</v>
      </c>
      <c r="AK153">
        <v>2</v>
      </c>
      <c r="AL153" t="s">
        <v>1748</v>
      </c>
      <c r="AM153" t="s">
        <v>921</v>
      </c>
      <c r="AN153" t="s">
        <v>3232</v>
      </c>
      <c r="AO153" t="s">
        <v>3233</v>
      </c>
      <c r="AP153" t="s">
        <v>3234</v>
      </c>
      <c r="AQ153" t="s">
        <v>74</v>
      </c>
      <c r="AR153" t="s">
        <v>3235</v>
      </c>
      <c r="AS153" t="s">
        <v>3236</v>
      </c>
      <c r="AT153" t="s">
        <v>417</v>
      </c>
      <c r="AU153">
        <v>2014</v>
      </c>
      <c r="AV153">
        <v>50</v>
      </c>
      <c r="AW153">
        <v>1</v>
      </c>
      <c r="AX153" t="s">
        <v>74</v>
      </c>
      <c r="AY153" t="s">
        <v>74</v>
      </c>
      <c r="AZ153" t="s">
        <v>74</v>
      </c>
      <c r="BA153" t="s">
        <v>74</v>
      </c>
      <c r="BB153">
        <v>112</v>
      </c>
      <c r="BC153">
        <v>112</v>
      </c>
      <c r="BD153" t="s">
        <v>74</v>
      </c>
      <c r="BE153" t="s">
        <v>3237</v>
      </c>
      <c r="BF153" t="str">
        <f>HYPERLINK("http://dx.doi.org/10.1017/S0032247413000259","http://dx.doi.org/10.1017/S0032247413000259")</f>
        <v>http://dx.doi.org/10.1017/S0032247413000259</v>
      </c>
      <c r="BG153" t="s">
        <v>74</v>
      </c>
      <c r="BH153" t="s">
        <v>74</v>
      </c>
      <c r="BI153">
        <v>1</v>
      </c>
      <c r="BJ153" t="s">
        <v>3238</v>
      </c>
      <c r="BK153" t="s">
        <v>99</v>
      </c>
      <c r="BL153" t="s">
        <v>420</v>
      </c>
      <c r="BM153" t="s">
        <v>3239</v>
      </c>
      <c r="BN153" t="s">
        <v>74</v>
      </c>
      <c r="BO153" t="s">
        <v>74</v>
      </c>
      <c r="BP153" t="s">
        <v>74</v>
      </c>
      <c r="BQ153" t="s">
        <v>74</v>
      </c>
      <c r="BR153" t="s">
        <v>103</v>
      </c>
      <c r="BS153" t="s">
        <v>3240</v>
      </c>
      <c r="BT153" t="str">
        <f>HYPERLINK("https%3A%2F%2Fwww.webofscience.com%2Fwos%2Fwoscc%2Ffull-record%2FWOS:000328472100011","View Full Record in Web of Science")</f>
        <v>View Full Record in Web of Science</v>
      </c>
    </row>
    <row r="154" spans="1:72" x14ac:dyDescent="0.15">
      <c r="A154" t="s">
        <v>72</v>
      </c>
      <c r="B154" t="s">
        <v>3241</v>
      </c>
      <c r="C154" t="s">
        <v>74</v>
      </c>
      <c r="D154" t="s">
        <v>74</v>
      </c>
      <c r="E154" t="s">
        <v>74</v>
      </c>
      <c r="F154" t="s">
        <v>3242</v>
      </c>
      <c r="G154" t="s">
        <v>74</v>
      </c>
      <c r="H154" t="s">
        <v>74</v>
      </c>
      <c r="I154" t="s">
        <v>3243</v>
      </c>
      <c r="J154" t="s">
        <v>3244</v>
      </c>
      <c r="K154" t="s">
        <v>74</v>
      </c>
      <c r="L154" t="s">
        <v>74</v>
      </c>
      <c r="M154" t="s">
        <v>78</v>
      </c>
      <c r="N154" t="s">
        <v>79</v>
      </c>
      <c r="O154" t="s">
        <v>74</v>
      </c>
      <c r="P154" t="s">
        <v>74</v>
      </c>
      <c r="Q154" t="s">
        <v>74</v>
      </c>
      <c r="R154" t="s">
        <v>74</v>
      </c>
      <c r="S154" t="s">
        <v>74</v>
      </c>
      <c r="T154" t="s">
        <v>3245</v>
      </c>
      <c r="U154" t="s">
        <v>3246</v>
      </c>
      <c r="V154" t="s">
        <v>3247</v>
      </c>
      <c r="W154" t="s">
        <v>3248</v>
      </c>
      <c r="X154" t="s">
        <v>3249</v>
      </c>
      <c r="Y154" t="s">
        <v>3250</v>
      </c>
      <c r="Z154" t="s">
        <v>3251</v>
      </c>
      <c r="AA154" t="s">
        <v>3252</v>
      </c>
      <c r="AB154" t="s">
        <v>3253</v>
      </c>
      <c r="AC154" t="s">
        <v>3254</v>
      </c>
      <c r="AD154" t="s">
        <v>3255</v>
      </c>
      <c r="AE154" t="s">
        <v>3256</v>
      </c>
      <c r="AF154" t="s">
        <v>74</v>
      </c>
      <c r="AG154">
        <v>79</v>
      </c>
      <c r="AH154">
        <v>13</v>
      </c>
      <c r="AI154">
        <v>14</v>
      </c>
      <c r="AJ154">
        <v>1</v>
      </c>
      <c r="AK154">
        <v>38</v>
      </c>
      <c r="AL154" t="s">
        <v>3257</v>
      </c>
      <c r="AM154" t="s">
        <v>3258</v>
      </c>
      <c r="AN154" t="s">
        <v>3259</v>
      </c>
      <c r="AO154" t="s">
        <v>3260</v>
      </c>
      <c r="AP154" t="s">
        <v>3261</v>
      </c>
      <c r="AQ154" t="s">
        <v>74</v>
      </c>
      <c r="AR154" t="s">
        <v>3262</v>
      </c>
      <c r="AS154" t="s">
        <v>3263</v>
      </c>
      <c r="AT154" t="s">
        <v>74</v>
      </c>
      <c r="AU154">
        <v>2014</v>
      </c>
      <c r="AV154">
        <v>33</v>
      </c>
      <c r="AW154" t="s">
        <v>74</v>
      </c>
      <c r="AX154" t="s">
        <v>74</v>
      </c>
      <c r="AY154" t="s">
        <v>74</v>
      </c>
      <c r="AZ154" t="s">
        <v>74</v>
      </c>
      <c r="BA154" t="s">
        <v>74</v>
      </c>
      <c r="BB154" t="s">
        <v>74</v>
      </c>
      <c r="BC154" t="s">
        <v>74</v>
      </c>
      <c r="BD154">
        <v>22963</v>
      </c>
      <c r="BE154" t="s">
        <v>3264</v>
      </c>
      <c r="BF154" t="str">
        <f>HYPERLINK("http://dx.doi.org/10.3402/polar.v33.22963","http://dx.doi.org/10.3402/polar.v33.22963")</f>
        <v>http://dx.doi.org/10.3402/polar.v33.22963</v>
      </c>
      <c r="BG154" t="s">
        <v>74</v>
      </c>
      <c r="BH154" t="s">
        <v>74</v>
      </c>
      <c r="BI154">
        <v>10</v>
      </c>
      <c r="BJ154" t="s">
        <v>3265</v>
      </c>
      <c r="BK154" t="s">
        <v>99</v>
      </c>
      <c r="BL154" t="s">
        <v>3266</v>
      </c>
      <c r="BM154" t="s">
        <v>3267</v>
      </c>
      <c r="BN154" t="s">
        <v>74</v>
      </c>
      <c r="BO154" t="s">
        <v>3268</v>
      </c>
      <c r="BP154" t="s">
        <v>74</v>
      </c>
      <c r="BQ154" t="s">
        <v>74</v>
      </c>
      <c r="BR154" t="s">
        <v>103</v>
      </c>
      <c r="BS154" t="s">
        <v>3269</v>
      </c>
      <c r="BT154" t="str">
        <f>HYPERLINK("https%3A%2F%2Fwww.webofscience.com%2Fwos%2Fwoscc%2Ffull-record%2FWOS:000336457800001","View Full Record in Web of Science")</f>
        <v>View Full Record in Web of Science</v>
      </c>
    </row>
    <row r="155" spans="1:72" x14ac:dyDescent="0.15">
      <c r="A155" t="s">
        <v>72</v>
      </c>
      <c r="B155" t="s">
        <v>3270</v>
      </c>
      <c r="C155" t="s">
        <v>74</v>
      </c>
      <c r="D155" t="s">
        <v>74</v>
      </c>
      <c r="E155" t="s">
        <v>74</v>
      </c>
      <c r="F155" t="s">
        <v>3271</v>
      </c>
      <c r="G155" t="s">
        <v>74</v>
      </c>
      <c r="H155" t="s">
        <v>74</v>
      </c>
      <c r="I155" t="s">
        <v>3272</v>
      </c>
      <c r="J155" t="s">
        <v>3244</v>
      </c>
      <c r="K155" t="s">
        <v>74</v>
      </c>
      <c r="L155" t="s">
        <v>74</v>
      </c>
      <c r="M155" t="s">
        <v>78</v>
      </c>
      <c r="N155" t="s">
        <v>79</v>
      </c>
      <c r="O155" t="s">
        <v>74</v>
      </c>
      <c r="P155" t="s">
        <v>74</v>
      </c>
      <c r="Q155" t="s">
        <v>74</v>
      </c>
      <c r="R155" t="s">
        <v>74</v>
      </c>
      <c r="S155" t="s">
        <v>74</v>
      </c>
      <c r="T155" t="s">
        <v>3273</v>
      </c>
      <c r="U155" t="s">
        <v>3274</v>
      </c>
      <c r="V155" t="s">
        <v>3275</v>
      </c>
      <c r="W155" t="s">
        <v>3276</v>
      </c>
      <c r="X155" t="s">
        <v>709</v>
      </c>
      <c r="Y155" t="s">
        <v>3277</v>
      </c>
      <c r="Z155" t="s">
        <v>3278</v>
      </c>
      <c r="AA155" t="s">
        <v>3279</v>
      </c>
      <c r="AB155" t="s">
        <v>3280</v>
      </c>
      <c r="AC155" t="s">
        <v>3281</v>
      </c>
      <c r="AD155" t="s">
        <v>1747</v>
      </c>
      <c r="AE155" t="s">
        <v>74</v>
      </c>
      <c r="AF155" t="s">
        <v>74</v>
      </c>
      <c r="AG155">
        <v>78</v>
      </c>
      <c r="AH155">
        <v>21</v>
      </c>
      <c r="AI155">
        <v>21</v>
      </c>
      <c r="AJ155">
        <v>0</v>
      </c>
      <c r="AK155">
        <v>27</v>
      </c>
      <c r="AL155" t="s">
        <v>276</v>
      </c>
      <c r="AM155" t="s">
        <v>277</v>
      </c>
      <c r="AN155" t="s">
        <v>2752</v>
      </c>
      <c r="AO155" t="s">
        <v>3260</v>
      </c>
      <c r="AP155" t="s">
        <v>3261</v>
      </c>
      <c r="AQ155" t="s">
        <v>74</v>
      </c>
      <c r="AR155" t="s">
        <v>3262</v>
      </c>
      <c r="AS155" t="s">
        <v>3263</v>
      </c>
      <c r="AT155" t="s">
        <v>74</v>
      </c>
      <c r="AU155">
        <v>2014</v>
      </c>
      <c r="AV155">
        <v>33</v>
      </c>
      <c r="AW155" t="s">
        <v>74</v>
      </c>
      <c r="AX155" t="s">
        <v>74</v>
      </c>
      <c r="AY155" t="s">
        <v>74</v>
      </c>
      <c r="AZ155" t="s">
        <v>74</v>
      </c>
      <c r="BA155" t="s">
        <v>74</v>
      </c>
      <c r="BB155" t="s">
        <v>74</v>
      </c>
      <c r="BC155" t="s">
        <v>74</v>
      </c>
      <c r="BD155">
        <v>22103</v>
      </c>
      <c r="BE155" t="s">
        <v>3282</v>
      </c>
      <c r="BF155" t="str">
        <f>HYPERLINK("http://dx.doi.org/10.3402/polar.v33.22103","http://dx.doi.org/10.3402/polar.v33.22103")</f>
        <v>http://dx.doi.org/10.3402/polar.v33.22103</v>
      </c>
      <c r="BG155" t="s">
        <v>74</v>
      </c>
      <c r="BH155" t="s">
        <v>74</v>
      </c>
      <c r="BI155">
        <v>13</v>
      </c>
      <c r="BJ155" t="s">
        <v>3265</v>
      </c>
      <c r="BK155" t="s">
        <v>99</v>
      </c>
      <c r="BL155" t="s">
        <v>3266</v>
      </c>
      <c r="BM155" t="s">
        <v>3283</v>
      </c>
      <c r="BN155" t="s">
        <v>74</v>
      </c>
      <c r="BO155" t="s">
        <v>102</v>
      </c>
      <c r="BP155" t="s">
        <v>74</v>
      </c>
      <c r="BQ155" t="s">
        <v>74</v>
      </c>
      <c r="BR155" t="s">
        <v>103</v>
      </c>
      <c r="BS155" t="s">
        <v>3284</v>
      </c>
      <c r="BT155" t="str">
        <f>HYPERLINK("https%3A%2F%2Fwww.webofscience.com%2Fwos%2Fwoscc%2Ffull-record%2FWOS:000335923700001","View Full Record in Web of Science")</f>
        <v>View Full Record in Web of Science</v>
      </c>
    </row>
    <row r="156" spans="1:72" x14ac:dyDescent="0.15">
      <c r="A156" t="s">
        <v>881</v>
      </c>
      <c r="B156" t="s">
        <v>3285</v>
      </c>
      <c r="C156" t="s">
        <v>74</v>
      </c>
      <c r="D156" t="s">
        <v>3286</v>
      </c>
      <c r="E156" t="s">
        <v>74</v>
      </c>
      <c r="F156" t="s">
        <v>3287</v>
      </c>
      <c r="G156" t="s">
        <v>74</v>
      </c>
      <c r="H156" t="s">
        <v>74</v>
      </c>
      <c r="I156" t="s">
        <v>3288</v>
      </c>
      <c r="J156" t="s">
        <v>3289</v>
      </c>
      <c r="K156" t="s">
        <v>3290</v>
      </c>
      <c r="L156" t="s">
        <v>74</v>
      </c>
      <c r="M156" t="s">
        <v>78</v>
      </c>
      <c r="N156" t="s">
        <v>888</v>
      </c>
      <c r="O156" t="s">
        <v>3291</v>
      </c>
      <c r="P156" t="s">
        <v>3292</v>
      </c>
      <c r="Q156" t="s">
        <v>3293</v>
      </c>
      <c r="R156" t="s">
        <v>74</v>
      </c>
      <c r="S156" t="s">
        <v>74</v>
      </c>
      <c r="T156" t="s">
        <v>3294</v>
      </c>
      <c r="U156" t="s">
        <v>74</v>
      </c>
      <c r="V156" t="s">
        <v>3295</v>
      </c>
      <c r="W156" t="s">
        <v>3296</v>
      </c>
      <c r="X156" t="s">
        <v>3297</v>
      </c>
      <c r="Y156" t="s">
        <v>3298</v>
      </c>
      <c r="Z156" t="s">
        <v>3299</v>
      </c>
      <c r="AA156" t="s">
        <v>74</v>
      </c>
      <c r="AB156" t="s">
        <v>74</v>
      </c>
      <c r="AC156" t="s">
        <v>3300</v>
      </c>
      <c r="AD156" t="s">
        <v>3301</v>
      </c>
      <c r="AE156" t="s">
        <v>3302</v>
      </c>
      <c r="AF156" t="s">
        <v>74</v>
      </c>
      <c r="AG156">
        <v>4</v>
      </c>
      <c r="AH156">
        <v>0</v>
      </c>
      <c r="AI156">
        <v>0</v>
      </c>
      <c r="AJ156">
        <v>1</v>
      </c>
      <c r="AK156">
        <v>7</v>
      </c>
      <c r="AL156" t="s">
        <v>3303</v>
      </c>
      <c r="AM156" t="s">
        <v>921</v>
      </c>
      <c r="AN156" t="s">
        <v>3304</v>
      </c>
      <c r="AO156" t="s">
        <v>3305</v>
      </c>
      <c r="AP156" t="s">
        <v>74</v>
      </c>
      <c r="AQ156" t="s">
        <v>3306</v>
      </c>
      <c r="AR156" t="s">
        <v>3307</v>
      </c>
      <c r="AS156" t="s">
        <v>74</v>
      </c>
      <c r="AT156" t="s">
        <v>74</v>
      </c>
      <c r="AU156">
        <v>2014</v>
      </c>
      <c r="AV156" t="s">
        <v>74</v>
      </c>
      <c r="AW156" t="s">
        <v>74</v>
      </c>
      <c r="AX156" t="s">
        <v>74</v>
      </c>
      <c r="AY156" t="s">
        <v>74</v>
      </c>
      <c r="AZ156" t="s">
        <v>74</v>
      </c>
      <c r="BA156" t="s">
        <v>74</v>
      </c>
      <c r="BB156">
        <v>58</v>
      </c>
      <c r="BC156">
        <v>62</v>
      </c>
      <c r="BD156" t="s">
        <v>74</v>
      </c>
      <c r="BE156" t="s">
        <v>3308</v>
      </c>
      <c r="BF156" t="str">
        <f>HYPERLINK("http://dx.doi.org/10.1109/DCABES.2014.16","http://dx.doi.org/10.1109/DCABES.2014.16")</f>
        <v>http://dx.doi.org/10.1109/DCABES.2014.16</v>
      </c>
      <c r="BG156" t="s">
        <v>74</v>
      </c>
      <c r="BH156" t="s">
        <v>74</v>
      </c>
      <c r="BI156">
        <v>5</v>
      </c>
      <c r="BJ156" t="s">
        <v>3309</v>
      </c>
      <c r="BK156" t="s">
        <v>905</v>
      </c>
      <c r="BL156" t="s">
        <v>3310</v>
      </c>
      <c r="BM156" t="s">
        <v>3311</v>
      </c>
      <c r="BN156" t="s">
        <v>74</v>
      </c>
      <c r="BO156" t="s">
        <v>74</v>
      </c>
      <c r="BP156" t="s">
        <v>74</v>
      </c>
      <c r="BQ156" t="s">
        <v>74</v>
      </c>
      <c r="BR156" t="s">
        <v>103</v>
      </c>
      <c r="BS156" t="s">
        <v>3312</v>
      </c>
      <c r="BT156" t="str">
        <f>HYPERLINK("https%3A%2F%2Fwww.webofscience.com%2Fwos%2Fwoscc%2Ffull-record%2FWOS:000393420900013","View Full Record in Web of Science")</f>
        <v>View Full Record in Web of Science</v>
      </c>
    </row>
    <row r="157" spans="1:72" x14ac:dyDescent="0.15">
      <c r="A157" t="s">
        <v>72</v>
      </c>
      <c r="B157" t="s">
        <v>3313</v>
      </c>
      <c r="C157" t="s">
        <v>74</v>
      </c>
      <c r="D157" t="s">
        <v>74</v>
      </c>
      <c r="E157" t="s">
        <v>74</v>
      </c>
      <c r="F157" t="s">
        <v>3314</v>
      </c>
      <c r="G157" t="s">
        <v>74</v>
      </c>
      <c r="H157" t="s">
        <v>74</v>
      </c>
      <c r="I157" t="s">
        <v>3315</v>
      </c>
      <c r="J157" t="s">
        <v>3316</v>
      </c>
      <c r="K157" t="s">
        <v>74</v>
      </c>
      <c r="L157" t="s">
        <v>74</v>
      </c>
      <c r="M157" t="s">
        <v>78</v>
      </c>
      <c r="N157" t="s">
        <v>213</v>
      </c>
      <c r="O157" t="s">
        <v>74</v>
      </c>
      <c r="P157" t="s">
        <v>74</v>
      </c>
      <c r="Q157" t="s">
        <v>74</v>
      </c>
      <c r="R157" t="s">
        <v>74</v>
      </c>
      <c r="S157" t="s">
        <v>74</v>
      </c>
      <c r="T157" t="s">
        <v>3317</v>
      </c>
      <c r="U157" t="s">
        <v>3318</v>
      </c>
      <c r="V157" t="s">
        <v>3319</v>
      </c>
      <c r="W157" t="s">
        <v>3320</v>
      </c>
      <c r="X157" t="s">
        <v>3321</v>
      </c>
      <c r="Y157" t="s">
        <v>3322</v>
      </c>
      <c r="Z157" t="s">
        <v>711</v>
      </c>
      <c r="AA157" t="s">
        <v>3323</v>
      </c>
      <c r="AB157" t="s">
        <v>3324</v>
      </c>
      <c r="AC157" t="s">
        <v>3325</v>
      </c>
      <c r="AD157" t="s">
        <v>3326</v>
      </c>
      <c r="AE157" t="s">
        <v>3327</v>
      </c>
      <c r="AF157" t="s">
        <v>74</v>
      </c>
      <c r="AG157">
        <v>79</v>
      </c>
      <c r="AH157">
        <v>57</v>
      </c>
      <c r="AI157">
        <v>60</v>
      </c>
      <c r="AJ157">
        <v>0</v>
      </c>
      <c r="AK157">
        <v>2</v>
      </c>
      <c r="AL157" t="s">
        <v>3328</v>
      </c>
      <c r="AM157" t="s">
        <v>849</v>
      </c>
      <c r="AN157" t="s">
        <v>3329</v>
      </c>
      <c r="AO157" t="s">
        <v>3330</v>
      </c>
      <c r="AP157" t="s">
        <v>74</v>
      </c>
      <c r="AQ157" t="s">
        <v>74</v>
      </c>
      <c r="AR157" t="s">
        <v>3331</v>
      </c>
      <c r="AS157" t="s">
        <v>3332</v>
      </c>
      <c r="AT157" t="s">
        <v>74</v>
      </c>
      <c r="AU157">
        <v>2014</v>
      </c>
      <c r="AV157">
        <v>1</v>
      </c>
      <c r="AW157" t="s">
        <v>74</v>
      </c>
      <c r="AX157" t="s">
        <v>74</v>
      </c>
      <c r="AY157" t="s">
        <v>74</v>
      </c>
      <c r="AZ157" t="s">
        <v>74</v>
      </c>
      <c r="BA157" t="s">
        <v>74</v>
      </c>
      <c r="BB157" t="s">
        <v>74</v>
      </c>
      <c r="BC157" t="s">
        <v>74</v>
      </c>
      <c r="BD157">
        <v>24</v>
      </c>
      <c r="BE157" t="s">
        <v>3333</v>
      </c>
      <c r="BF157" t="str">
        <f>HYPERLINK("http://dx.doi.org/10.1186/s40645-014-0024-3","http://dx.doi.org/10.1186/s40645-014-0024-3")</f>
        <v>http://dx.doi.org/10.1186/s40645-014-0024-3</v>
      </c>
      <c r="BG157" t="s">
        <v>74</v>
      </c>
      <c r="BH157" t="s">
        <v>74</v>
      </c>
      <c r="BI157">
        <v>12</v>
      </c>
      <c r="BJ157" t="s">
        <v>337</v>
      </c>
      <c r="BK157" t="s">
        <v>494</v>
      </c>
      <c r="BL157" t="s">
        <v>338</v>
      </c>
      <c r="BM157" t="s">
        <v>3334</v>
      </c>
      <c r="BN157" t="s">
        <v>74</v>
      </c>
      <c r="BO157" t="s">
        <v>381</v>
      </c>
      <c r="BP157" t="s">
        <v>74</v>
      </c>
      <c r="BQ157" t="s">
        <v>74</v>
      </c>
      <c r="BR157" t="s">
        <v>103</v>
      </c>
      <c r="BS157" t="s">
        <v>3335</v>
      </c>
      <c r="BT157" t="str">
        <f>HYPERLINK("https%3A%2F%2Fwww.webofscience.com%2Fwos%2Fwoscc%2Ffull-record%2FWOS:000215790200023","View Full Record in Web of Science")</f>
        <v>View Full Record in Web of Science</v>
      </c>
    </row>
    <row r="158" spans="1:72" x14ac:dyDescent="0.15">
      <c r="A158" t="s">
        <v>72</v>
      </c>
      <c r="B158" t="s">
        <v>3336</v>
      </c>
      <c r="C158" t="s">
        <v>74</v>
      </c>
      <c r="D158" t="s">
        <v>74</v>
      </c>
      <c r="E158" t="s">
        <v>74</v>
      </c>
      <c r="F158" t="s">
        <v>3337</v>
      </c>
      <c r="G158" t="s">
        <v>74</v>
      </c>
      <c r="H158" t="s">
        <v>74</v>
      </c>
      <c r="I158" t="s">
        <v>3338</v>
      </c>
      <c r="J158" t="s">
        <v>3339</v>
      </c>
      <c r="K158" t="s">
        <v>74</v>
      </c>
      <c r="L158" t="s">
        <v>74</v>
      </c>
      <c r="M158" t="s">
        <v>78</v>
      </c>
      <c r="N158" t="s">
        <v>213</v>
      </c>
      <c r="O158" t="s">
        <v>74</v>
      </c>
      <c r="P158" t="s">
        <v>74</v>
      </c>
      <c r="Q158" t="s">
        <v>74</v>
      </c>
      <c r="R158" t="s">
        <v>74</v>
      </c>
      <c r="S158" t="s">
        <v>74</v>
      </c>
      <c r="T158" t="s">
        <v>74</v>
      </c>
      <c r="U158" t="s">
        <v>3340</v>
      </c>
      <c r="V158" t="s">
        <v>3341</v>
      </c>
      <c r="W158" t="s">
        <v>3342</v>
      </c>
      <c r="X158" t="s">
        <v>3343</v>
      </c>
      <c r="Y158" t="s">
        <v>3344</v>
      </c>
      <c r="Z158" t="s">
        <v>3345</v>
      </c>
      <c r="AA158" t="s">
        <v>3346</v>
      </c>
      <c r="AB158" t="s">
        <v>3347</v>
      </c>
      <c r="AC158" t="s">
        <v>3348</v>
      </c>
      <c r="AD158" t="s">
        <v>3349</v>
      </c>
      <c r="AE158" t="s">
        <v>3350</v>
      </c>
      <c r="AF158" t="s">
        <v>74</v>
      </c>
      <c r="AG158">
        <v>98</v>
      </c>
      <c r="AH158">
        <v>37</v>
      </c>
      <c r="AI158">
        <v>40</v>
      </c>
      <c r="AJ158">
        <v>1</v>
      </c>
      <c r="AK158">
        <v>36</v>
      </c>
      <c r="AL158" t="s">
        <v>872</v>
      </c>
      <c r="AM158" t="s">
        <v>252</v>
      </c>
      <c r="AN158" t="s">
        <v>873</v>
      </c>
      <c r="AO158" t="s">
        <v>3351</v>
      </c>
      <c r="AP158" t="s">
        <v>74</v>
      </c>
      <c r="AQ158" t="s">
        <v>74</v>
      </c>
      <c r="AR158" t="s">
        <v>3352</v>
      </c>
      <c r="AS158" t="s">
        <v>3353</v>
      </c>
      <c r="AT158" t="s">
        <v>417</v>
      </c>
      <c r="AU158">
        <v>2014</v>
      </c>
      <c r="AV158">
        <v>120</v>
      </c>
      <c r="AW158" t="s">
        <v>74</v>
      </c>
      <c r="AX158" t="s">
        <v>74</v>
      </c>
      <c r="AY158" t="s">
        <v>74</v>
      </c>
      <c r="AZ158" t="s">
        <v>74</v>
      </c>
      <c r="BA158" t="s">
        <v>74</v>
      </c>
      <c r="BB158">
        <v>41</v>
      </c>
      <c r="BC158">
        <v>78</v>
      </c>
      <c r="BD158" t="s">
        <v>74</v>
      </c>
      <c r="BE158" t="s">
        <v>3354</v>
      </c>
      <c r="BF158" t="str">
        <f>HYPERLINK("http://dx.doi.org/10.1016/j.pocean.2013.07.018","http://dx.doi.org/10.1016/j.pocean.2013.07.018")</f>
        <v>http://dx.doi.org/10.1016/j.pocean.2013.07.018</v>
      </c>
      <c r="BG158" t="s">
        <v>74</v>
      </c>
      <c r="BH158" t="s">
        <v>74</v>
      </c>
      <c r="BI158">
        <v>38</v>
      </c>
      <c r="BJ158" t="s">
        <v>1613</v>
      </c>
      <c r="BK158" t="s">
        <v>99</v>
      </c>
      <c r="BL158" t="s">
        <v>1613</v>
      </c>
      <c r="BM158" t="s">
        <v>3355</v>
      </c>
      <c r="BN158" t="s">
        <v>74</v>
      </c>
      <c r="BO158" t="s">
        <v>74</v>
      </c>
      <c r="BP158" t="s">
        <v>74</v>
      </c>
      <c r="BQ158" t="s">
        <v>74</v>
      </c>
      <c r="BR158" t="s">
        <v>103</v>
      </c>
      <c r="BS158" t="s">
        <v>3356</v>
      </c>
      <c r="BT158" t="str">
        <f>HYPERLINK("https%3A%2F%2Fwww.webofscience.com%2Fwos%2Fwoscc%2Ffull-record%2FWOS:000331019300003","View Full Record in Web of Science")</f>
        <v>View Full Record in Web of Science</v>
      </c>
    </row>
    <row r="159" spans="1:72" x14ac:dyDescent="0.15">
      <c r="A159" t="s">
        <v>72</v>
      </c>
      <c r="B159" t="s">
        <v>3357</v>
      </c>
      <c r="C159" t="s">
        <v>74</v>
      </c>
      <c r="D159" t="s">
        <v>74</v>
      </c>
      <c r="E159" t="s">
        <v>74</v>
      </c>
      <c r="F159" t="s">
        <v>3358</v>
      </c>
      <c r="G159" t="s">
        <v>74</v>
      </c>
      <c r="H159" t="s">
        <v>74</v>
      </c>
      <c r="I159" t="s">
        <v>3359</v>
      </c>
      <c r="J159" t="s">
        <v>3339</v>
      </c>
      <c r="K159" t="s">
        <v>74</v>
      </c>
      <c r="L159" t="s">
        <v>74</v>
      </c>
      <c r="M159" t="s">
        <v>78</v>
      </c>
      <c r="N159" t="s">
        <v>213</v>
      </c>
      <c r="O159" t="s">
        <v>74</v>
      </c>
      <c r="P159" t="s">
        <v>74</v>
      </c>
      <c r="Q159" t="s">
        <v>74</v>
      </c>
      <c r="R159" t="s">
        <v>74</v>
      </c>
      <c r="S159" t="s">
        <v>74</v>
      </c>
      <c r="T159" t="s">
        <v>74</v>
      </c>
      <c r="U159" t="s">
        <v>3360</v>
      </c>
      <c r="V159" t="s">
        <v>3361</v>
      </c>
      <c r="W159" t="s">
        <v>3362</v>
      </c>
      <c r="X159" t="s">
        <v>3363</v>
      </c>
      <c r="Y159" t="s">
        <v>3364</v>
      </c>
      <c r="Z159" t="s">
        <v>3365</v>
      </c>
      <c r="AA159" t="s">
        <v>74</v>
      </c>
      <c r="AB159" t="s">
        <v>74</v>
      </c>
      <c r="AC159" t="s">
        <v>3366</v>
      </c>
      <c r="AD159" t="s">
        <v>3367</v>
      </c>
      <c r="AE159" t="s">
        <v>3368</v>
      </c>
      <c r="AF159" t="s">
        <v>74</v>
      </c>
      <c r="AG159">
        <v>60</v>
      </c>
      <c r="AH159">
        <v>48</v>
      </c>
      <c r="AI159">
        <v>54</v>
      </c>
      <c r="AJ159">
        <v>1</v>
      </c>
      <c r="AK159">
        <v>70</v>
      </c>
      <c r="AL159" t="s">
        <v>872</v>
      </c>
      <c r="AM159" t="s">
        <v>252</v>
      </c>
      <c r="AN159" t="s">
        <v>873</v>
      </c>
      <c r="AO159" t="s">
        <v>3351</v>
      </c>
      <c r="AP159" t="s">
        <v>3369</v>
      </c>
      <c r="AQ159" t="s">
        <v>74</v>
      </c>
      <c r="AR159" t="s">
        <v>3352</v>
      </c>
      <c r="AS159" t="s">
        <v>3353</v>
      </c>
      <c r="AT159" t="s">
        <v>417</v>
      </c>
      <c r="AU159">
        <v>2014</v>
      </c>
      <c r="AV159">
        <v>120</v>
      </c>
      <c r="AW159" t="s">
        <v>74</v>
      </c>
      <c r="AX159" t="s">
        <v>74</v>
      </c>
      <c r="AY159" t="s">
        <v>74</v>
      </c>
      <c r="AZ159" t="s">
        <v>74</v>
      </c>
      <c r="BA159" t="s">
        <v>74</v>
      </c>
      <c r="BB159">
        <v>110</v>
      </c>
      <c r="BC159">
        <v>119</v>
      </c>
      <c r="BD159" t="s">
        <v>74</v>
      </c>
      <c r="BE159" t="s">
        <v>3370</v>
      </c>
      <c r="BF159" t="str">
        <f>HYPERLINK("http://dx.doi.org/10.1016/j.pocean.2013.08.003","http://dx.doi.org/10.1016/j.pocean.2013.08.003")</f>
        <v>http://dx.doi.org/10.1016/j.pocean.2013.08.003</v>
      </c>
      <c r="BG159" t="s">
        <v>74</v>
      </c>
      <c r="BH159" t="s">
        <v>74</v>
      </c>
      <c r="BI159">
        <v>10</v>
      </c>
      <c r="BJ159" t="s">
        <v>1613</v>
      </c>
      <c r="BK159" t="s">
        <v>99</v>
      </c>
      <c r="BL159" t="s">
        <v>1613</v>
      </c>
      <c r="BM159" t="s">
        <v>3355</v>
      </c>
      <c r="BN159" t="s">
        <v>74</v>
      </c>
      <c r="BO159" t="s">
        <v>74</v>
      </c>
      <c r="BP159" t="s">
        <v>74</v>
      </c>
      <c r="BQ159" t="s">
        <v>74</v>
      </c>
      <c r="BR159" t="s">
        <v>103</v>
      </c>
      <c r="BS159" t="s">
        <v>3371</v>
      </c>
      <c r="BT159" t="str">
        <f>HYPERLINK("https%3A%2F%2Fwww.webofscience.com%2Fwos%2Fwoscc%2Ffull-record%2FWOS:000331019300006","View Full Record in Web of Science")</f>
        <v>View Full Record in Web of Science</v>
      </c>
    </row>
    <row r="160" spans="1:72" x14ac:dyDescent="0.15">
      <c r="A160" t="s">
        <v>72</v>
      </c>
      <c r="B160" t="s">
        <v>3372</v>
      </c>
      <c r="C160" t="s">
        <v>74</v>
      </c>
      <c r="D160" t="s">
        <v>74</v>
      </c>
      <c r="E160" t="s">
        <v>74</v>
      </c>
      <c r="F160" t="s">
        <v>3373</v>
      </c>
      <c r="G160" t="s">
        <v>74</v>
      </c>
      <c r="H160" t="s">
        <v>74</v>
      </c>
      <c r="I160" t="s">
        <v>3374</v>
      </c>
      <c r="J160" t="s">
        <v>3339</v>
      </c>
      <c r="K160" t="s">
        <v>74</v>
      </c>
      <c r="L160" t="s">
        <v>74</v>
      </c>
      <c r="M160" t="s">
        <v>78</v>
      </c>
      <c r="N160" t="s">
        <v>213</v>
      </c>
      <c r="O160" t="s">
        <v>74</v>
      </c>
      <c r="P160" t="s">
        <v>74</v>
      </c>
      <c r="Q160" t="s">
        <v>74</v>
      </c>
      <c r="R160" t="s">
        <v>74</v>
      </c>
      <c r="S160" t="s">
        <v>74</v>
      </c>
      <c r="T160" t="s">
        <v>74</v>
      </c>
      <c r="U160" t="s">
        <v>3375</v>
      </c>
      <c r="V160" t="s">
        <v>3376</v>
      </c>
      <c r="W160" t="s">
        <v>3377</v>
      </c>
      <c r="X160" t="s">
        <v>3378</v>
      </c>
      <c r="Y160" t="s">
        <v>3379</v>
      </c>
      <c r="Z160" t="s">
        <v>3380</v>
      </c>
      <c r="AA160" t="s">
        <v>3381</v>
      </c>
      <c r="AB160" t="s">
        <v>3382</v>
      </c>
      <c r="AC160" t="s">
        <v>3383</v>
      </c>
      <c r="AD160" t="s">
        <v>3384</v>
      </c>
      <c r="AE160" t="s">
        <v>3385</v>
      </c>
      <c r="AF160" t="s">
        <v>74</v>
      </c>
      <c r="AG160">
        <v>102</v>
      </c>
      <c r="AH160">
        <v>33</v>
      </c>
      <c r="AI160">
        <v>37</v>
      </c>
      <c r="AJ160">
        <v>2</v>
      </c>
      <c r="AK160">
        <v>54</v>
      </c>
      <c r="AL160" t="s">
        <v>872</v>
      </c>
      <c r="AM160" t="s">
        <v>252</v>
      </c>
      <c r="AN160" t="s">
        <v>873</v>
      </c>
      <c r="AO160" t="s">
        <v>3351</v>
      </c>
      <c r="AP160" t="s">
        <v>3369</v>
      </c>
      <c r="AQ160" t="s">
        <v>74</v>
      </c>
      <c r="AR160" t="s">
        <v>3352</v>
      </c>
      <c r="AS160" t="s">
        <v>3353</v>
      </c>
      <c r="AT160" t="s">
        <v>417</v>
      </c>
      <c r="AU160">
        <v>2014</v>
      </c>
      <c r="AV160">
        <v>120</v>
      </c>
      <c r="AW160" t="s">
        <v>74</v>
      </c>
      <c r="AX160" t="s">
        <v>74</v>
      </c>
      <c r="AY160" t="s">
        <v>74</v>
      </c>
      <c r="AZ160" t="s">
        <v>74</v>
      </c>
      <c r="BA160" t="s">
        <v>74</v>
      </c>
      <c r="BB160">
        <v>230</v>
      </c>
      <c r="BC160">
        <v>242</v>
      </c>
      <c r="BD160" t="s">
        <v>74</v>
      </c>
      <c r="BE160" t="s">
        <v>3386</v>
      </c>
      <c r="BF160" t="str">
        <f>HYPERLINK("http://dx.doi.org/10.1016/j.pocean.2013.09.005","http://dx.doi.org/10.1016/j.pocean.2013.09.005")</f>
        <v>http://dx.doi.org/10.1016/j.pocean.2013.09.005</v>
      </c>
      <c r="BG160" t="s">
        <v>74</v>
      </c>
      <c r="BH160" t="s">
        <v>74</v>
      </c>
      <c r="BI160">
        <v>13</v>
      </c>
      <c r="BJ160" t="s">
        <v>1613</v>
      </c>
      <c r="BK160" t="s">
        <v>99</v>
      </c>
      <c r="BL160" t="s">
        <v>1613</v>
      </c>
      <c r="BM160" t="s">
        <v>3355</v>
      </c>
      <c r="BN160" t="s">
        <v>74</v>
      </c>
      <c r="BO160" t="s">
        <v>74</v>
      </c>
      <c r="BP160" t="s">
        <v>74</v>
      </c>
      <c r="BQ160" t="s">
        <v>74</v>
      </c>
      <c r="BR160" t="s">
        <v>103</v>
      </c>
      <c r="BS160" t="s">
        <v>3387</v>
      </c>
      <c r="BT160" t="str">
        <f>HYPERLINK("https%3A%2F%2Fwww.webofscience.com%2Fwos%2Fwoscc%2Ffull-record%2FWOS:000331019300014","View Full Record in Web of Science")</f>
        <v>View Full Record in Web of Science</v>
      </c>
    </row>
    <row r="161" spans="1:72" x14ac:dyDescent="0.15">
      <c r="A161" t="s">
        <v>72</v>
      </c>
      <c r="B161" t="s">
        <v>3388</v>
      </c>
      <c r="C161" t="s">
        <v>74</v>
      </c>
      <c r="D161" t="s">
        <v>74</v>
      </c>
      <c r="E161" t="s">
        <v>74</v>
      </c>
      <c r="F161" t="s">
        <v>3389</v>
      </c>
      <c r="G161" t="s">
        <v>74</v>
      </c>
      <c r="H161" t="s">
        <v>74</v>
      </c>
      <c r="I161" t="s">
        <v>3390</v>
      </c>
      <c r="J161" t="s">
        <v>3339</v>
      </c>
      <c r="K161" t="s">
        <v>74</v>
      </c>
      <c r="L161" t="s">
        <v>74</v>
      </c>
      <c r="M161" t="s">
        <v>78</v>
      </c>
      <c r="N161" t="s">
        <v>213</v>
      </c>
      <c r="O161" t="s">
        <v>74</v>
      </c>
      <c r="P161" t="s">
        <v>74</v>
      </c>
      <c r="Q161" t="s">
        <v>74</v>
      </c>
      <c r="R161" t="s">
        <v>74</v>
      </c>
      <c r="S161" t="s">
        <v>74</v>
      </c>
      <c r="T161" t="s">
        <v>74</v>
      </c>
      <c r="U161" t="s">
        <v>3391</v>
      </c>
      <c r="V161" t="s">
        <v>3392</v>
      </c>
      <c r="W161" t="s">
        <v>3393</v>
      </c>
      <c r="X161" t="s">
        <v>709</v>
      </c>
      <c r="Y161" t="s">
        <v>3394</v>
      </c>
      <c r="Z161" t="s">
        <v>3395</v>
      </c>
      <c r="AA161" t="s">
        <v>74</v>
      </c>
      <c r="AB161" t="s">
        <v>3396</v>
      </c>
      <c r="AC161" t="s">
        <v>3397</v>
      </c>
      <c r="AD161" t="s">
        <v>3398</v>
      </c>
      <c r="AE161" t="s">
        <v>3399</v>
      </c>
      <c r="AF161" t="s">
        <v>74</v>
      </c>
      <c r="AG161">
        <v>82</v>
      </c>
      <c r="AH161">
        <v>8</v>
      </c>
      <c r="AI161">
        <v>9</v>
      </c>
      <c r="AJ161">
        <v>0</v>
      </c>
      <c r="AK161">
        <v>34</v>
      </c>
      <c r="AL161" t="s">
        <v>872</v>
      </c>
      <c r="AM161" t="s">
        <v>252</v>
      </c>
      <c r="AN161" t="s">
        <v>873</v>
      </c>
      <c r="AO161" t="s">
        <v>3351</v>
      </c>
      <c r="AP161" t="s">
        <v>74</v>
      </c>
      <c r="AQ161" t="s">
        <v>74</v>
      </c>
      <c r="AR161" t="s">
        <v>3352</v>
      </c>
      <c r="AS161" t="s">
        <v>3353</v>
      </c>
      <c r="AT161" t="s">
        <v>417</v>
      </c>
      <c r="AU161">
        <v>2014</v>
      </c>
      <c r="AV161">
        <v>120</v>
      </c>
      <c r="AW161" t="s">
        <v>74</v>
      </c>
      <c r="AX161" t="s">
        <v>74</v>
      </c>
      <c r="AY161" t="s">
        <v>74</v>
      </c>
      <c r="AZ161" t="s">
        <v>74</v>
      </c>
      <c r="BA161" t="s">
        <v>74</v>
      </c>
      <c r="BB161">
        <v>305</v>
      </c>
      <c r="BC161">
        <v>319</v>
      </c>
      <c r="BD161" t="s">
        <v>74</v>
      </c>
      <c r="BE161" t="s">
        <v>3400</v>
      </c>
      <c r="BF161" t="str">
        <f>HYPERLINK("http://dx.doi.org/10.1016/j.pocean.2013.10.011","http://dx.doi.org/10.1016/j.pocean.2013.10.011")</f>
        <v>http://dx.doi.org/10.1016/j.pocean.2013.10.011</v>
      </c>
      <c r="BG161" t="s">
        <v>74</v>
      </c>
      <c r="BH161" t="s">
        <v>74</v>
      </c>
      <c r="BI161">
        <v>15</v>
      </c>
      <c r="BJ161" t="s">
        <v>1613</v>
      </c>
      <c r="BK161" t="s">
        <v>99</v>
      </c>
      <c r="BL161" t="s">
        <v>1613</v>
      </c>
      <c r="BM161" t="s">
        <v>3355</v>
      </c>
      <c r="BN161" t="s">
        <v>74</v>
      </c>
      <c r="BO161" t="s">
        <v>450</v>
      </c>
      <c r="BP161" t="s">
        <v>74</v>
      </c>
      <c r="BQ161" t="s">
        <v>74</v>
      </c>
      <c r="BR161" t="s">
        <v>103</v>
      </c>
      <c r="BS161" t="s">
        <v>3401</v>
      </c>
      <c r="BT161" t="str">
        <f>HYPERLINK("https%3A%2F%2Fwww.webofscience.com%2Fwos%2Fwoscc%2Ffull-record%2FWOS:000331019300019","View Full Record in Web of Science")</f>
        <v>View Full Record in Web of Science</v>
      </c>
    </row>
    <row r="162" spans="1:72" x14ac:dyDescent="0.15">
      <c r="A162" t="s">
        <v>72</v>
      </c>
      <c r="B162" t="s">
        <v>3402</v>
      </c>
      <c r="C162" t="s">
        <v>74</v>
      </c>
      <c r="D162" t="s">
        <v>74</v>
      </c>
      <c r="E162" t="s">
        <v>74</v>
      </c>
      <c r="F162" t="s">
        <v>3403</v>
      </c>
      <c r="G162" t="s">
        <v>74</v>
      </c>
      <c r="H162" t="s">
        <v>74</v>
      </c>
      <c r="I162" t="s">
        <v>3404</v>
      </c>
      <c r="J162" t="s">
        <v>3405</v>
      </c>
      <c r="K162" t="s">
        <v>74</v>
      </c>
      <c r="L162" t="s">
        <v>74</v>
      </c>
      <c r="M162" t="s">
        <v>78</v>
      </c>
      <c r="N162" t="s">
        <v>79</v>
      </c>
      <c r="O162" t="s">
        <v>74</v>
      </c>
      <c r="P162" t="s">
        <v>74</v>
      </c>
      <c r="Q162" t="s">
        <v>74</v>
      </c>
      <c r="R162" t="s">
        <v>74</v>
      </c>
      <c r="S162" t="s">
        <v>74</v>
      </c>
      <c r="T162" t="s">
        <v>3406</v>
      </c>
      <c r="U162" t="s">
        <v>3407</v>
      </c>
      <c r="V162" t="s">
        <v>3408</v>
      </c>
      <c r="W162" t="s">
        <v>3409</v>
      </c>
      <c r="X162" t="s">
        <v>3410</v>
      </c>
      <c r="Y162" t="s">
        <v>3411</v>
      </c>
      <c r="Z162" t="s">
        <v>3412</v>
      </c>
      <c r="AA162" t="s">
        <v>74</v>
      </c>
      <c r="AB162" t="s">
        <v>74</v>
      </c>
      <c r="AC162" t="s">
        <v>3413</v>
      </c>
      <c r="AD162" t="s">
        <v>3414</v>
      </c>
      <c r="AE162" t="s">
        <v>3415</v>
      </c>
      <c r="AF162" t="s">
        <v>74</v>
      </c>
      <c r="AG162">
        <v>64</v>
      </c>
      <c r="AH162">
        <v>12</v>
      </c>
      <c r="AI162">
        <v>13</v>
      </c>
      <c r="AJ162">
        <v>0</v>
      </c>
      <c r="AK162">
        <v>28</v>
      </c>
      <c r="AL162" t="s">
        <v>872</v>
      </c>
      <c r="AM162" t="s">
        <v>252</v>
      </c>
      <c r="AN162" t="s">
        <v>873</v>
      </c>
      <c r="AO162" t="s">
        <v>3416</v>
      </c>
      <c r="AP162" t="s">
        <v>74</v>
      </c>
      <c r="AQ162" t="s">
        <v>74</v>
      </c>
      <c r="AR162" t="s">
        <v>3417</v>
      </c>
      <c r="AS162" t="s">
        <v>3418</v>
      </c>
      <c r="AT162" t="s">
        <v>311</v>
      </c>
      <c r="AU162">
        <v>2014</v>
      </c>
      <c r="AV162">
        <v>83</v>
      </c>
      <c r="AW162" t="s">
        <v>74</v>
      </c>
      <c r="AX162" t="s">
        <v>74</v>
      </c>
      <c r="AY162" t="s">
        <v>74</v>
      </c>
      <c r="AZ162" t="s">
        <v>74</v>
      </c>
      <c r="BA162" t="s">
        <v>74</v>
      </c>
      <c r="BB162">
        <v>129</v>
      </c>
      <c r="BC162">
        <v>142</v>
      </c>
      <c r="BD162" t="s">
        <v>74</v>
      </c>
      <c r="BE162" t="s">
        <v>3419</v>
      </c>
      <c r="BF162" t="str">
        <f>HYPERLINK("http://dx.doi.org/10.1016/j.quascirev.2013.10.025","http://dx.doi.org/10.1016/j.quascirev.2013.10.025")</f>
        <v>http://dx.doi.org/10.1016/j.quascirev.2013.10.025</v>
      </c>
      <c r="BG162" t="s">
        <v>74</v>
      </c>
      <c r="BH162" t="s">
        <v>74</v>
      </c>
      <c r="BI162">
        <v>14</v>
      </c>
      <c r="BJ162" t="s">
        <v>98</v>
      </c>
      <c r="BK162" t="s">
        <v>99</v>
      </c>
      <c r="BL162" t="s">
        <v>100</v>
      </c>
      <c r="BM162" t="s">
        <v>3420</v>
      </c>
      <c r="BN162" t="s">
        <v>74</v>
      </c>
      <c r="BO162" t="s">
        <v>74</v>
      </c>
      <c r="BP162" t="s">
        <v>74</v>
      </c>
      <c r="BQ162" t="s">
        <v>74</v>
      </c>
      <c r="BR162" t="s">
        <v>103</v>
      </c>
      <c r="BS162" t="s">
        <v>3421</v>
      </c>
      <c r="BT162" t="str">
        <f>HYPERLINK("https%3A%2F%2Fwww.webofscience.com%2Fwos%2Fwoscc%2Ffull-record%2FWOS:000331673400011","View Full Record in Web of Science")</f>
        <v>View Full Record in Web of Science</v>
      </c>
    </row>
    <row r="163" spans="1:72" x14ac:dyDescent="0.15">
      <c r="A163" t="s">
        <v>238</v>
      </c>
      <c r="B163" t="s">
        <v>3422</v>
      </c>
      <c r="C163" t="s">
        <v>3422</v>
      </c>
      <c r="D163" t="s">
        <v>74</v>
      </c>
      <c r="E163" t="s">
        <v>74</v>
      </c>
      <c r="F163" t="s">
        <v>3423</v>
      </c>
      <c r="G163" t="s">
        <v>3422</v>
      </c>
      <c r="H163" t="s">
        <v>74</v>
      </c>
      <c r="I163" t="s">
        <v>3424</v>
      </c>
      <c r="J163" t="s">
        <v>3425</v>
      </c>
      <c r="K163" t="s">
        <v>74</v>
      </c>
      <c r="L163" t="s">
        <v>74</v>
      </c>
      <c r="M163" t="s">
        <v>78</v>
      </c>
      <c r="N163" t="s">
        <v>244</v>
      </c>
      <c r="O163" t="s">
        <v>74</v>
      </c>
      <c r="P163" t="s">
        <v>74</v>
      </c>
      <c r="Q163" t="s">
        <v>74</v>
      </c>
      <c r="R163" t="s">
        <v>74</v>
      </c>
      <c r="S163" t="s">
        <v>74</v>
      </c>
      <c r="T163" t="s">
        <v>74</v>
      </c>
      <c r="U163" t="s">
        <v>3426</v>
      </c>
      <c r="V163" t="s">
        <v>74</v>
      </c>
      <c r="W163" t="s">
        <v>74</v>
      </c>
      <c r="X163" t="s">
        <v>74</v>
      </c>
      <c r="Y163" t="s">
        <v>74</v>
      </c>
      <c r="Z163" t="s">
        <v>74</v>
      </c>
      <c r="AA163" t="s">
        <v>3427</v>
      </c>
      <c r="AB163" t="s">
        <v>3428</v>
      </c>
      <c r="AC163" t="s">
        <v>74</v>
      </c>
      <c r="AD163" t="s">
        <v>74</v>
      </c>
      <c r="AE163" t="s">
        <v>74</v>
      </c>
      <c r="AF163" t="s">
        <v>74</v>
      </c>
      <c r="AG163">
        <v>1740</v>
      </c>
      <c r="AH163">
        <v>0</v>
      </c>
      <c r="AI163">
        <v>0</v>
      </c>
      <c r="AJ163">
        <v>0</v>
      </c>
      <c r="AK163">
        <v>6</v>
      </c>
      <c r="AL163" t="s">
        <v>1748</v>
      </c>
      <c r="AM163" t="s">
        <v>1470</v>
      </c>
      <c r="AN163" t="s">
        <v>3429</v>
      </c>
      <c r="AO163" t="s">
        <v>74</v>
      </c>
      <c r="AP163" t="s">
        <v>74</v>
      </c>
      <c r="AQ163" t="s">
        <v>3430</v>
      </c>
      <c r="AR163" t="s">
        <v>74</v>
      </c>
      <c r="AS163" t="s">
        <v>74</v>
      </c>
      <c r="AT163" t="s">
        <v>74</v>
      </c>
      <c r="AU163">
        <v>2014</v>
      </c>
      <c r="AV163" t="s">
        <v>74</v>
      </c>
      <c r="AW163" t="s">
        <v>74</v>
      </c>
      <c r="AX163" t="s">
        <v>74</v>
      </c>
      <c r="AY163" t="s">
        <v>74</v>
      </c>
      <c r="AZ163" t="s">
        <v>74</v>
      </c>
      <c r="BA163" t="s">
        <v>74</v>
      </c>
      <c r="BB163">
        <v>1</v>
      </c>
      <c r="BC163">
        <v>484</v>
      </c>
      <c r="BD163" t="s">
        <v>74</v>
      </c>
      <c r="BE163" t="s">
        <v>74</v>
      </c>
      <c r="BF163" t="s">
        <v>74</v>
      </c>
      <c r="BG163" t="s">
        <v>74</v>
      </c>
      <c r="BH163" t="s">
        <v>74</v>
      </c>
      <c r="BI163">
        <v>484</v>
      </c>
      <c r="BJ163" t="s">
        <v>3431</v>
      </c>
      <c r="BK163" t="s">
        <v>632</v>
      </c>
      <c r="BL163" t="s">
        <v>3431</v>
      </c>
      <c r="BM163" t="s">
        <v>3432</v>
      </c>
      <c r="BN163" t="s">
        <v>74</v>
      </c>
      <c r="BO163" t="s">
        <v>74</v>
      </c>
      <c r="BP163" t="s">
        <v>74</v>
      </c>
      <c r="BQ163" t="s">
        <v>74</v>
      </c>
      <c r="BR163" t="s">
        <v>103</v>
      </c>
      <c r="BS163" t="s">
        <v>3433</v>
      </c>
      <c r="BT163" t="str">
        <f>HYPERLINK("https%3A%2F%2Fwww.webofscience.com%2Fwos%2Fwoscc%2Ffull-record%2FWOS:000337288700010","View Full Record in Web of Science")</f>
        <v>View Full Record in Web of Science</v>
      </c>
    </row>
    <row r="164" spans="1:72" x14ac:dyDescent="0.15">
      <c r="A164" t="s">
        <v>881</v>
      </c>
      <c r="B164" t="s">
        <v>3434</v>
      </c>
      <c r="C164" t="s">
        <v>74</v>
      </c>
      <c r="D164" t="s">
        <v>3435</v>
      </c>
      <c r="E164" t="s">
        <v>74</v>
      </c>
      <c r="F164" t="s">
        <v>3436</v>
      </c>
      <c r="G164" t="s">
        <v>74</v>
      </c>
      <c r="H164" t="s">
        <v>74</v>
      </c>
      <c r="I164" t="s">
        <v>3437</v>
      </c>
      <c r="J164" t="s">
        <v>3438</v>
      </c>
      <c r="K164" t="s">
        <v>1103</v>
      </c>
      <c r="L164" t="s">
        <v>74</v>
      </c>
      <c r="M164" t="s">
        <v>78</v>
      </c>
      <c r="N164" t="s">
        <v>888</v>
      </c>
      <c r="O164" t="s">
        <v>3439</v>
      </c>
      <c r="P164" t="s">
        <v>3440</v>
      </c>
      <c r="Q164" t="s">
        <v>3441</v>
      </c>
      <c r="R164" t="s">
        <v>74</v>
      </c>
      <c r="S164" t="s">
        <v>74</v>
      </c>
      <c r="T164" t="s">
        <v>74</v>
      </c>
      <c r="U164" t="s">
        <v>74</v>
      </c>
      <c r="V164" t="s">
        <v>3442</v>
      </c>
      <c r="W164" t="s">
        <v>3443</v>
      </c>
      <c r="X164" t="s">
        <v>3444</v>
      </c>
      <c r="Y164" t="s">
        <v>3445</v>
      </c>
      <c r="Z164" t="s">
        <v>74</v>
      </c>
      <c r="AA164" t="s">
        <v>3446</v>
      </c>
      <c r="AB164" t="s">
        <v>3447</v>
      </c>
      <c r="AC164" t="s">
        <v>3448</v>
      </c>
      <c r="AD164" t="s">
        <v>3448</v>
      </c>
      <c r="AE164" t="s">
        <v>3449</v>
      </c>
      <c r="AF164" t="s">
        <v>74</v>
      </c>
      <c r="AG164">
        <v>11</v>
      </c>
      <c r="AH164">
        <v>0</v>
      </c>
      <c r="AI164">
        <v>0</v>
      </c>
      <c r="AJ164">
        <v>0</v>
      </c>
      <c r="AK164">
        <v>2</v>
      </c>
      <c r="AL164" t="s">
        <v>1114</v>
      </c>
      <c r="AM164" t="s">
        <v>1115</v>
      </c>
      <c r="AN164" t="s">
        <v>1116</v>
      </c>
      <c r="AO164" t="s">
        <v>1117</v>
      </c>
      <c r="AP164" t="s">
        <v>2778</v>
      </c>
      <c r="AQ164" t="s">
        <v>3450</v>
      </c>
      <c r="AR164" t="s">
        <v>1119</v>
      </c>
      <c r="AS164" t="s">
        <v>74</v>
      </c>
      <c r="AT164" t="s">
        <v>74</v>
      </c>
      <c r="AU164">
        <v>2014</v>
      </c>
      <c r="AV164">
        <v>9259</v>
      </c>
      <c r="AW164" t="s">
        <v>74</v>
      </c>
      <c r="AX164" t="s">
        <v>74</v>
      </c>
      <c r="AY164" t="s">
        <v>74</v>
      </c>
      <c r="AZ164" t="s">
        <v>74</v>
      </c>
      <c r="BA164" t="s">
        <v>74</v>
      </c>
      <c r="BB164" t="s">
        <v>74</v>
      </c>
      <c r="BC164" t="s">
        <v>74</v>
      </c>
      <c r="BD164">
        <v>925912</v>
      </c>
      <c r="BE164" t="s">
        <v>3451</v>
      </c>
      <c r="BF164" t="str">
        <f>HYPERLINK("http://dx.doi.org/10.1117/12.2068038","http://dx.doi.org/10.1117/12.2068038")</f>
        <v>http://dx.doi.org/10.1117/12.2068038</v>
      </c>
      <c r="BG164" t="s">
        <v>74</v>
      </c>
      <c r="BH164" t="s">
        <v>74</v>
      </c>
      <c r="BI164">
        <v>6</v>
      </c>
      <c r="BJ164" t="s">
        <v>3452</v>
      </c>
      <c r="BK164" t="s">
        <v>905</v>
      </c>
      <c r="BL164" t="s">
        <v>3453</v>
      </c>
      <c r="BM164" t="s">
        <v>3454</v>
      </c>
      <c r="BN164" t="s">
        <v>74</v>
      </c>
      <c r="BO164" t="s">
        <v>74</v>
      </c>
      <c r="BP164" t="s">
        <v>74</v>
      </c>
      <c r="BQ164" t="s">
        <v>74</v>
      </c>
      <c r="BR164" t="s">
        <v>103</v>
      </c>
      <c r="BS164" t="s">
        <v>3455</v>
      </c>
      <c r="BT164" t="str">
        <f>HYPERLINK("https%3A%2F%2Fwww.webofscience.com%2Fwos%2Fwoscc%2Ffull-record%2FWOS:000348833900017","View Full Record in Web of Science")</f>
        <v>View Full Record in Web of Science</v>
      </c>
    </row>
    <row r="165" spans="1:72" x14ac:dyDescent="0.15">
      <c r="A165" t="s">
        <v>1053</v>
      </c>
      <c r="B165" t="s">
        <v>3456</v>
      </c>
      <c r="C165" t="s">
        <v>74</v>
      </c>
      <c r="D165" t="s">
        <v>3457</v>
      </c>
      <c r="E165" t="s">
        <v>74</v>
      </c>
      <c r="F165" t="s">
        <v>3458</v>
      </c>
      <c r="G165" t="s">
        <v>74</v>
      </c>
      <c r="H165" t="s">
        <v>74</v>
      </c>
      <c r="I165" t="s">
        <v>3459</v>
      </c>
      <c r="J165" t="s">
        <v>3460</v>
      </c>
      <c r="K165" t="s">
        <v>3461</v>
      </c>
      <c r="L165" t="s">
        <v>74</v>
      </c>
      <c r="M165" t="s">
        <v>78</v>
      </c>
      <c r="N165" t="s">
        <v>244</v>
      </c>
      <c r="O165" t="s">
        <v>74</v>
      </c>
      <c r="P165" t="s">
        <v>74</v>
      </c>
      <c r="Q165" t="s">
        <v>74</v>
      </c>
      <c r="R165" t="s">
        <v>74</v>
      </c>
      <c r="S165" t="s">
        <v>74</v>
      </c>
      <c r="T165" t="s">
        <v>3462</v>
      </c>
      <c r="U165" t="s">
        <v>3463</v>
      </c>
      <c r="V165" t="s">
        <v>3464</v>
      </c>
      <c r="W165" t="s">
        <v>3465</v>
      </c>
      <c r="X165" t="s">
        <v>3466</v>
      </c>
      <c r="Y165" t="s">
        <v>3467</v>
      </c>
      <c r="Z165" t="s">
        <v>3468</v>
      </c>
      <c r="AA165" t="s">
        <v>3469</v>
      </c>
      <c r="AB165" t="s">
        <v>3470</v>
      </c>
      <c r="AC165" t="s">
        <v>74</v>
      </c>
      <c r="AD165" t="s">
        <v>74</v>
      </c>
      <c r="AE165" t="s">
        <v>74</v>
      </c>
      <c r="AF165" t="s">
        <v>74</v>
      </c>
      <c r="AG165">
        <v>285</v>
      </c>
      <c r="AH165">
        <v>10</v>
      </c>
      <c r="AI165">
        <v>12</v>
      </c>
      <c r="AJ165">
        <v>4</v>
      </c>
      <c r="AK165">
        <v>47</v>
      </c>
      <c r="AL165" t="s">
        <v>2799</v>
      </c>
      <c r="AM165" t="s">
        <v>2800</v>
      </c>
      <c r="AN165" t="s">
        <v>2801</v>
      </c>
      <c r="AO165" t="s">
        <v>3471</v>
      </c>
      <c r="AP165" t="s">
        <v>3472</v>
      </c>
      <c r="AQ165" t="s">
        <v>3473</v>
      </c>
      <c r="AR165" t="s">
        <v>3474</v>
      </c>
      <c r="AS165" t="s">
        <v>3475</v>
      </c>
      <c r="AT165" t="s">
        <v>74</v>
      </c>
      <c r="AU165">
        <v>2014</v>
      </c>
      <c r="AV165">
        <v>753</v>
      </c>
      <c r="AW165" t="s">
        <v>74</v>
      </c>
      <c r="AX165" t="s">
        <v>74</v>
      </c>
      <c r="AY165" t="s">
        <v>74</v>
      </c>
      <c r="AZ165" t="s">
        <v>74</v>
      </c>
      <c r="BA165" t="s">
        <v>74</v>
      </c>
      <c r="BB165">
        <v>241</v>
      </c>
      <c r="BC165">
        <v>274</v>
      </c>
      <c r="BD165" t="s">
        <v>74</v>
      </c>
      <c r="BE165" t="s">
        <v>3476</v>
      </c>
      <c r="BF165" t="str">
        <f>HYPERLINK("http://dx.doi.org/10.1007/978-1-4939-0820-2_11","http://dx.doi.org/10.1007/978-1-4939-0820-2_11")</f>
        <v>http://dx.doi.org/10.1007/978-1-4939-0820-2_11</v>
      </c>
      <c r="BG165" t="s">
        <v>3477</v>
      </c>
      <c r="BH165" t="s">
        <v>74</v>
      </c>
      <c r="BI165">
        <v>34</v>
      </c>
      <c r="BJ165" t="s">
        <v>3478</v>
      </c>
      <c r="BK165" t="s">
        <v>2478</v>
      </c>
      <c r="BL165" t="s">
        <v>3479</v>
      </c>
      <c r="BM165" t="s">
        <v>3480</v>
      </c>
      <c r="BN165">
        <v>25091913</v>
      </c>
      <c r="BO165" t="s">
        <v>74</v>
      </c>
      <c r="BP165" t="s">
        <v>74</v>
      </c>
      <c r="BQ165" t="s">
        <v>74</v>
      </c>
      <c r="BR165" t="s">
        <v>103</v>
      </c>
      <c r="BS165" t="s">
        <v>3481</v>
      </c>
      <c r="BT165" t="str">
        <f>HYPERLINK("https%3A%2F%2Fwww.webofscience.com%2Fwos%2Fwoscc%2Ffull-record%2FWOS:000350410000012","View Full Record in Web of Science")</f>
        <v>View Full Record in Web of Science</v>
      </c>
    </row>
    <row r="166" spans="1:72" x14ac:dyDescent="0.15">
      <c r="A166" t="s">
        <v>72</v>
      </c>
      <c r="B166" t="s">
        <v>3482</v>
      </c>
      <c r="C166" t="s">
        <v>74</v>
      </c>
      <c r="D166" t="s">
        <v>74</v>
      </c>
      <c r="E166" t="s">
        <v>74</v>
      </c>
      <c r="F166" t="s">
        <v>3483</v>
      </c>
      <c r="G166" t="s">
        <v>74</v>
      </c>
      <c r="H166" t="s">
        <v>74</v>
      </c>
      <c r="I166" t="s">
        <v>3484</v>
      </c>
      <c r="J166" t="s">
        <v>3485</v>
      </c>
      <c r="K166" t="s">
        <v>74</v>
      </c>
      <c r="L166" t="s">
        <v>74</v>
      </c>
      <c r="M166" t="s">
        <v>78</v>
      </c>
      <c r="N166" t="s">
        <v>79</v>
      </c>
      <c r="O166" t="s">
        <v>74</v>
      </c>
      <c r="P166" t="s">
        <v>74</v>
      </c>
      <c r="Q166" t="s">
        <v>74</v>
      </c>
      <c r="R166" t="s">
        <v>74</v>
      </c>
      <c r="S166" t="s">
        <v>74</v>
      </c>
      <c r="T166" t="s">
        <v>3486</v>
      </c>
      <c r="U166" t="s">
        <v>3487</v>
      </c>
      <c r="V166" t="s">
        <v>3488</v>
      </c>
      <c r="W166" t="s">
        <v>3489</v>
      </c>
      <c r="X166" t="s">
        <v>3490</v>
      </c>
      <c r="Y166" t="s">
        <v>3491</v>
      </c>
      <c r="Z166" t="s">
        <v>3492</v>
      </c>
      <c r="AA166" t="s">
        <v>74</v>
      </c>
      <c r="AB166" t="s">
        <v>3493</v>
      </c>
      <c r="AC166" t="s">
        <v>3494</v>
      </c>
      <c r="AD166" t="s">
        <v>3495</v>
      </c>
      <c r="AE166" t="s">
        <v>3496</v>
      </c>
      <c r="AF166" t="s">
        <v>74</v>
      </c>
      <c r="AG166">
        <v>120</v>
      </c>
      <c r="AH166">
        <v>59</v>
      </c>
      <c r="AI166">
        <v>64</v>
      </c>
      <c r="AJ166">
        <v>0</v>
      </c>
      <c r="AK166">
        <v>14</v>
      </c>
      <c r="AL166" t="s">
        <v>304</v>
      </c>
      <c r="AM166" t="s">
        <v>305</v>
      </c>
      <c r="AN166" t="s">
        <v>306</v>
      </c>
      <c r="AO166" t="s">
        <v>3497</v>
      </c>
      <c r="AP166" t="s">
        <v>3498</v>
      </c>
      <c r="AQ166" t="s">
        <v>74</v>
      </c>
      <c r="AR166" t="s">
        <v>3499</v>
      </c>
      <c r="AS166" t="s">
        <v>3500</v>
      </c>
      <c r="AT166" t="s">
        <v>417</v>
      </c>
      <c r="AU166">
        <v>2014</v>
      </c>
      <c r="AV166">
        <v>200</v>
      </c>
      <c r="AW166" t="s">
        <v>74</v>
      </c>
      <c r="AX166" t="s">
        <v>74</v>
      </c>
      <c r="AY166" t="s">
        <v>74</v>
      </c>
      <c r="AZ166" t="s">
        <v>74</v>
      </c>
      <c r="BA166" t="s">
        <v>74</v>
      </c>
      <c r="BB166">
        <v>122</v>
      </c>
      <c r="BC166">
        <v>137</v>
      </c>
      <c r="BD166" t="s">
        <v>74</v>
      </c>
      <c r="BE166" t="s">
        <v>3501</v>
      </c>
      <c r="BF166" t="str">
        <f>HYPERLINK("http://dx.doi.org/10.1016/j.revpalbo.2013.09.001","http://dx.doi.org/10.1016/j.revpalbo.2013.09.001")</f>
        <v>http://dx.doi.org/10.1016/j.revpalbo.2013.09.001</v>
      </c>
      <c r="BG166" t="s">
        <v>74</v>
      </c>
      <c r="BH166" t="s">
        <v>74</v>
      </c>
      <c r="BI166">
        <v>16</v>
      </c>
      <c r="BJ166" t="s">
        <v>3502</v>
      </c>
      <c r="BK166" t="s">
        <v>99</v>
      </c>
      <c r="BL166" t="s">
        <v>3502</v>
      </c>
      <c r="BM166" t="s">
        <v>3503</v>
      </c>
      <c r="BN166" t="s">
        <v>74</v>
      </c>
      <c r="BO166" t="s">
        <v>831</v>
      </c>
      <c r="BP166" t="s">
        <v>74</v>
      </c>
      <c r="BQ166" t="s">
        <v>74</v>
      </c>
      <c r="BR166" t="s">
        <v>103</v>
      </c>
      <c r="BS166" t="s">
        <v>3504</v>
      </c>
      <c r="BT166" t="str">
        <f>HYPERLINK("https%3A%2F%2Fwww.webofscience.com%2Fwos%2Fwoscc%2Ffull-record%2FWOS:000329599500008","View Full Record in Web of Science")</f>
        <v>View Full Record in Web of Science</v>
      </c>
    </row>
    <row r="167" spans="1:72" x14ac:dyDescent="0.15">
      <c r="A167" t="s">
        <v>72</v>
      </c>
      <c r="B167" t="s">
        <v>3505</v>
      </c>
      <c r="C167" t="s">
        <v>74</v>
      </c>
      <c r="D167" t="s">
        <v>74</v>
      </c>
      <c r="E167" t="s">
        <v>74</v>
      </c>
      <c r="F167" t="s">
        <v>3506</v>
      </c>
      <c r="G167" t="s">
        <v>74</v>
      </c>
      <c r="H167" t="s">
        <v>74</v>
      </c>
      <c r="I167" t="s">
        <v>3507</v>
      </c>
      <c r="J167" t="s">
        <v>3508</v>
      </c>
      <c r="K167" t="s">
        <v>74</v>
      </c>
      <c r="L167" t="s">
        <v>74</v>
      </c>
      <c r="M167" t="s">
        <v>3509</v>
      </c>
      <c r="N167" t="s">
        <v>79</v>
      </c>
      <c r="O167" t="s">
        <v>74</v>
      </c>
      <c r="P167" t="s">
        <v>74</v>
      </c>
      <c r="Q167" t="s">
        <v>74</v>
      </c>
      <c r="R167" t="s">
        <v>74</v>
      </c>
      <c r="S167" t="s">
        <v>74</v>
      </c>
      <c r="T167" t="s">
        <v>3510</v>
      </c>
      <c r="U167" t="s">
        <v>74</v>
      </c>
      <c r="V167" t="s">
        <v>3511</v>
      </c>
      <c r="W167" t="s">
        <v>3512</v>
      </c>
      <c r="X167" t="s">
        <v>3513</v>
      </c>
      <c r="Y167" t="s">
        <v>3514</v>
      </c>
      <c r="Z167" t="s">
        <v>3515</v>
      </c>
      <c r="AA167" t="s">
        <v>3516</v>
      </c>
      <c r="AB167" t="s">
        <v>3517</v>
      </c>
      <c r="AC167" t="s">
        <v>74</v>
      </c>
      <c r="AD167" t="s">
        <v>74</v>
      </c>
      <c r="AE167" t="s">
        <v>74</v>
      </c>
      <c r="AF167" t="s">
        <v>74</v>
      </c>
      <c r="AG167">
        <v>19</v>
      </c>
      <c r="AH167">
        <v>0</v>
      </c>
      <c r="AI167">
        <v>0</v>
      </c>
      <c r="AJ167">
        <v>0</v>
      </c>
      <c r="AK167">
        <v>0</v>
      </c>
      <c r="AL167" t="s">
        <v>3518</v>
      </c>
      <c r="AM167" t="s">
        <v>3519</v>
      </c>
      <c r="AN167" t="s">
        <v>3520</v>
      </c>
      <c r="AO167" t="s">
        <v>3521</v>
      </c>
      <c r="AP167" t="s">
        <v>74</v>
      </c>
      <c r="AQ167" t="s">
        <v>74</v>
      </c>
      <c r="AR167" t="s">
        <v>3522</v>
      </c>
      <c r="AS167" t="s">
        <v>3523</v>
      </c>
      <c r="AT167" t="s">
        <v>3524</v>
      </c>
      <c r="AU167">
        <v>2014</v>
      </c>
      <c r="AV167">
        <v>5</v>
      </c>
      <c r="AW167">
        <v>1</v>
      </c>
      <c r="AX167" t="s">
        <v>74</v>
      </c>
      <c r="AY167" t="s">
        <v>74</v>
      </c>
      <c r="AZ167" t="s">
        <v>74</v>
      </c>
      <c r="BA167" t="s">
        <v>74</v>
      </c>
      <c r="BB167">
        <v>26</v>
      </c>
      <c r="BC167">
        <v>40</v>
      </c>
      <c r="BD167" t="s">
        <v>74</v>
      </c>
      <c r="BE167" t="s">
        <v>74</v>
      </c>
      <c r="BF167" t="s">
        <v>74</v>
      </c>
      <c r="BG167" t="s">
        <v>74</v>
      </c>
      <c r="BH167" t="s">
        <v>74</v>
      </c>
      <c r="BI167">
        <v>15</v>
      </c>
      <c r="BJ167" t="s">
        <v>3525</v>
      </c>
      <c r="BK167" t="s">
        <v>494</v>
      </c>
      <c r="BL167" t="s">
        <v>3525</v>
      </c>
      <c r="BM167" t="s">
        <v>3526</v>
      </c>
      <c r="BN167" t="s">
        <v>74</v>
      </c>
      <c r="BO167" t="s">
        <v>74</v>
      </c>
      <c r="BP167" t="s">
        <v>74</v>
      </c>
      <c r="BQ167" t="s">
        <v>74</v>
      </c>
      <c r="BR167" t="s">
        <v>103</v>
      </c>
      <c r="BS167" t="s">
        <v>3527</v>
      </c>
      <c r="BT167" t="str">
        <f>HYPERLINK("https%3A%2F%2Fwww.webofscience.com%2Fwos%2Fwoscc%2Ffull-record%2FWOS:000215960100002","View Full Record in Web of Science")</f>
        <v>View Full Record in Web of Science</v>
      </c>
    </row>
    <row r="168" spans="1:72" x14ac:dyDescent="0.15">
      <c r="A168" t="s">
        <v>72</v>
      </c>
      <c r="B168" t="s">
        <v>3528</v>
      </c>
      <c r="C168" t="s">
        <v>74</v>
      </c>
      <c r="D168" t="s">
        <v>74</v>
      </c>
      <c r="E168" t="s">
        <v>74</v>
      </c>
      <c r="F168" t="s">
        <v>3529</v>
      </c>
      <c r="G168" t="s">
        <v>74</v>
      </c>
      <c r="H168" t="s">
        <v>74</v>
      </c>
      <c r="I168" t="s">
        <v>3530</v>
      </c>
      <c r="J168" t="s">
        <v>3508</v>
      </c>
      <c r="K168" t="s">
        <v>74</v>
      </c>
      <c r="L168" t="s">
        <v>74</v>
      </c>
      <c r="M168" t="s">
        <v>3509</v>
      </c>
      <c r="N168" t="s">
        <v>79</v>
      </c>
      <c r="O168" t="s">
        <v>74</v>
      </c>
      <c r="P168" t="s">
        <v>74</v>
      </c>
      <c r="Q168" t="s">
        <v>74</v>
      </c>
      <c r="R168" t="s">
        <v>74</v>
      </c>
      <c r="S168" t="s">
        <v>74</v>
      </c>
      <c r="T168" t="s">
        <v>3531</v>
      </c>
      <c r="U168" t="s">
        <v>74</v>
      </c>
      <c r="V168" t="s">
        <v>3532</v>
      </c>
      <c r="W168" t="s">
        <v>74</v>
      </c>
      <c r="X168" t="s">
        <v>74</v>
      </c>
      <c r="Y168" t="s">
        <v>74</v>
      </c>
      <c r="Z168" t="s">
        <v>3533</v>
      </c>
      <c r="AA168" t="s">
        <v>74</v>
      </c>
      <c r="AB168" t="s">
        <v>74</v>
      </c>
      <c r="AC168" t="s">
        <v>74</v>
      </c>
      <c r="AD168" t="s">
        <v>74</v>
      </c>
      <c r="AE168" t="s">
        <v>74</v>
      </c>
      <c r="AF168" t="s">
        <v>74</v>
      </c>
      <c r="AG168">
        <v>10</v>
      </c>
      <c r="AH168">
        <v>0</v>
      </c>
      <c r="AI168">
        <v>0</v>
      </c>
      <c r="AJ168">
        <v>0</v>
      </c>
      <c r="AK168">
        <v>0</v>
      </c>
      <c r="AL168" t="s">
        <v>3518</v>
      </c>
      <c r="AM168" t="s">
        <v>3519</v>
      </c>
      <c r="AN168" t="s">
        <v>3520</v>
      </c>
      <c r="AO168" t="s">
        <v>3521</v>
      </c>
      <c r="AP168" t="s">
        <v>74</v>
      </c>
      <c r="AQ168" t="s">
        <v>74</v>
      </c>
      <c r="AR168" t="s">
        <v>3522</v>
      </c>
      <c r="AS168" t="s">
        <v>3523</v>
      </c>
      <c r="AT168" t="s">
        <v>3524</v>
      </c>
      <c r="AU168">
        <v>2014</v>
      </c>
      <c r="AV168">
        <v>5</v>
      </c>
      <c r="AW168">
        <v>1</v>
      </c>
      <c r="AX168" t="s">
        <v>74</v>
      </c>
      <c r="AY168" t="s">
        <v>74</v>
      </c>
      <c r="AZ168" t="s">
        <v>74</v>
      </c>
      <c r="BA168" t="s">
        <v>74</v>
      </c>
      <c r="BB168">
        <v>41</v>
      </c>
      <c r="BC168">
        <v>66</v>
      </c>
      <c r="BD168" t="s">
        <v>74</v>
      </c>
      <c r="BE168" t="s">
        <v>74</v>
      </c>
      <c r="BF168" t="s">
        <v>74</v>
      </c>
      <c r="BG168" t="s">
        <v>74</v>
      </c>
      <c r="BH168" t="s">
        <v>74</v>
      </c>
      <c r="BI168">
        <v>26</v>
      </c>
      <c r="BJ168" t="s">
        <v>3525</v>
      </c>
      <c r="BK168" t="s">
        <v>494</v>
      </c>
      <c r="BL168" t="s">
        <v>3525</v>
      </c>
      <c r="BM168" t="s">
        <v>3526</v>
      </c>
      <c r="BN168" t="s">
        <v>74</v>
      </c>
      <c r="BO168" t="s">
        <v>74</v>
      </c>
      <c r="BP168" t="s">
        <v>74</v>
      </c>
      <c r="BQ168" t="s">
        <v>74</v>
      </c>
      <c r="BR168" t="s">
        <v>103</v>
      </c>
      <c r="BS168" t="s">
        <v>3534</v>
      </c>
      <c r="BT168" t="str">
        <f>HYPERLINK("https%3A%2F%2Fwww.webofscience.com%2Fwos%2Fwoscc%2Ffull-record%2FWOS:000215960100003","View Full Record in Web of Science")</f>
        <v>View Full Record in Web of Science</v>
      </c>
    </row>
    <row r="169" spans="1:72" x14ac:dyDescent="0.15">
      <c r="A169" t="s">
        <v>1053</v>
      </c>
      <c r="B169" t="s">
        <v>3535</v>
      </c>
      <c r="C169" t="s">
        <v>74</v>
      </c>
      <c r="D169" t="s">
        <v>3536</v>
      </c>
      <c r="E169" t="s">
        <v>74</v>
      </c>
      <c r="F169" t="s">
        <v>3537</v>
      </c>
      <c r="G169" t="s">
        <v>74</v>
      </c>
      <c r="H169" t="s">
        <v>74</v>
      </c>
      <c r="I169" t="s">
        <v>3538</v>
      </c>
      <c r="J169" t="s">
        <v>3539</v>
      </c>
      <c r="K169" t="s">
        <v>3540</v>
      </c>
      <c r="L169" t="s">
        <v>74</v>
      </c>
      <c r="M169" t="s">
        <v>78</v>
      </c>
      <c r="N169" t="s">
        <v>244</v>
      </c>
      <c r="O169" t="s">
        <v>74</v>
      </c>
      <c r="P169" t="s">
        <v>74</v>
      </c>
      <c r="Q169" t="s">
        <v>74</v>
      </c>
      <c r="R169" t="s">
        <v>74</v>
      </c>
      <c r="S169" t="s">
        <v>74</v>
      </c>
      <c r="T169" t="s">
        <v>74</v>
      </c>
      <c r="U169" t="s">
        <v>3541</v>
      </c>
      <c r="V169" t="s">
        <v>3542</v>
      </c>
      <c r="W169" t="s">
        <v>3543</v>
      </c>
      <c r="X169" t="s">
        <v>3544</v>
      </c>
      <c r="Y169" t="s">
        <v>3545</v>
      </c>
      <c r="Z169" t="s">
        <v>3546</v>
      </c>
      <c r="AA169" t="s">
        <v>3547</v>
      </c>
      <c r="AB169" t="s">
        <v>3548</v>
      </c>
      <c r="AC169" t="s">
        <v>74</v>
      </c>
      <c r="AD169" t="s">
        <v>74</v>
      </c>
      <c r="AE169" t="s">
        <v>74</v>
      </c>
      <c r="AF169" t="s">
        <v>74</v>
      </c>
      <c r="AG169">
        <v>153</v>
      </c>
      <c r="AH169">
        <v>13</v>
      </c>
      <c r="AI169">
        <v>15</v>
      </c>
      <c r="AJ169">
        <v>0</v>
      </c>
      <c r="AK169">
        <v>3</v>
      </c>
      <c r="AL169" t="s">
        <v>3549</v>
      </c>
      <c r="AM169" t="s">
        <v>2166</v>
      </c>
      <c r="AN169" t="s">
        <v>3550</v>
      </c>
      <c r="AO169" t="s">
        <v>3551</v>
      </c>
      <c r="AP169" t="s">
        <v>74</v>
      </c>
      <c r="AQ169" t="s">
        <v>3552</v>
      </c>
      <c r="AR169" t="s">
        <v>3553</v>
      </c>
      <c r="AS169" t="s">
        <v>74</v>
      </c>
      <c r="AT169" t="s">
        <v>74</v>
      </c>
      <c r="AU169">
        <v>2014</v>
      </c>
      <c r="AV169">
        <v>40</v>
      </c>
      <c r="AW169" t="s">
        <v>74</v>
      </c>
      <c r="AX169" t="s">
        <v>74</v>
      </c>
      <c r="AY169" t="s">
        <v>74</v>
      </c>
      <c r="AZ169" t="s">
        <v>74</v>
      </c>
      <c r="BA169" t="s">
        <v>74</v>
      </c>
      <c r="BB169">
        <v>263</v>
      </c>
      <c r="BC169">
        <v>281</v>
      </c>
      <c r="BD169" t="s">
        <v>74</v>
      </c>
      <c r="BE169" t="s">
        <v>3554</v>
      </c>
      <c r="BF169" t="str">
        <f>HYPERLINK("http://dx.doi.org/10.1144/M40.16","http://dx.doi.org/10.1144/M40.16")</f>
        <v>http://dx.doi.org/10.1144/M40.16</v>
      </c>
      <c r="BG169" t="s">
        <v>74</v>
      </c>
      <c r="BH169" t="s">
        <v>74</v>
      </c>
      <c r="BI169">
        <v>19</v>
      </c>
      <c r="BJ169" t="s">
        <v>1075</v>
      </c>
      <c r="BK169" t="s">
        <v>632</v>
      </c>
      <c r="BL169" t="s">
        <v>100</v>
      </c>
      <c r="BM169" t="s">
        <v>3555</v>
      </c>
      <c r="BN169" t="s">
        <v>74</v>
      </c>
      <c r="BO169" t="s">
        <v>74</v>
      </c>
      <c r="BP169" t="s">
        <v>74</v>
      </c>
      <c r="BQ169" t="s">
        <v>74</v>
      </c>
      <c r="BR169" t="s">
        <v>103</v>
      </c>
      <c r="BS169" t="s">
        <v>3556</v>
      </c>
      <c r="BT169" t="str">
        <f>HYPERLINK("https%3A%2F%2Fwww.webofscience.com%2Fwos%2Fwoscc%2Ffull-record%2FWOS:000343328000016","View Full Record in Web of Science")</f>
        <v>View Full Record in Web of Science</v>
      </c>
    </row>
    <row r="170" spans="1:72" x14ac:dyDescent="0.15">
      <c r="A170" t="s">
        <v>72</v>
      </c>
      <c r="B170" t="s">
        <v>3557</v>
      </c>
      <c r="C170" t="s">
        <v>74</v>
      </c>
      <c r="D170" t="s">
        <v>74</v>
      </c>
      <c r="E170" t="s">
        <v>74</v>
      </c>
      <c r="F170" t="s">
        <v>3558</v>
      </c>
      <c r="G170" t="s">
        <v>74</v>
      </c>
      <c r="H170" t="s">
        <v>74</v>
      </c>
      <c r="I170" t="s">
        <v>3559</v>
      </c>
      <c r="J170" t="s">
        <v>3560</v>
      </c>
      <c r="K170" t="s">
        <v>74</v>
      </c>
      <c r="L170" t="s">
        <v>74</v>
      </c>
      <c r="M170" t="s">
        <v>2019</v>
      </c>
      <c r="N170" t="s">
        <v>79</v>
      </c>
      <c r="O170" t="s">
        <v>74</v>
      </c>
      <c r="P170" t="s">
        <v>74</v>
      </c>
      <c r="Q170" t="s">
        <v>74</v>
      </c>
      <c r="R170" t="s">
        <v>74</v>
      </c>
      <c r="S170" t="s">
        <v>74</v>
      </c>
      <c r="T170" t="s">
        <v>3561</v>
      </c>
      <c r="U170" t="s">
        <v>74</v>
      </c>
      <c r="V170" t="s">
        <v>3562</v>
      </c>
      <c r="W170" t="s">
        <v>74</v>
      </c>
      <c r="X170" t="s">
        <v>74</v>
      </c>
      <c r="Y170" t="s">
        <v>74</v>
      </c>
      <c r="Z170" t="s">
        <v>74</v>
      </c>
      <c r="AA170" t="s">
        <v>3563</v>
      </c>
      <c r="AB170" t="s">
        <v>3564</v>
      </c>
      <c r="AC170" t="s">
        <v>74</v>
      </c>
      <c r="AD170" t="s">
        <v>74</v>
      </c>
      <c r="AE170" t="s">
        <v>74</v>
      </c>
      <c r="AF170" t="s">
        <v>74</v>
      </c>
      <c r="AG170">
        <v>9</v>
      </c>
      <c r="AH170">
        <v>0</v>
      </c>
      <c r="AI170">
        <v>0</v>
      </c>
      <c r="AJ170">
        <v>0</v>
      </c>
      <c r="AK170">
        <v>0</v>
      </c>
      <c r="AL170" t="s">
        <v>3565</v>
      </c>
      <c r="AM170" t="s">
        <v>3566</v>
      </c>
      <c r="AN170" t="s">
        <v>3567</v>
      </c>
      <c r="AO170" t="s">
        <v>3568</v>
      </c>
      <c r="AP170" t="s">
        <v>3569</v>
      </c>
      <c r="AQ170" t="s">
        <v>74</v>
      </c>
      <c r="AR170" t="s">
        <v>3570</v>
      </c>
      <c r="AS170" t="s">
        <v>3571</v>
      </c>
      <c r="AT170" t="s">
        <v>74</v>
      </c>
      <c r="AU170">
        <v>2014</v>
      </c>
      <c r="AV170" t="s">
        <v>74</v>
      </c>
      <c r="AW170">
        <v>8</v>
      </c>
      <c r="AX170" t="s">
        <v>74</v>
      </c>
      <c r="AY170" t="s">
        <v>74</v>
      </c>
      <c r="AZ170" t="s">
        <v>74</v>
      </c>
      <c r="BA170" t="s">
        <v>74</v>
      </c>
      <c r="BB170">
        <v>123</v>
      </c>
      <c r="BC170">
        <v>128</v>
      </c>
      <c r="BD170" t="s">
        <v>74</v>
      </c>
      <c r="BE170" t="s">
        <v>74</v>
      </c>
      <c r="BF170" t="s">
        <v>74</v>
      </c>
      <c r="BG170" t="s">
        <v>74</v>
      </c>
      <c r="BH170" t="s">
        <v>74</v>
      </c>
      <c r="BI170">
        <v>7</v>
      </c>
      <c r="BJ170" t="s">
        <v>3572</v>
      </c>
      <c r="BK170" t="s">
        <v>494</v>
      </c>
      <c r="BL170" t="s">
        <v>3572</v>
      </c>
      <c r="BM170" t="s">
        <v>3573</v>
      </c>
      <c r="BN170" t="s">
        <v>74</v>
      </c>
      <c r="BO170" t="s">
        <v>74</v>
      </c>
      <c r="BP170" t="s">
        <v>74</v>
      </c>
      <c r="BQ170" t="s">
        <v>74</v>
      </c>
      <c r="BR170" t="s">
        <v>103</v>
      </c>
      <c r="BS170" t="s">
        <v>3574</v>
      </c>
      <c r="BT170" t="str">
        <f>HYPERLINK("https%3A%2F%2Fwww.webofscience.com%2Fwos%2Fwoscc%2Ffull-record%2FWOS:000217860100026","View Full Record in Web of Science")</f>
        <v>View Full Record in Web of Science</v>
      </c>
    </row>
    <row r="171" spans="1:72" x14ac:dyDescent="0.15">
      <c r="A171" t="s">
        <v>72</v>
      </c>
      <c r="B171" t="s">
        <v>3575</v>
      </c>
      <c r="C171" t="s">
        <v>74</v>
      </c>
      <c r="D171" t="s">
        <v>74</v>
      </c>
      <c r="E171" t="s">
        <v>74</v>
      </c>
      <c r="F171" t="s">
        <v>3576</v>
      </c>
      <c r="G171" t="s">
        <v>74</v>
      </c>
      <c r="H171" t="s">
        <v>74</v>
      </c>
      <c r="I171" t="s">
        <v>3577</v>
      </c>
      <c r="J171" t="s">
        <v>3560</v>
      </c>
      <c r="K171" t="s">
        <v>74</v>
      </c>
      <c r="L171" t="s">
        <v>74</v>
      </c>
      <c r="M171" t="s">
        <v>2019</v>
      </c>
      <c r="N171" t="s">
        <v>79</v>
      </c>
      <c r="O171" t="s">
        <v>74</v>
      </c>
      <c r="P171" t="s">
        <v>74</v>
      </c>
      <c r="Q171" t="s">
        <v>74</v>
      </c>
      <c r="R171" t="s">
        <v>74</v>
      </c>
      <c r="S171" t="s">
        <v>74</v>
      </c>
      <c r="T171" t="s">
        <v>3578</v>
      </c>
      <c r="U171" t="s">
        <v>74</v>
      </c>
      <c r="V171" t="s">
        <v>3579</v>
      </c>
      <c r="W171" t="s">
        <v>74</v>
      </c>
      <c r="X171" t="s">
        <v>74</v>
      </c>
      <c r="Y171" t="s">
        <v>74</v>
      </c>
      <c r="Z171" t="s">
        <v>74</v>
      </c>
      <c r="AA171" t="s">
        <v>74</v>
      </c>
      <c r="AB171" t="s">
        <v>74</v>
      </c>
      <c r="AC171" t="s">
        <v>74</v>
      </c>
      <c r="AD171" t="s">
        <v>74</v>
      </c>
      <c r="AE171" t="s">
        <v>74</v>
      </c>
      <c r="AF171" t="s">
        <v>74</v>
      </c>
      <c r="AG171">
        <v>5</v>
      </c>
      <c r="AH171">
        <v>0</v>
      </c>
      <c r="AI171">
        <v>0</v>
      </c>
      <c r="AJ171">
        <v>0</v>
      </c>
      <c r="AK171">
        <v>1</v>
      </c>
      <c r="AL171" t="s">
        <v>3565</v>
      </c>
      <c r="AM171" t="s">
        <v>3566</v>
      </c>
      <c r="AN171" t="s">
        <v>3567</v>
      </c>
      <c r="AO171" t="s">
        <v>3568</v>
      </c>
      <c r="AP171" t="s">
        <v>3569</v>
      </c>
      <c r="AQ171" t="s">
        <v>74</v>
      </c>
      <c r="AR171" t="s">
        <v>3570</v>
      </c>
      <c r="AS171" t="s">
        <v>3571</v>
      </c>
      <c r="AT171" t="s">
        <v>74</v>
      </c>
      <c r="AU171">
        <v>2014</v>
      </c>
      <c r="AV171" t="s">
        <v>74</v>
      </c>
      <c r="AW171">
        <v>8</v>
      </c>
      <c r="AX171" t="s">
        <v>74</v>
      </c>
      <c r="AY171" t="s">
        <v>74</v>
      </c>
      <c r="AZ171" t="s">
        <v>74</v>
      </c>
      <c r="BA171" t="s">
        <v>74</v>
      </c>
      <c r="BB171">
        <v>133</v>
      </c>
      <c r="BC171">
        <v>137</v>
      </c>
      <c r="BD171" t="s">
        <v>74</v>
      </c>
      <c r="BE171" t="s">
        <v>74</v>
      </c>
      <c r="BF171" t="s">
        <v>74</v>
      </c>
      <c r="BG171" t="s">
        <v>74</v>
      </c>
      <c r="BH171" t="s">
        <v>74</v>
      </c>
      <c r="BI171">
        <v>5</v>
      </c>
      <c r="BJ171" t="s">
        <v>3572</v>
      </c>
      <c r="BK171" t="s">
        <v>494</v>
      </c>
      <c r="BL171" t="s">
        <v>3572</v>
      </c>
      <c r="BM171" t="s">
        <v>3573</v>
      </c>
      <c r="BN171" t="s">
        <v>74</v>
      </c>
      <c r="BO171" t="s">
        <v>74</v>
      </c>
      <c r="BP171" t="s">
        <v>74</v>
      </c>
      <c r="BQ171" t="s">
        <v>74</v>
      </c>
      <c r="BR171" t="s">
        <v>103</v>
      </c>
      <c r="BS171" t="s">
        <v>3580</v>
      </c>
      <c r="BT171" t="str">
        <f>HYPERLINK("https%3A%2F%2Fwww.webofscience.com%2Fwos%2Fwoscc%2Ffull-record%2FWOS:000217860100028","View Full Record in Web of Science")</f>
        <v>View Full Record in Web of Science</v>
      </c>
    </row>
    <row r="172" spans="1:72" x14ac:dyDescent="0.15">
      <c r="A172" t="s">
        <v>72</v>
      </c>
      <c r="B172" t="s">
        <v>3581</v>
      </c>
      <c r="C172" t="s">
        <v>74</v>
      </c>
      <c r="D172" t="s">
        <v>74</v>
      </c>
      <c r="E172" t="s">
        <v>74</v>
      </c>
      <c r="F172" t="s">
        <v>3582</v>
      </c>
      <c r="G172" t="s">
        <v>74</v>
      </c>
      <c r="H172" t="s">
        <v>74</v>
      </c>
      <c r="I172" t="s">
        <v>3583</v>
      </c>
      <c r="J172" t="s">
        <v>3584</v>
      </c>
      <c r="K172" t="s">
        <v>74</v>
      </c>
      <c r="L172" t="s">
        <v>74</v>
      </c>
      <c r="M172" t="s">
        <v>78</v>
      </c>
      <c r="N172" t="s">
        <v>79</v>
      </c>
      <c r="O172" t="s">
        <v>74</v>
      </c>
      <c r="P172" t="s">
        <v>74</v>
      </c>
      <c r="Q172" t="s">
        <v>74</v>
      </c>
      <c r="R172" t="s">
        <v>74</v>
      </c>
      <c r="S172" t="s">
        <v>74</v>
      </c>
      <c r="T172" t="s">
        <v>74</v>
      </c>
      <c r="U172" t="s">
        <v>74</v>
      </c>
      <c r="V172" t="s">
        <v>3585</v>
      </c>
      <c r="W172" t="s">
        <v>3586</v>
      </c>
      <c r="X172" t="s">
        <v>2317</v>
      </c>
      <c r="Y172" t="s">
        <v>3587</v>
      </c>
      <c r="Z172" t="s">
        <v>3588</v>
      </c>
      <c r="AA172" t="s">
        <v>3589</v>
      </c>
      <c r="AB172" t="s">
        <v>3590</v>
      </c>
      <c r="AC172" t="s">
        <v>3591</v>
      </c>
      <c r="AD172" t="s">
        <v>3592</v>
      </c>
      <c r="AE172" t="s">
        <v>3593</v>
      </c>
      <c r="AF172" t="s">
        <v>74</v>
      </c>
      <c r="AG172">
        <v>16</v>
      </c>
      <c r="AH172">
        <v>155</v>
      </c>
      <c r="AI172">
        <v>160</v>
      </c>
      <c r="AJ172">
        <v>5</v>
      </c>
      <c r="AK172">
        <v>22</v>
      </c>
      <c r="AL172" t="s">
        <v>1371</v>
      </c>
      <c r="AM172" t="s">
        <v>849</v>
      </c>
      <c r="AN172" t="s">
        <v>1372</v>
      </c>
      <c r="AO172" t="s">
        <v>74</v>
      </c>
      <c r="AP172" t="s">
        <v>3594</v>
      </c>
      <c r="AQ172" t="s">
        <v>74</v>
      </c>
      <c r="AR172" t="s">
        <v>3595</v>
      </c>
      <c r="AS172" t="s">
        <v>3596</v>
      </c>
      <c r="AT172" t="s">
        <v>74</v>
      </c>
      <c r="AU172">
        <v>2014</v>
      </c>
      <c r="AV172">
        <v>1</v>
      </c>
      <c r="AW172" t="s">
        <v>74</v>
      </c>
      <c r="AX172" t="s">
        <v>74</v>
      </c>
      <c r="AY172" t="s">
        <v>74</v>
      </c>
      <c r="AZ172" t="s">
        <v>74</v>
      </c>
      <c r="BA172" t="s">
        <v>74</v>
      </c>
      <c r="BB172" t="s">
        <v>74</v>
      </c>
      <c r="BC172" t="s">
        <v>74</v>
      </c>
      <c r="BD172">
        <v>140007</v>
      </c>
      <c r="BE172" t="s">
        <v>3597</v>
      </c>
      <c r="BF172" t="str">
        <f>HYPERLINK("http://dx.doi.org/10.1038/sdata.2014.7","http://dx.doi.org/10.1038/sdata.2014.7")</f>
        <v>http://dx.doi.org/10.1038/sdata.2014.7</v>
      </c>
      <c r="BG172" t="s">
        <v>74</v>
      </c>
      <c r="BH172" t="s">
        <v>74</v>
      </c>
      <c r="BI172">
        <v>8</v>
      </c>
      <c r="BJ172" t="s">
        <v>2652</v>
      </c>
      <c r="BK172" t="s">
        <v>99</v>
      </c>
      <c r="BL172" t="s">
        <v>2653</v>
      </c>
      <c r="BM172" t="s">
        <v>3598</v>
      </c>
      <c r="BN172">
        <v>25977765</v>
      </c>
      <c r="BO172" t="s">
        <v>699</v>
      </c>
      <c r="BP172" t="s">
        <v>74</v>
      </c>
      <c r="BQ172" t="s">
        <v>74</v>
      </c>
      <c r="BR172" t="s">
        <v>103</v>
      </c>
      <c r="BS172" t="s">
        <v>3599</v>
      </c>
      <c r="BT172" t="str">
        <f>HYPERLINK("https%3A%2F%2Fwww.webofscience.com%2Fwos%2Fwoscc%2Ffull-record%2FWOS:000209843500052","View Full Record in Web of Science")</f>
        <v>View Full Record in Web of Science</v>
      </c>
    </row>
    <row r="173" spans="1:72" x14ac:dyDescent="0.15">
      <c r="A173" t="s">
        <v>72</v>
      </c>
      <c r="B173" t="s">
        <v>3600</v>
      </c>
      <c r="C173" t="s">
        <v>74</v>
      </c>
      <c r="D173" t="s">
        <v>74</v>
      </c>
      <c r="E173" t="s">
        <v>74</v>
      </c>
      <c r="F173" t="s">
        <v>3601</v>
      </c>
      <c r="G173" t="s">
        <v>74</v>
      </c>
      <c r="H173" t="s">
        <v>74</v>
      </c>
      <c r="I173" t="s">
        <v>3602</v>
      </c>
      <c r="J173" t="s">
        <v>3584</v>
      </c>
      <c r="K173" t="s">
        <v>74</v>
      </c>
      <c r="L173" t="s">
        <v>74</v>
      </c>
      <c r="M173" t="s">
        <v>78</v>
      </c>
      <c r="N173" t="s">
        <v>79</v>
      </c>
      <c r="O173" t="s">
        <v>74</v>
      </c>
      <c r="P173" t="s">
        <v>74</v>
      </c>
      <c r="Q173" t="s">
        <v>74</v>
      </c>
      <c r="R173" t="s">
        <v>74</v>
      </c>
      <c r="S173" t="s">
        <v>74</v>
      </c>
      <c r="T173" t="s">
        <v>74</v>
      </c>
      <c r="U173" t="s">
        <v>74</v>
      </c>
      <c r="V173" t="s">
        <v>3603</v>
      </c>
      <c r="W173" t="s">
        <v>3604</v>
      </c>
      <c r="X173" t="s">
        <v>3605</v>
      </c>
      <c r="Y173" t="s">
        <v>3606</v>
      </c>
      <c r="Z173" t="s">
        <v>3607</v>
      </c>
      <c r="AA173" t="s">
        <v>3608</v>
      </c>
      <c r="AB173" t="s">
        <v>3609</v>
      </c>
      <c r="AC173" t="s">
        <v>3610</v>
      </c>
      <c r="AD173" t="s">
        <v>3611</v>
      </c>
      <c r="AE173" t="s">
        <v>3612</v>
      </c>
      <c r="AF173" t="s">
        <v>74</v>
      </c>
      <c r="AG173">
        <v>46</v>
      </c>
      <c r="AH173">
        <v>99</v>
      </c>
      <c r="AI173">
        <v>109</v>
      </c>
      <c r="AJ173">
        <v>0</v>
      </c>
      <c r="AK173">
        <v>13</v>
      </c>
      <c r="AL173" t="s">
        <v>1371</v>
      </c>
      <c r="AM173" t="s">
        <v>849</v>
      </c>
      <c r="AN173" t="s">
        <v>1372</v>
      </c>
      <c r="AO173" t="s">
        <v>74</v>
      </c>
      <c r="AP173" t="s">
        <v>3594</v>
      </c>
      <c r="AQ173" t="s">
        <v>74</v>
      </c>
      <c r="AR173" t="s">
        <v>3595</v>
      </c>
      <c r="AS173" t="s">
        <v>3596</v>
      </c>
      <c r="AT173" t="s">
        <v>74</v>
      </c>
      <c r="AU173">
        <v>2014</v>
      </c>
      <c r="AV173">
        <v>1</v>
      </c>
      <c r="AW173" t="s">
        <v>74</v>
      </c>
      <c r="AX173" t="s">
        <v>74</v>
      </c>
      <c r="AY173" t="s">
        <v>74</v>
      </c>
      <c r="AZ173" t="s">
        <v>74</v>
      </c>
      <c r="BA173" t="s">
        <v>74</v>
      </c>
      <c r="BB173" t="s">
        <v>74</v>
      </c>
      <c r="BC173" t="s">
        <v>74</v>
      </c>
      <c r="BD173">
        <v>140028</v>
      </c>
      <c r="BE173" t="s">
        <v>3613</v>
      </c>
      <c r="BF173" t="str">
        <f>HYPERLINK("http://dx.doi.org/10.1038/sdata.2014.28","http://dx.doi.org/10.1038/sdata.2014.28")</f>
        <v>http://dx.doi.org/10.1038/sdata.2014.28</v>
      </c>
      <c r="BG173" t="s">
        <v>74</v>
      </c>
      <c r="BH173" t="s">
        <v>74</v>
      </c>
      <c r="BI173">
        <v>10</v>
      </c>
      <c r="BJ173" t="s">
        <v>2652</v>
      </c>
      <c r="BK173" t="s">
        <v>99</v>
      </c>
      <c r="BL173" t="s">
        <v>2653</v>
      </c>
      <c r="BM173" t="s">
        <v>3598</v>
      </c>
      <c r="BN173">
        <v>25977785</v>
      </c>
      <c r="BO173" t="s">
        <v>3614</v>
      </c>
      <c r="BP173" t="s">
        <v>74</v>
      </c>
      <c r="BQ173" t="s">
        <v>74</v>
      </c>
      <c r="BR173" t="s">
        <v>103</v>
      </c>
      <c r="BS173" t="s">
        <v>3615</v>
      </c>
      <c r="BT173" t="str">
        <f>HYPERLINK("https%3A%2F%2Fwww.webofscience.com%2Fwos%2Fwoscc%2Ffull-record%2FWOS:000209843500021","View Full Record in Web of Science")</f>
        <v>View Full Record in Web of Science</v>
      </c>
    </row>
    <row r="174" spans="1:72" x14ac:dyDescent="0.15">
      <c r="A174" t="s">
        <v>1053</v>
      </c>
      <c r="B174" t="s">
        <v>3616</v>
      </c>
      <c r="C174" t="s">
        <v>74</v>
      </c>
      <c r="D174" t="s">
        <v>3617</v>
      </c>
      <c r="E174" t="s">
        <v>74</v>
      </c>
      <c r="F174" t="s">
        <v>3618</v>
      </c>
      <c r="G174" t="s">
        <v>74</v>
      </c>
      <c r="H174" t="s">
        <v>74</v>
      </c>
      <c r="I174" t="s">
        <v>3619</v>
      </c>
      <c r="J174" t="s">
        <v>3620</v>
      </c>
      <c r="K174" t="s">
        <v>3621</v>
      </c>
      <c r="L174" t="s">
        <v>74</v>
      </c>
      <c r="M174" t="s">
        <v>78</v>
      </c>
      <c r="N174" t="s">
        <v>2459</v>
      </c>
      <c r="O174" t="s">
        <v>74</v>
      </c>
      <c r="P174" t="s">
        <v>74</v>
      </c>
      <c r="Q174" t="s">
        <v>74</v>
      </c>
      <c r="R174" t="s">
        <v>74</v>
      </c>
      <c r="S174" t="s">
        <v>74</v>
      </c>
      <c r="T174" t="s">
        <v>74</v>
      </c>
      <c r="U174" t="s">
        <v>3622</v>
      </c>
      <c r="V174" t="s">
        <v>3623</v>
      </c>
      <c r="W174" t="s">
        <v>3624</v>
      </c>
      <c r="X174" t="s">
        <v>3625</v>
      </c>
      <c r="Y174" t="s">
        <v>3626</v>
      </c>
      <c r="Z174" t="s">
        <v>3627</v>
      </c>
      <c r="AA174" t="s">
        <v>3628</v>
      </c>
      <c r="AB174" t="s">
        <v>3629</v>
      </c>
      <c r="AC174" t="s">
        <v>74</v>
      </c>
      <c r="AD174" t="s">
        <v>74</v>
      </c>
      <c r="AE174" t="s">
        <v>74</v>
      </c>
      <c r="AF174" t="s">
        <v>74</v>
      </c>
      <c r="AG174">
        <v>129</v>
      </c>
      <c r="AH174">
        <v>23</v>
      </c>
      <c r="AI174">
        <v>25</v>
      </c>
      <c r="AJ174">
        <v>1</v>
      </c>
      <c r="AK174">
        <v>46</v>
      </c>
      <c r="AL174" t="s">
        <v>3630</v>
      </c>
      <c r="AM174" t="s">
        <v>849</v>
      </c>
      <c r="AN174" t="s">
        <v>3631</v>
      </c>
      <c r="AO174" t="s">
        <v>3632</v>
      </c>
      <c r="AP174" t="s">
        <v>74</v>
      </c>
      <c r="AQ174" t="s">
        <v>3633</v>
      </c>
      <c r="AR174" t="s">
        <v>3634</v>
      </c>
      <c r="AS174" t="s">
        <v>3635</v>
      </c>
      <c r="AT174" t="s">
        <v>74</v>
      </c>
      <c r="AU174">
        <v>2014</v>
      </c>
      <c r="AV174">
        <v>71</v>
      </c>
      <c r="AW174" t="s">
        <v>74</v>
      </c>
      <c r="AX174" t="s">
        <v>74</v>
      </c>
      <c r="AY174" t="s">
        <v>74</v>
      </c>
      <c r="AZ174" t="s">
        <v>74</v>
      </c>
      <c r="BA174" t="s">
        <v>74</v>
      </c>
      <c r="BB174">
        <v>441</v>
      </c>
      <c r="BC174">
        <v>465</v>
      </c>
      <c r="BD174" t="s">
        <v>74</v>
      </c>
      <c r="BE174" t="s">
        <v>3636</v>
      </c>
      <c r="BF174" t="str">
        <f>HYPERLINK("http://dx.doi.org/10.1016/B978-0-12-408062-1.00015-9","http://dx.doi.org/10.1016/B978-0-12-408062-1.00015-9")</f>
        <v>http://dx.doi.org/10.1016/B978-0-12-408062-1.00015-9</v>
      </c>
      <c r="BG174" t="s">
        <v>74</v>
      </c>
      <c r="BH174" t="s">
        <v>74</v>
      </c>
      <c r="BI174">
        <v>25</v>
      </c>
      <c r="BJ174" t="s">
        <v>3161</v>
      </c>
      <c r="BK174" t="s">
        <v>2478</v>
      </c>
      <c r="BL174" t="s">
        <v>3161</v>
      </c>
      <c r="BM174" t="s">
        <v>3637</v>
      </c>
      <c r="BN174" t="s">
        <v>74</v>
      </c>
      <c r="BO174" t="s">
        <v>74</v>
      </c>
      <c r="BP174" t="s">
        <v>74</v>
      </c>
      <c r="BQ174" t="s">
        <v>74</v>
      </c>
      <c r="BR174" t="s">
        <v>103</v>
      </c>
      <c r="BS174" t="s">
        <v>3638</v>
      </c>
      <c r="BT174" t="str">
        <f>HYPERLINK("https%3A%2F%2Fwww.webofscience.com%2Fwos%2Fwoscc%2Ffull-record%2FWOS:000338387100016","View Full Record in Web of Science")</f>
        <v>View Full Record in Web of Science</v>
      </c>
    </row>
    <row r="175" spans="1:72" x14ac:dyDescent="0.15">
      <c r="A175" t="s">
        <v>238</v>
      </c>
      <c r="B175" t="s">
        <v>3639</v>
      </c>
      <c r="C175" t="s">
        <v>3639</v>
      </c>
      <c r="D175" t="s">
        <v>74</v>
      </c>
      <c r="E175" t="s">
        <v>74</v>
      </c>
      <c r="F175" t="s">
        <v>3640</v>
      </c>
      <c r="G175" t="s">
        <v>3639</v>
      </c>
      <c r="H175" t="s">
        <v>74</v>
      </c>
      <c r="I175" t="s">
        <v>3641</v>
      </c>
      <c r="J175" t="s">
        <v>3642</v>
      </c>
      <c r="K175" t="s">
        <v>74</v>
      </c>
      <c r="L175" t="s">
        <v>74</v>
      </c>
      <c r="M175" t="s">
        <v>78</v>
      </c>
      <c r="N175" t="s">
        <v>622</v>
      </c>
      <c r="O175" t="s">
        <v>74</v>
      </c>
      <c r="P175" t="s">
        <v>74</v>
      </c>
      <c r="Q175" t="s">
        <v>74</v>
      </c>
      <c r="R175" t="s">
        <v>74</v>
      </c>
      <c r="S175" t="s">
        <v>74</v>
      </c>
      <c r="T175" t="s">
        <v>74</v>
      </c>
      <c r="U175" t="s">
        <v>3643</v>
      </c>
      <c r="V175" t="s">
        <v>74</v>
      </c>
      <c r="W175" t="s">
        <v>3644</v>
      </c>
      <c r="X175" t="s">
        <v>3645</v>
      </c>
      <c r="Y175" t="s">
        <v>3646</v>
      </c>
      <c r="Z175" t="s">
        <v>74</v>
      </c>
      <c r="AA175" t="s">
        <v>3647</v>
      </c>
      <c r="AB175" t="s">
        <v>74</v>
      </c>
      <c r="AC175" t="s">
        <v>74</v>
      </c>
      <c r="AD175" t="s">
        <v>74</v>
      </c>
      <c r="AE175" t="s">
        <v>74</v>
      </c>
      <c r="AF175" t="s">
        <v>74</v>
      </c>
      <c r="AG175">
        <v>2638</v>
      </c>
      <c r="AH175">
        <v>0</v>
      </c>
      <c r="AI175">
        <v>0</v>
      </c>
      <c r="AJ175">
        <v>0</v>
      </c>
      <c r="AK175">
        <v>28</v>
      </c>
      <c r="AL175" t="s">
        <v>1748</v>
      </c>
      <c r="AM175" t="s">
        <v>1470</v>
      </c>
      <c r="AN175" t="s">
        <v>3429</v>
      </c>
      <c r="AO175" t="s">
        <v>74</v>
      </c>
      <c r="AP175" t="s">
        <v>74</v>
      </c>
      <c r="AQ175" t="s">
        <v>3648</v>
      </c>
      <c r="AR175" t="s">
        <v>74</v>
      </c>
      <c r="AS175" t="s">
        <v>74</v>
      </c>
      <c r="AT175" t="s">
        <v>74</v>
      </c>
      <c r="AU175">
        <v>2014</v>
      </c>
      <c r="AV175" t="s">
        <v>74</v>
      </c>
      <c r="AW175" t="s">
        <v>74</v>
      </c>
      <c r="AX175" t="s">
        <v>74</v>
      </c>
      <c r="AY175" t="s">
        <v>74</v>
      </c>
      <c r="AZ175" t="s">
        <v>74</v>
      </c>
      <c r="BA175" t="s">
        <v>74</v>
      </c>
      <c r="BB175" t="s">
        <v>3649</v>
      </c>
      <c r="BC175" t="s">
        <v>629</v>
      </c>
      <c r="BD175" t="s">
        <v>74</v>
      </c>
      <c r="BE175" t="s">
        <v>74</v>
      </c>
      <c r="BF175" t="s">
        <v>74</v>
      </c>
      <c r="BG175" t="s">
        <v>3650</v>
      </c>
      <c r="BH175" t="s">
        <v>74</v>
      </c>
      <c r="BI175">
        <v>98</v>
      </c>
      <c r="BJ175" t="s">
        <v>3651</v>
      </c>
      <c r="BK175" t="s">
        <v>632</v>
      </c>
      <c r="BL175" t="s">
        <v>3651</v>
      </c>
      <c r="BM175" t="s">
        <v>3652</v>
      </c>
      <c r="BN175" t="s">
        <v>74</v>
      </c>
      <c r="BO175" t="s">
        <v>74</v>
      </c>
      <c r="BP175" t="s">
        <v>74</v>
      </c>
      <c r="BQ175" t="s">
        <v>74</v>
      </c>
      <c r="BR175" t="s">
        <v>103</v>
      </c>
      <c r="BS175" t="s">
        <v>3653</v>
      </c>
      <c r="BT175" t="str">
        <f>HYPERLINK("https%3A%2F%2Fwww.webofscience.com%2Fwos%2Fwoscc%2Ffull-record%2FWOS:000339956300001","View Full Record in Web of Science")</f>
        <v>View Full Record in Web of Science</v>
      </c>
    </row>
    <row r="176" spans="1:72" x14ac:dyDescent="0.15">
      <c r="A176" t="s">
        <v>72</v>
      </c>
      <c r="B176" t="s">
        <v>3654</v>
      </c>
      <c r="C176" t="s">
        <v>74</v>
      </c>
      <c r="D176" t="s">
        <v>74</v>
      </c>
      <c r="E176" t="s">
        <v>74</v>
      </c>
      <c r="F176" t="s">
        <v>3655</v>
      </c>
      <c r="G176" t="s">
        <v>74</v>
      </c>
      <c r="H176" t="s">
        <v>74</v>
      </c>
      <c r="I176" t="s">
        <v>3656</v>
      </c>
      <c r="J176" t="s">
        <v>3657</v>
      </c>
      <c r="K176" t="s">
        <v>74</v>
      </c>
      <c r="L176" t="s">
        <v>74</v>
      </c>
      <c r="M176" t="s">
        <v>78</v>
      </c>
      <c r="N176" t="s">
        <v>213</v>
      </c>
      <c r="O176" t="s">
        <v>74</v>
      </c>
      <c r="P176" t="s">
        <v>74</v>
      </c>
      <c r="Q176" t="s">
        <v>74</v>
      </c>
      <c r="R176" t="s">
        <v>74</v>
      </c>
      <c r="S176" t="s">
        <v>74</v>
      </c>
      <c r="T176" t="s">
        <v>3658</v>
      </c>
      <c r="U176" t="s">
        <v>3659</v>
      </c>
      <c r="V176" t="s">
        <v>3660</v>
      </c>
      <c r="W176" t="s">
        <v>3661</v>
      </c>
      <c r="X176" t="s">
        <v>3662</v>
      </c>
      <c r="Y176" t="s">
        <v>3663</v>
      </c>
      <c r="Z176" t="s">
        <v>3664</v>
      </c>
      <c r="AA176" t="s">
        <v>3665</v>
      </c>
      <c r="AB176" t="s">
        <v>3666</v>
      </c>
      <c r="AC176" t="s">
        <v>3667</v>
      </c>
      <c r="AD176" t="s">
        <v>3668</v>
      </c>
      <c r="AE176" t="s">
        <v>3669</v>
      </c>
      <c r="AF176" t="s">
        <v>74</v>
      </c>
      <c r="AG176">
        <v>582</v>
      </c>
      <c r="AH176">
        <v>111</v>
      </c>
      <c r="AI176">
        <v>127</v>
      </c>
      <c r="AJ176">
        <v>2</v>
      </c>
      <c r="AK176">
        <v>111</v>
      </c>
      <c r="AL176" t="s">
        <v>872</v>
      </c>
      <c r="AM176" t="s">
        <v>252</v>
      </c>
      <c r="AN176" t="s">
        <v>873</v>
      </c>
      <c r="AO176" t="s">
        <v>3670</v>
      </c>
      <c r="AP176" t="s">
        <v>3671</v>
      </c>
      <c r="AQ176" t="s">
        <v>74</v>
      </c>
      <c r="AR176" t="s">
        <v>3672</v>
      </c>
      <c r="AS176" t="s">
        <v>3673</v>
      </c>
      <c r="AT176" t="s">
        <v>417</v>
      </c>
      <c r="AU176">
        <v>2014</v>
      </c>
      <c r="AV176">
        <v>68</v>
      </c>
      <c r="AW176" t="s">
        <v>74</v>
      </c>
      <c r="AX176" t="s">
        <v>74</v>
      </c>
      <c r="AY176" t="s">
        <v>74</v>
      </c>
      <c r="AZ176" t="s">
        <v>74</v>
      </c>
      <c r="BA176" t="s">
        <v>74</v>
      </c>
      <c r="BB176">
        <v>440</v>
      </c>
      <c r="BC176">
        <v>470</v>
      </c>
      <c r="BD176" t="s">
        <v>74</v>
      </c>
      <c r="BE176" t="s">
        <v>3674</v>
      </c>
      <c r="BF176" t="str">
        <f>HYPERLINK("http://dx.doi.org/10.1016/j.soilbio.2013.10.006","http://dx.doi.org/10.1016/j.soilbio.2013.10.006")</f>
        <v>http://dx.doi.org/10.1016/j.soilbio.2013.10.006</v>
      </c>
      <c r="BG176" t="s">
        <v>74</v>
      </c>
      <c r="BH176" t="s">
        <v>74</v>
      </c>
      <c r="BI176">
        <v>31</v>
      </c>
      <c r="BJ176" t="s">
        <v>3675</v>
      </c>
      <c r="BK176" t="s">
        <v>99</v>
      </c>
      <c r="BL176" t="s">
        <v>3676</v>
      </c>
      <c r="BM176" t="s">
        <v>3677</v>
      </c>
      <c r="BN176" t="s">
        <v>74</v>
      </c>
      <c r="BO176" t="s">
        <v>450</v>
      </c>
      <c r="BP176" t="s">
        <v>74</v>
      </c>
      <c r="BQ176" t="s">
        <v>74</v>
      </c>
      <c r="BR176" t="s">
        <v>103</v>
      </c>
      <c r="BS176" t="s">
        <v>3678</v>
      </c>
      <c r="BT176" t="str">
        <f>HYPERLINK("https%3A%2F%2Fwww.webofscience.com%2Fwos%2Fwoscc%2Ffull-record%2FWOS:000329536200051","View Full Record in Web of Science")</f>
        <v>View Full Record in Web of Science</v>
      </c>
    </row>
    <row r="177" spans="1:72" x14ac:dyDescent="0.15">
      <c r="A177" t="s">
        <v>881</v>
      </c>
      <c r="B177" t="s">
        <v>3679</v>
      </c>
      <c r="C177" t="s">
        <v>74</v>
      </c>
      <c r="D177" t="s">
        <v>3680</v>
      </c>
      <c r="E177" t="s">
        <v>74</v>
      </c>
      <c r="F177" t="s">
        <v>3681</v>
      </c>
      <c r="G177" t="s">
        <v>74</v>
      </c>
      <c r="H177" t="s">
        <v>74</v>
      </c>
      <c r="I177" t="s">
        <v>3682</v>
      </c>
      <c r="J177" t="s">
        <v>3683</v>
      </c>
      <c r="K177" t="s">
        <v>3684</v>
      </c>
      <c r="L177" t="s">
        <v>74</v>
      </c>
      <c r="M177" t="s">
        <v>78</v>
      </c>
      <c r="N177" t="s">
        <v>888</v>
      </c>
      <c r="O177" t="s">
        <v>3685</v>
      </c>
      <c r="P177" t="s">
        <v>3686</v>
      </c>
      <c r="Q177" t="s">
        <v>3687</v>
      </c>
      <c r="R177" t="s">
        <v>74</v>
      </c>
      <c r="S177" t="s">
        <v>74</v>
      </c>
      <c r="T177" t="s">
        <v>74</v>
      </c>
      <c r="U177" t="s">
        <v>3688</v>
      </c>
      <c r="V177" t="s">
        <v>3689</v>
      </c>
      <c r="W177" t="s">
        <v>3690</v>
      </c>
      <c r="X177" t="s">
        <v>3691</v>
      </c>
      <c r="Y177" t="s">
        <v>3692</v>
      </c>
      <c r="Z177" t="s">
        <v>3693</v>
      </c>
      <c r="AA177" t="s">
        <v>74</v>
      </c>
      <c r="AB177" t="s">
        <v>74</v>
      </c>
      <c r="AC177" t="s">
        <v>74</v>
      </c>
      <c r="AD177" t="s">
        <v>74</v>
      </c>
      <c r="AE177" t="s">
        <v>74</v>
      </c>
      <c r="AF177" t="s">
        <v>74</v>
      </c>
      <c r="AG177">
        <v>15</v>
      </c>
      <c r="AH177">
        <v>11</v>
      </c>
      <c r="AI177">
        <v>14</v>
      </c>
      <c r="AJ177">
        <v>0</v>
      </c>
      <c r="AK177">
        <v>14</v>
      </c>
      <c r="AL177" t="s">
        <v>1067</v>
      </c>
      <c r="AM177" t="s">
        <v>1068</v>
      </c>
      <c r="AN177" t="s">
        <v>1069</v>
      </c>
      <c r="AO177" t="s">
        <v>3694</v>
      </c>
      <c r="AP177" t="s">
        <v>74</v>
      </c>
      <c r="AQ177" t="s">
        <v>3695</v>
      </c>
      <c r="AR177" t="s">
        <v>3696</v>
      </c>
      <c r="AS177" t="s">
        <v>74</v>
      </c>
      <c r="AT177" t="s">
        <v>74</v>
      </c>
      <c r="AU177">
        <v>2014</v>
      </c>
      <c r="AV177" t="s">
        <v>74</v>
      </c>
      <c r="AW177" t="s">
        <v>74</v>
      </c>
      <c r="AX177" t="s">
        <v>74</v>
      </c>
      <c r="AY177" t="s">
        <v>74</v>
      </c>
      <c r="AZ177" t="s">
        <v>74</v>
      </c>
      <c r="BA177" t="s">
        <v>74</v>
      </c>
      <c r="BB177">
        <v>373</v>
      </c>
      <c r="BC177">
        <v>380</v>
      </c>
      <c r="BD177" t="s">
        <v>74</v>
      </c>
      <c r="BE177" t="s">
        <v>3697</v>
      </c>
      <c r="BF177" t="str">
        <f>HYPERLINK("http://dx.doi.org/10.1007/978-3-319-04084-4_37","http://dx.doi.org/10.1007/978-3-319-04084-4_37")</f>
        <v>http://dx.doi.org/10.1007/978-3-319-04084-4_37</v>
      </c>
      <c r="BG177" t="s">
        <v>74</v>
      </c>
      <c r="BH177" t="s">
        <v>74</v>
      </c>
      <c r="BI177">
        <v>8</v>
      </c>
      <c r="BJ177" t="s">
        <v>3675</v>
      </c>
      <c r="BK177" t="s">
        <v>905</v>
      </c>
      <c r="BL177" t="s">
        <v>3676</v>
      </c>
      <c r="BM177" t="s">
        <v>3698</v>
      </c>
      <c r="BN177" t="s">
        <v>74</v>
      </c>
      <c r="BO177" t="s">
        <v>74</v>
      </c>
      <c r="BP177" t="s">
        <v>74</v>
      </c>
      <c r="BQ177" t="s">
        <v>74</v>
      </c>
      <c r="BR177" t="s">
        <v>103</v>
      </c>
      <c r="BS177" t="s">
        <v>3699</v>
      </c>
      <c r="BT177" t="str">
        <f>HYPERLINK("https%3A%2F%2Fwww.webofscience.com%2Fwos%2Fwoscc%2Ffull-record%2FWOS:000337169400039","View Full Record in Web of Science")</f>
        <v>View Full Record in Web of Science</v>
      </c>
    </row>
    <row r="178" spans="1:72" x14ac:dyDescent="0.15">
      <c r="A178" t="s">
        <v>72</v>
      </c>
      <c r="B178" t="s">
        <v>3700</v>
      </c>
      <c r="C178" t="s">
        <v>74</v>
      </c>
      <c r="D178" t="s">
        <v>74</v>
      </c>
      <c r="E178" t="s">
        <v>74</v>
      </c>
      <c r="F178" t="s">
        <v>3701</v>
      </c>
      <c r="G178" t="s">
        <v>74</v>
      </c>
      <c r="H178" t="s">
        <v>74</v>
      </c>
      <c r="I178" t="s">
        <v>3702</v>
      </c>
      <c r="J178" t="s">
        <v>3703</v>
      </c>
      <c r="K178" t="s">
        <v>74</v>
      </c>
      <c r="L178" t="s">
        <v>74</v>
      </c>
      <c r="M178" t="s">
        <v>78</v>
      </c>
      <c r="N178" t="s">
        <v>79</v>
      </c>
      <c r="O178" t="s">
        <v>74</v>
      </c>
      <c r="P178" t="s">
        <v>74</v>
      </c>
      <c r="Q178" t="s">
        <v>74</v>
      </c>
      <c r="R178" t="s">
        <v>74</v>
      </c>
      <c r="S178" t="s">
        <v>74</v>
      </c>
      <c r="T178" t="s">
        <v>74</v>
      </c>
      <c r="U178" t="s">
        <v>3704</v>
      </c>
      <c r="V178" t="s">
        <v>3705</v>
      </c>
      <c r="W178" t="s">
        <v>3706</v>
      </c>
      <c r="X178" t="s">
        <v>3707</v>
      </c>
      <c r="Y178" t="s">
        <v>3708</v>
      </c>
      <c r="Z178" t="s">
        <v>3709</v>
      </c>
      <c r="AA178" t="s">
        <v>3710</v>
      </c>
      <c r="AB178" t="s">
        <v>3711</v>
      </c>
      <c r="AC178" t="s">
        <v>74</v>
      </c>
      <c r="AD178" t="s">
        <v>74</v>
      </c>
      <c r="AE178" t="s">
        <v>74</v>
      </c>
      <c r="AF178" t="s">
        <v>74</v>
      </c>
      <c r="AG178">
        <v>61</v>
      </c>
      <c r="AH178">
        <v>27</v>
      </c>
      <c r="AI178">
        <v>29</v>
      </c>
      <c r="AJ178">
        <v>1</v>
      </c>
      <c r="AK178">
        <v>21</v>
      </c>
      <c r="AL178" t="s">
        <v>91</v>
      </c>
      <c r="AM178" t="s">
        <v>92</v>
      </c>
      <c r="AN178" t="s">
        <v>93</v>
      </c>
      <c r="AO178" t="s">
        <v>3712</v>
      </c>
      <c r="AP178" t="s">
        <v>3713</v>
      </c>
      <c r="AQ178" t="s">
        <v>74</v>
      </c>
      <c r="AR178" t="s">
        <v>3703</v>
      </c>
      <c r="AS178" t="s">
        <v>3714</v>
      </c>
      <c r="AT178" t="s">
        <v>74</v>
      </c>
      <c r="AU178">
        <v>2014</v>
      </c>
      <c r="AV178">
        <v>5</v>
      </c>
      <c r="AW178">
        <v>1</v>
      </c>
      <c r="AX178" t="s">
        <v>74</v>
      </c>
      <c r="AY178" t="s">
        <v>74</v>
      </c>
      <c r="AZ178" t="s">
        <v>74</v>
      </c>
      <c r="BA178" t="s">
        <v>74</v>
      </c>
      <c r="BB178">
        <v>569</v>
      </c>
      <c r="BC178">
        <v>584</v>
      </c>
      <c r="BD178" t="s">
        <v>74</v>
      </c>
      <c r="BE178" t="s">
        <v>3715</v>
      </c>
      <c r="BF178" t="str">
        <f>HYPERLINK("http://dx.doi.org/10.5194/se-5-569-2014","http://dx.doi.org/10.5194/se-5-569-2014")</f>
        <v>http://dx.doi.org/10.5194/se-5-569-2014</v>
      </c>
      <c r="BG178" t="s">
        <v>74</v>
      </c>
      <c r="BH178" t="s">
        <v>74</v>
      </c>
      <c r="BI178">
        <v>16</v>
      </c>
      <c r="BJ178" t="s">
        <v>313</v>
      </c>
      <c r="BK178" t="s">
        <v>99</v>
      </c>
      <c r="BL178" t="s">
        <v>313</v>
      </c>
      <c r="BM178" t="s">
        <v>3716</v>
      </c>
      <c r="BN178" t="s">
        <v>74</v>
      </c>
      <c r="BO178" t="s">
        <v>207</v>
      </c>
      <c r="BP178" t="s">
        <v>74</v>
      </c>
      <c r="BQ178" t="s">
        <v>74</v>
      </c>
      <c r="BR178" t="s">
        <v>103</v>
      </c>
      <c r="BS178" t="s">
        <v>3717</v>
      </c>
      <c r="BT178" t="str">
        <f>HYPERLINK("https%3A%2F%2Fwww.webofscience.com%2Fwos%2Fwoscc%2Ffull-record%2FWOS:000338654700005","View Full Record in Web of Science")</f>
        <v>View Full Record in Web of Science</v>
      </c>
    </row>
    <row r="179" spans="1:72" x14ac:dyDescent="0.15">
      <c r="A179" t="s">
        <v>72</v>
      </c>
      <c r="B179" t="s">
        <v>3718</v>
      </c>
      <c r="C179" t="s">
        <v>74</v>
      </c>
      <c r="D179" t="s">
        <v>74</v>
      </c>
      <c r="E179" t="s">
        <v>74</v>
      </c>
      <c r="F179" t="s">
        <v>3719</v>
      </c>
      <c r="G179" t="s">
        <v>74</v>
      </c>
      <c r="H179" t="s">
        <v>74</v>
      </c>
      <c r="I179" t="s">
        <v>3720</v>
      </c>
      <c r="J179" t="s">
        <v>3703</v>
      </c>
      <c r="K179" t="s">
        <v>74</v>
      </c>
      <c r="L179" t="s">
        <v>74</v>
      </c>
      <c r="M179" t="s">
        <v>78</v>
      </c>
      <c r="N179" t="s">
        <v>79</v>
      </c>
      <c r="O179" t="s">
        <v>74</v>
      </c>
      <c r="P179" t="s">
        <v>74</v>
      </c>
      <c r="Q179" t="s">
        <v>74</v>
      </c>
      <c r="R179" t="s">
        <v>74</v>
      </c>
      <c r="S179" t="s">
        <v>74</v>
      </c>
      <c r="T179" t="s">
        <v>74</v>
      </c>
      <c r="U179" t="s">
        <v>3721</v>
      </c>
      <c r="V179" t="s">
        <v>3722</v>
      </c>
      <c r="W179" t="s">
        <v>3723</v>
      </c>
      <c r="X179" t="s">
        <v>3724</v>
      </c>
      <c r="Y179" t="s">
        <v>3725</v>
      </c>
      <c r="Z179" t="s">
        <v>3726</v>
      </c>
      <c r="AA179" t="s">
        <v>3727</v>
      </c>
      <c r="AB179" t="s">
        <v>3728</v>
      </c>
      <c r="AC179" t="s">
        <v>3729</v>
      </c>
      <c r="AD179" t="s">
        <v>3730</v>
      </c>
      <c r="AE179" t="s">
        <v>3731</v>
      </c>
      <c r="AF179" t="s">
        <v>74</v>
      </c>
      <c r="AG179">
        <v>30</v>
      </c>
      <c r="AH179">
        <v>23</v>
      </c>
      <c r="AI179">
        <v>24</v>
      </c>
      <c r="AJ179">
        <v>0</v>
      </c>
      <c r="AK179">
        <v>12</v>
      </c>
      <c r="AL179" t="s">
        <v>91</v>
      </c>
      <c r="AM179" t="s">
        <v>92</v>
      </c>
      <c r="AN179" t="s">
        <v>93</v>
      </c>
      <c r="AO179" t="s">
        <v>3712</v>
      </c>
      <c r="AP179" t="s">
        <v>3713</v>
      </c>
      <c r="AQ179" t="s">
        <v>74</v>
      </c>
      <c r="AR179" t="s">
        <v>3703</v>
      </c>
      <c r="AS179" t="s">
        <v>3714</v>
      </c>
      <c r="AT179" t="s">
        <v>74</v>
      </c>
      <c r="AU179">
        <v>2014</v>
      </c>
      <c r="AV179">
        <v>5</v>
      </c>
      <c r="AW179">
        <v>2</v>
      </c>
      <c r="AX179" t="s">
        <v>74</v>
      </c>
      <c r="AY179" t="s">
        <v>74</v>
      </c>
      <c r="AZ179" t="s">
        <v>74</v>
      </c>
      <c r="BA179" t="s">
        <v>74</v>
      </c>
      <c r="BB179">
        <v>1361</v>
      </c>
      <c r="BC179">
        <v>1374</v>
      </c>
      <c r="BD179" t="s">
        <v>74</v>
      </c>
      <c r="BE179" t="s">
        <v>3732</v>
      </c>
      <c r="BF179" t="str">
        <f>HYPERLINK("http://dx.doi.org/10.5194/se-5-1361-2014","http://dx.doi.org/10.5194/se-5-1361-2014")</f>
        <v>http://dx.doi.org/10.5194/se-5-1361-2014</v>
      </c>
      <c r="BG179" t="s">
        <v>74</v>
      </c>
      <c r="BH179" t="s">
        <v>74</v>
      </c>
      <c r="BI179">
        <v>14</v>
      </c>
      <c r="BJ179" t="s">
        <v>313</v>
      </c>
      <c r="BK179" t="s">
        <v>99</v>
      </c>
      <c r="BL179" t="s">
        <v>313</v>
      </c>
      <c r="BM179" t="s">
        <v>3733</v>
      </c>
      <c r="BN179" t="s">
        <v>74</v>
      </c>
      <c r="BO179" t="s">
        <v>616</v>
      </c>
      <c r="BP179" t="s">
        <v>74</v>
      </c>
      <c r="BQ179" t="s">
        <v>74</v>
      </c>
      <c r="BR179" t="s">
        <v>103</v>
      </c>
      <c r="BS179" t="s">
        <v>3734</v>
      </c>
      <c r="BT179" t="str">
        <f>HYPERLINK("https%3A%2F%2Fwww.webofscience.com%2Fwos%2Fwoscc%2Ffull-record%2FWOS:000347545800055","View Full Record in Web of Science")</f>
        <v>View Full Record in Web of Science</v>
      </c>
    </row>
    <row r="180" spans="1:72" x14ac:dyDescent="0.15">
      <c r="A180" t="s">
        <v>72</v>
      </c>
      <c r="B180" t="s">
        <v>3735</v>
      </c>
      <c r="C180" t="s">
        <v>74</v>
      </c>
      <c r="D180" t="s">
        <v>74</v>
      </c>
      <c r="E180" t="s">
        <v>74</v>
      </c>
      <c r="F180" t="s">
        <v>3736</v>
      </c>
      <c r="G180" t="s">
        <v>74</v>
      </c>
      <c r="H180" t="s">
        <v>74</v>
      </c>
      <c r="I180" t="s">
        <v>3737</v>
      </c>
      <c r="J180" t="s">
        <v>3738</v>
      </c>
      <c r="K180" t="s">
        <v>74</v>
      </c>
      <c r="L180" t="s">
        <v>74</v>
      </c>
      <c r="M180" t="s">
        <v>78</v>
      </c>
      <c r="N180" t="s">
        <v>79</v>
      </c>
      <c r="O180" t="s">
        <v>74</v>
      </c>
      <c r="P180" t="s">
        <v>74</v>
      </c>
      <c r="Q180" t="s">
        <v>74</v>
      </c>
      <c r="R180" t="s">
        <v>74</v>
      </c>
      <c r="S180" t="s">
        <v>74</v>
      </c>
      <c r="T180" t="s">
        <v>3739</v>
      </c>
      <c r="U180" t="s">
        <v>3740</v>
      </c>
      <c r="V180" t="s">
        <v>74</v>
      </c>
      <c r="W180" t="s">
        <v>3741</v>
      </c>
      <c r="X180" t="s">
        <v>3742</v>
      </c>
      <c r="Y180" t="s">
        <v>3743</v>
      </c>
      <c r="Z180" t="s">
        <v>3744</v>
      </c>
      <c r="AA180" t="s">
        <v>3745</v>
      </c>
      <c r="AB180" t="s">
        <v>3746</v>
      </c>
      <c r="AC180" t="s">
        <v>3747</v>
      </c>
      <c r="AD180" t="s">
        <v>3748</v>
      </c>
      <c r="AE180" t="s">
        <v>3749</v>
      </c>
      <c r="AF180" t="s">
        <v>74</v>
      </c>
      <c r="AG180">
        <v>30</v>
      </c>
      <c r="AH180">
        <v>12</v>
      </c>
      <c r="AI180">
        <v>12</v>
      </c>
      <c r="AJ180">
        <v>2</v>
      </c>
      <c r="AK180">
        <v>12</v>
      </c>
      <c r="AL180" t="s">
        <v>3750</v>
      </c>
      <c r="AM180" t="s">
        <v>3751</v>
      </c>
      <c r="AN180" t="s">
        <v>3752</v>
      </c>
      <c r="AO180" t="s">
        <v>3753</v>
      </c>
      <c r="AP180" t="s">
        <v>3754</v>
      </c>
      <c r="AQ180" t="s">
        <v>74</v>
      </c>
      <c r="AR180" t="s">
        <v>3755</v>
      </c>
      <c r="AS180" t="s">
        <v>3756</v>
      </c>
      <c r="AT180" t="s">
        <v>812</v>
      </c>
      <c r="AU180">
        <v>2014</v>
      </c>
      <c r="AV180">
        <v>110</v>
      </c>
      <c r="AW180" t="s">
        <v>953</v>
      </c>
      <c r="AX180" t="s">
        <v>74</v>
      </c>
      <c r="AY180" t="s">
        <v>74</v>
      </c>
      <c r="AZ180" t="s">
        <v>74</v>
      </c>
      <c r="BA180" t="s">
        <v>74</v>
      </c>
      <c r="BB180">
        <v>3</v>
      </c>
      <c r="BC180">
        <v>6</v>
      </c>
      <c r="BD180" t="s">
        <v>3757</v>
      </c>
      <c r="BE180" t="s">
        <v>3758</v>
      </c>
      <c r="BF180" t="str">
        <f>HYPERLINK("http://dx.doi.org/10.1590/sajs.2014/a0044","http://dx.doi.org/10.1590/sajs.2014/a0044")</f>
        <v>http://dx.doi.org/10.1590/sajs.2014/a0044</v>
      </c>
      <c r="BG180" t="s">
        <v>74</v>
      </c>
      <c r="BH180" t="s">
        <v>74</v>
      </c>
      <c r="BI180">
        <v>4</v>
      </c>
      <c r="BJ180" t="s">
        <v>2652</v>
      </c>
      <c r="BK180" t="s">
        <v>99</v>
      </c>
      <c r="BL180" t="s">
        <v>2653</v>
      </c>
      <c r="BM180" t="s">
        <v>3759</v>
      </c>
      <c r="BN180" t="s">
        <v>74</v>
      </c>
      <c r="BO180" t="s">
        <v>3760</v>
      </c>
      <c r="BP180" t="s">
        <v>74</v>
      </c>
      <c r="BQ180" t="s">
        <v>74</v>
      </c>
      <c r="BR180" t="s">
        <v>103</v>
      </c>
      <c r="BS180" t="s">
        <v>3761</v>
      </c>
      <c r="BT180" t="str">
        <f>HYPERLINK("https%3A%2F%2Fwww.webofscience.com%2Fwos%2Fwoscc%2Ffull-record%2FWOS:000331069000002","View Full Record in Web of Science")</f>
        <v>View Full Record in Web of Science</v>
      </c>
    </row>
    <row r="181" spans="1:72" x14ac:dyDescent="0.15">
      <c r="A181" t="s">
        <v>72</v>
      </c>
      <c r="B181" t="s">
        <v>3762</v>
      </c>
      <c r="C181" t="s">
        <v>74</v>
      </c>
      <c r="D181" t="s">
        <v>74</v>
      </c>
      <c r="E181" t="s">
        <v>74</v>
      </c>
      <c r="F181" t="s">
        <v>3763</v>
      </c>
      <c r="G181" t="s">
        <v>74</v>
      </c>
      <c r="H181" t="s">
        <v>74</v>
      </c>
      <c r="I181" t="s">
        <v>3764</v>
      </c>
      <c r="J181" t="s">
        <v>3765</v>
      </c>
      <c r="K181" t="s">
        <v>74</v>
      </c>
      <c r="L181" t="s">
        <v>74</v>
      </c>
      <c r="M181" t="s">
        <v>78</v>
      </c>
      <c r="N181" t="s">
        <v>79</v>
      </c>
      <c r="O181" t="s">
        <v>74</v>
      </c>
      <c r="P181" t="s">
        <v>74</v>
      </c>
      <c r="Q181" t="s">
        <v>74</v>
      </c>
      <c r="R181" t="s">
        <v>74</v>
      </c>
      <c r="S181" t="s">
        <v>74</v>
      </c>
      <c r="T181" t="s">
        <v>3766</v>
      </c>
      <c r="U181" t="s">
        <v>3767</v>
      </c>
      <c r="V181" t="s">
        <v>3768</v>
      </c>
      <c r="W181" t="s">
        <v>3769</v>
      </c>
      <c r="X181" t="s">
        <v>3770</v>
      </c>
      <c r="Y181" t="s">
        <v>3771</v>
      </c>
      <c r="Z181" t="s">
        <v>3772</v>
      </c>
      <c r="AA181" t="s">
        <v>74</v>
      </c>
      <c r="AB181" t="s">
        <v>3773</v>
      </c>
      <c r="AC181" t="s">
        <v>3774</v>
      </c>
      <c r="AD181" t="s">
        <v>3775</v>
      </c>
      <c r="AE181" t="s">
        <v>3776</v>
      </c>
      <c r="AF181" t="s">
        <v>74</v>
      </c>
      <c r="AG181">
        <v>46</v>
      </c>
      <c r="AH181">
        <v>58</v>
      </c>
      <c r="AI181">
        <v>60</v>
      </c>
      <c r="AJ181">
        <v>0</v>
      </c>
      <c r="AK181">
        <v>9</v>
      </c>
      <c r="AL181" t="s">
        <v>1606</v>
      </c>
      <c r="AM181" t="s">
        <v>808</v>
      </c>
      <c r="AN181" t="s">
        <v>1607</v>
      </c>
      <c r="AO181" t="s">
        <v>3777</v>
      </c>
      <c r="AP181" t="s">
        <v>74</v>
      </c>
      <c r="AQ181" t="s">
        <v>74</v>
      </c>
      <c r="AR181" t="s">
        <v>3778</v>
      </c>
      <c r="AS181" t="s">
        <v>3779</v>
      </c>
      <c r="AT181" t="s">
        <v>417</v>
      </c>
      <c r="AU181">
        <v>2014</v>
      </c>
      <c r="AV181">
        <v>12</v>
      </c>
      <c r="AW181">
        <v>1</v>
      </c>
      <c r="AX181" t="s">
        <v>74</v>
      </c>
      <c r="AY181" t="s">
        <v>74</v>
      </c>
      <c r="AZ181" t="s">
        <v>74</v>
      </c>
      <c r="BA181" t="s">
        <v>74</v>
      </c>
      <c r="BB181">
        <v>76</v>
      </c>
      <c r="BC181">
        <v>91</v>
      </c>
      <c r="BD181" t="s">
        <v>74</v>
      </c>
      <c r="BE181" t="s">
        <v>3780</v>
      </c>
      <c r="BF181" t="str">
        <f>HYPERLINK("http://dx.doi.org/10.1002/2013SW000967","http://dx.doi.org/10.1002/2013SW000967")</f>
        <v>http://dx.doi.org/10.1002/2013SW000967</v>
      </c>
      <c r="BG181" t="s">
        <v>74</v>
      </c>
      <c r="BH181" t="s">
        <v>74</v>
      </c>
      <c r="BI181">
        <v>16</v>
      </c>
      <c r="BJ181" t="s">
        <v>3781</v>
      </c>
      <c r="BK181" t="s">
        <v>99</v>
      </c>
      <c r="BL181" t="s">
        <v>3781</v>
      </c>
      <c r="BM181" t="s">
        <v>3782</v>
      </c>
      <c r="BN181" t="s">
        <v>74</v>
      </c>
      <c r="BO181" t="s">
        <v>475</v>
      </c>
      <c r="BP181" t="s">
        <v>74</v>
      </c>
      <c r="BQ181" t="s">
        <v>74</v>
      </c>
      <c r="BR181" t="s">
        <v>103</v>
      </c>
      <c r="BS181" t="s">
        <v>3783</v>
      </c>
      <c r="BT181" t="str">
        <f>HYPERLINK("https%3A%2F%2Fwww.webofscience.com%2Fwos%2Fwoscc%2Ffull-record%2FWOS:000331551300008","View Full Record in Web of Science")</f>
        <v>View Full Record in Web of Science</v>
      </c>
    </row>
    <row r="182" spans="1:72" x14ac:dyDescent="0.15">
      <c r="A182" t="s">
        <v>72</v>
      </c>
      <c r="B182" t="s">
        <v>3784</v>
      </c>
      <c r="C182" t="s">
        <v>74</v>
      </c>
      <c r="D182" t="s">
        <v>74</v>
      </c>
      <c r="E182" t="s">
        <v>74</v>
      </c>
      <c r="F182" t="s">
        <v>3785</v>
      </c>
      <c r="G182" t="s">
        <v>74</v>
      </c>
      <c r="H182" t="s">
        <v>74</v>
      </c>
      <c r="I182" t="s">
        <v>3786</v>
      </c>
      <c r="J182" t="s">
        <v>3787</v>
      </c>
      <c r="K182" t="s">
        <v>74</v>
      </c>
      <c r="L182" t="s">
        <v>74</v>
      </c>
      <c r="M182" t="s">
        <v>78</v>
      </c>
      <c r="N182" t="s">
        <v>79</v>
      </c>
      <c r="O182" t="s">
        <v>74</v>
      </c>
      <c r="P182" t="s">
        <v>74</v>
      </c>
      <c r="Q182" t="s">
        <v>74</v>
      </c>
      <c r="R182" t="s">
        <v>74</v>
      </c>
      <c r="S182" t="s">
        <v>74</v>
      </c>
      <c r="T182" t="s">
        <v>3788</v>
      </c>
      <c r="U182" t="s">
        <v>3789</v>
      </c>
      <c r="V182" t="s">
        <v>3790</v>
      </c>
      <c r="W182" t="s">
        <v>3791</v>
      </c>
      <c r="X182" t="s">
        <v>3792</v>
      </c>
      <c r="Y182" t="s">
        <v>3793</v>
      </c>
      <c r="Z182" t="s">
        <v>3794</v>
      </c>
      <c r="AA182" t="s">
        <v>3795</v>
      </c>
      <c r="AB182" t="s">
        <v>3796</v>
      </c>
      <c r="AC182" t="s">
        <v>3797</v>
      </c>
      <c r="AD182" t="s">
        <v>3798</v>
      </c>
      <c r="AE182" t="s">
        <v>3799</v>
      </c>
      <c r="AF182" t="s">
        <v>74</v>
      </c>
      <c r="AG182">
        <v>58</v>
      </c>
      <c r="AH182">
        <v>18</v>
      </c>
      <c r="AI182">
        <v>18</v>
      </c>
      <c r="AJ182">
        <v>1</v>
      </c>
      <c r="AK182">
        <v>28</v>
      </c>
      <c r="AL182" t="s">
        <v>276</v>
      </c>
      <c r="AM182" t="s">
        <v>277</v>
      </c>
      <c r="AN182" t="s">
        <v>2752</v>
      </c>
      <c r="AO182" t="s">
        <v>3800</v>
      </c>
      <c r="AP182" t="s">
        <v>74</v>
      </c>
      <c r="AQ182" t="s">
        <v>74</v>
      </c>
      <c r="AR182" t="s">
        <v>3801</v>
      </c>
      <c r="AS182" t="s">
        <v>3802</v>
      </c>
      <c r="AT182" t="s">
        <v>74</v>
      </c>
      <c r="AU182">
        <v>2014</v>
      </c>
      <c r="AV182">
        <v>66</v>
      </c>
      <c r="AW182" t="s">
        <v>74</v>
      </c>
      <c r="AX182" t="s">
        <v>74</v>
      </c>
      <c r="AY182" t="s">
        <v>74</v>
      </c>
      <c r="AZ182" t="s">
        <v>74</v>
      </c>
      <c r="BA182" t="s">
        <v>74</v>
      </c>
      <c r="BB182" t="s">
        <v>74</v>
      </c>
      <c r="BC182" t="s">
        <v>74</v>
      </c>
      <c r="BD182">
        <v>22550</v>
      </c>
      <c r="BE182" t="s">
        <v>3803</v>
      </c>
      <c r="BF182" t="str">
        <f>HYPERLINK("http://dx.doi.org/10.3402/tellusb.v66.22550","http://dx.doi.org/10.3402/tellusb.v66.22550")</f>
        <v>http://dx.doi.org/10.3402/tellusb.v66.22550</v>
      </c>
      <c r="BG182" t="s">
        <v>74</v>
      </c>
      <c r="BH182" t="s">
        <v>74</v>
      </c>
      <c r="BI182">
        <v>19</v>
      </c>
      <c r="BJ182" t="s">
        <v>1503</v>
      </c>
      <c r="BK182" t="s">
        <v>99</v>
      </c>
      <c r="BL182" t="s">
        <v>1503</v>
      </c>
      <c r="BM182" t="s">
        <v>3804</v>
      </c>
      <c r="BN182" t="s">
        <v>74</v>
      </c>
      <c r="BO182" t="s">
        <v>616</v>
      </c>
      <c r="BP182" t="s">
        <v>74</v>
      </c>
      <c r="BQ182" t="s">
        <v>74</v>
      </c>
      <c r="BR182" t="s">
        <v>103</v>
      </c>
      <c r="BS182" t="s">
        <v>3805</v>
      </c>
      <c r="BT182" t="str">
        <f>HYPERLINK("https%3A%2F%2Fwww.webofscience.com%2Fwos%2Fwoscc%2Ffull-record%2FWOS:000338434000001","View Full Record in Web of Science")</f>
        <v>View Full Record in Web of Science</v>
      </c>
    </row>
    <row r="183" spans="1:72" x14ac:dyDescent="0.15">
      <c r="A183" t="s">
        <v>72</v>
      </c>
      <c r="B183" t="s">
        <v>3806</v>
      </c>
      <c r="C183" t="s">
        <v>74</v>
      </c>
      <c r="D183" t="s">
        <v>74</v>
      </c>
      <c r="E183" t="s">
        <v>74</v>
      </c>
      <c r="F183" t="s">
        <v>3807</v>
      </c>
      <c r="G183" t="s">
        <v>74</v>
      </c>
      <c r="H183" t="s">
        <v>74</v>
      </c>
      <c r="I183" t="s">
        <v>3808</v>
      </c>
      <c r="J183" t="s">
        <v>3809</v>
      </c>
      <c r="K183" t="s">
        <v>74</v>
      </c>
      <c r="L183" t="s">
        <v>74</v>
      </c>
      <c r="M183" t="s">
        <v>78</v>
      </c>
      <c r="N183" t="s">
        <v>79</v>
      </c>
      <c r="O183" t="s">
        <v>74</v>
      </c>
      <c r="P183" t="s">
        <v>74</v>
      </c>
      <c r="Q183" t="s">
        <v>74</v>
      </c>
      <c r="R183" t="s">
        <v>74</v>
      </c>
      <c r="S183" t="s">
        <v>74</v>
      </c>
      <c r="T183" t="s">
        <v>3810</v>
      </c>
      <c r="U183" t="s">
        <v>3811</v>
      </c>
      <c r="V183" t="s">
        <v>3812</v>
      </c>
      <c r="W183" t="s">
        <v>3813</v>
      </c>
      <c r="X183" t="s">
        <v>74</v>
      </c>
      <c r="Y183" t="s">
        <v>3814</v>
      </c>
      <c r="Z183" t="s">
        <v>3815</v>
      </c>
      <c r="AA183" t="s">
        <v>74</v>
      </c>
      <c r="AB183" t="s">
        <v>74</v>
      </c>
      <c r="AC183" t="s">
        <v>3816</v>
      </c>
      <c r="AD183" t="s">
        <v>3817</v>
      </c>
      <c r="AE183" t="s">
        <v>3818</v>
      </c>
      <c r="AF183" t="s">
        <v>74</v>
      </c>
      <c r="AG183">
        <v>30</v>
      </c>
      <c r="AH183">
        <v>14</v>
      </c>
      <c r="AI183">
        <v>14</v>
      </c>
      <c r="AJ183">
        <v>1</v>
      </c>
      <c r="AK183">
        <v>2</v>
      </c>
      <c r="AL183" t="s">
        <v>304</v>
      </c>
      <c r="AM183" t="s">
        <v>305</v>
      </c>
      <c r="AN183" t="s">
        <v>306</v>
      </c>
      <c r="AO183" t="s">
        <v>74</v>
      </c>
      <c r="AP183" t="s">
        <v>3819</v>
      </c>
      <c r="AQ183" t="s">
        <v>74</v>
      </c>
      <c r="AR183" t="s">
        <v>3820</v>
      </c>
      <c r="AS183" t="s">
        <v>3821</v>
      </c>
      <c r="AT183" t="s">
        <v>74</v>
      </c>
      <c r="AU183">
        <v>2014</v>
      </c>
      <c r="AV183">
        <v>1</v>
      </c>
      <c r="AW183" t="s">
        <v>74</v>
      </c>
      <c r="AX183" t="s">
        <v>74</v>
      </c>
      <c r="AY183" t="s">
        <v>74</v>
      </c>
      <c r="AZ183" t="s">
        <v>74</v>
      </c>
      <c r="BA183" t="s">
        <v>74</v>
      </c>
      <c r="BB183">
        <v>764</v>
      </c>
      <c r="BC183">
        <v>776</v>
      </c>
      <c r="BD183" t="s">
        <v>74</v>
      </c>
      <c r="BE183" t="s">
        <v>3822</v>
      </c>
      <c r="BF183" t="str">
        <f>HYPERLINK("http://dx.doi.org/10.1016/j.toxrep.2014.07.007","http://dx.doi.org/10.1016/j.toxrep.2014.07.007")</f>
        <v>http://dx.doi.org/10.1016/j.toxrep.2014.07.007</v>
      </c>
      <c r="BG183" t="s">
        <v>74</v>
      </c>
      <c r="BH183" t="s">
        <v>74</v>
      </c>
      <c r="BI183">
        <v>13</v>
      </c>
      <c r="BJ183" t="s">
        <v>3823</v>
      </c>
      <c r="BK183" t="s">
        <v>494</v>
      </c>
      <c r="BL183" t="s">
        <v>3823</v>
      </c>
      <c r="BM183" t="s">
        <v>3824</v>
      </c>
      <c r="BN183">
        <v>28962289</v>
      </c>
      <c r="BO183" t="s">
        <v>616</v>
      </c>
      <c r="BP183" t="s">
        <v>74</v>
      </c>
      <c r="BQ183" t="s">
        <v>74</v>
      </c>
      <c r="BR183" t="s">
        <v>103</v>
      </c>
      <c r="BS183" t="s">
        <v>3825</v>
      </c>
      <c r="BT183" t="str">
        <f>HYPERLINK("https%3A%2F%2Fwww.webofscience.com%2Fwos%2Fwoscc%2Ffull-record%2FWOS:000218487800079","View Full Record in Web of Science")</f>
        <v>View Full Record in Web of Science</v>
      </c>
    </row>
    <row r="184" spans="1:72" x14ac:dyDescent="0.15">
      <c r="A184" t="s">
        <v>238</v>
      </c>
      <c r="B184" t="s">
        <v>3826</v>
      </c>
      <c r="C184" t="s">
        <v>74</v>
      </c>
      <c r="D184" t="s">
        <v>3827</v>
      </c>
      <c r="E184" t="s">
        <v>74</v>
      </c>
      <c r="F184" t="s">
        <v>3828</v>
      </c>
      <c r="G184" t="s">
        <v>74</v>
      </c>
      <c r="H184" t="s">
        <v>74</v>
      </c>
      <c r="I184" t="s">
        <v>3829</v>
      </c>
      <c r="J184" t="s">
        <v>3830</v>
      </c>
      <c r="K184" t="s">
        <v>74</v>
      </c>
      <c r="L184" t="s">
        <v>74</v>
      </c>
      <c r="M184" t="s">
        <v>78</v>
      </c>
      <c r="N184" t="s">
        <v>244</v>
      </c>
      <c r="O184" t="s">
        <v>74</v>
      </c>
      <c r="P184" t="s">
        <v>74</v>
      </c>
      <c r="Q184" t="s">
        <v>74</v>
      </c>
      <c r="R184" t="s">
        <v>74</v>
      </c>
      <c r="S184" t="s">
        <v>74</v>
      </c>
      <c r="T184" t="s">
        <v>74</v>
      </c>
      <c r="U184" t="s">
        <v>3831</v>
      </c>
      <c r="V184" t="s">
        <v>74</v>
      </c>
      <c r="W184" t="s">
        <v>3832</v>
      </c>
      <c r="X184" t="s">
        <v>2317</v>
      </c>
      <c r="Y184" t="s">
        <v>3833</v>
      </c>
      <c r="Z184" t="s">
        <v>3834</v>
      </c>
      <c r="AA184" t="s">
        <v>3835</v>
      </c>
      <c r="AB184" t="s">
        <v>3836</v>
      </c>
      <c r="AC184" t="s">
        <v>74</v>
      </c>
      <c r="AD184" t="s">
        <v>74</v>
      </c>
      <c r="AE184" t="s">
        <v>74</v>
      </c>
      <c r="AF184" t="s">
        <v>74</v>
      </c>
      <c r="AG184">
        <v>47</v>
      </c>
      <c r="AH184">
        <v>13</v>
      </c>
      <c r="AI184">
        <v>18</v>
      </c>
      <c r="AJ184">
        <v>0</v>
      </c>
      <c r="AK184">
        <v>5</v>
      </c>
      <c r="AL184" t="s">
        <v>3030</v>
      </c>
      <c r="AM184" t="s">
        <v>3031</v>
      </c>
      <c r="AN184" t="s">
        <v>3032</v>
      </c>
      <c r="AO184" t="s">
        <v>74</v>
      </c>
      <c r="AP184" t="s">
        <v>74</v>
      </c>
      <c r="AQ184" t="s">
        <v>3837</v>
      </c>
      <c r="AR184" t="s">
        <v>74</v>
      </c>
      <c r="AS184" t="s">
        <v>74</v>
      </c>
      <c r="AT184" t="s">
        <v>74</v>
      </c>
      <c r="AU184">
        <v>2014</v>
      </c>
      <c r="AV184" t="s">
        <v>74</v>
      </c>
      <c r="AW184" t="s">
        <v>74</v>
      </c>
      <c r="AX184" t="s">
        <v>74</v>
      </c>
      <c r="AY184" t="s">
        <v>74</v>
      </c>
      <c r="AZ184" t="s">
        <v>74</v>
      </c>
      <c r="BA184" t="s">
        <v>74</v>
      </c>
      <c r="BB184">
        <v>3</v>
      </c>
      <c r="BC184">
        <v>20</v>
      </c>
      <c r="BD184" t="s">
        <v>74</v>
      </c>
      <c r="BE184" t="s">
        <v>74</v>
      </c>
      <c r="BF184" t="s">
        <v>74</v>
      </c>
      <c r="BG184" t="s">
        <v>74</v>
      </c>
      <c r="BH184" t="s">
        <v>74</v>
      </c>
      <c r="BI184">
        <v>18</v>
      </c>
      <c r="BJ184" t="s">
        <v>3838</v>
      </c>
      <c r="BK184" t="s">
        <v>632</v>
      </c>
      <c r="BL184" t="s">
        <v>3838</v>
      </c>
      <c r="BM184" t="s">
        <v>3839</v>
      </c>
      <c r="BN184" t="s">
        <v>74</v>
      </c>
      <c r="BO184" t="s">
        <v>74</v>
      </c>
      <c r="BP184" t="s">
        <v>74</v>
      </c>
      <c r="BQ184" t="s">
        <v>74</v>
      </c>
      <c r="BR184" t="s">
        <v>103</v>
      </c>
      <c r="BS184" t="s">
        <v>3840</v>
      </c>
      <c r="BT184" t="str">
        <f>HYPERLINK("https%3A%2F%2Fwww.webofscience.com%2Fwos%2Fwoscc%2Ffull-record%2FWOS:000384234600002","View Full Record in Web of Science")</f>
        <v>View Full Record in Web of Science</v>
      </c>
    </row>
    <row r="185" spans="1:72" x14ac:dyDescent="0.15">
      <c r="A185" t="s">
        <v>72</v>
      </c>
      <c r="B185" t="s">
        <v>3841</v>
      </c>
      <c r="C185" t="s">
        <v>74</v>
      </c>
      <c r="D185" t="s">
        <v>74</v>
      </c>
      <c r="E185" t="s">
        <v>74</v>
      </c>
      <c r="F185" t="s">
        <v>3842</v>
      </c>
      <c r="G185" t="s">
        <v>74</v>
      </c>
      <c r="H185" t="s">
        <v>74</v>
      </c>
      <c r="I185" t="s">
        <v>3843</v>
      </c>
      <c r="J185" t="s">
        <v>3844</v>
      </c>
      <c r="K185" t="s">
        <v>74</v>
      </c>
      <c r="L185" t="s">
        <v>74</v>
      </c>
      <c r="M185" t="s">
        <v>78</v>
      </c>
      <c r="N185" t="s">
        <v>213</v>
      </c>
      <c r="O185" t="s">
        <v>74</v>
      </c>
      <c r="P185" t="s">
        <v>74</v>
      </c>
      <c r="Q185" t="s">
        <v>74</v>
      </c>
      <c r="R185" t="s">
        <v>74</v>
      </c>
      <c r="S185" t="s">
        <v>74</v>
      </c>
      <c r="T185" t="s">
        <v>3845</v>
      </c>
      <c r="U185" t="s">
        <v>3846</v>
      </c>
      <c r="V185" t="s">
        <v>3847</v>
      </c>
      <c r="W185" t="s">
        <v>3848</v>
      </c>
      <c r="X185" t="s">
        <v>3849</v>
      </c>
      <c r="Y185" t="s">
        <v>3850</v>
      </c>
      <c r="Z185" t="s">
        <v>3851</v>
      </c>
      <c r="AA185" t="s">
        <v>3852</v>
      </c>
      <c r="AB185" t="s">
        <v>3853</v>
      </c>
      <c r="AC185" t="s">
        <v>3854</v>
      </c>
      <c r="AD185" t="s">
        <v>3855</v>
      </c>
      <c r="AE185" t="s">
        <v>3856</v>
      </c>
      <c r="AF185" t="s">
        <v>74</v>
      </c>
      <c r="AG185">
        <v>83</v>
      </c>
      <c r="AH185">
        <v>86</v>
      </c>
      <c r="AI185">
        <v>100</v>
      </c>
      <c r="AJ185">
        <v>0</v>
      </c>
      <c r="AK185">
        <v>237</v>
      </c>
      <c r="AL185" t="s">
        <v>3857</v>
      </c>
      <c r="AM185" t="s">
        <v>849</v>
      </c>
      <c r="AN185" t="s">
        <v>3858</v>
      </c>
      <c r="AO185" t="s">
        <v>3859</v>
      </c>
      <c r="AP185" t="s">
        <v>3860</v>
      </c>
      <c r="AQ185" t="s">
        <v>74</v>
      </c>
      <c r="AR185" t="s">
        <v>3861</v>
      </c>
      <c r="AS185" t="s">
        <v>3862</v>
      </c>
      <c r="AT185" t="s">
        <v>417</v>
      </c>
      <c r="AU185">
        <v>2014</v>
      </c>
      <c r="AV185">
        <v>29</v>
      </c>
      <c r="AW185">
        <v>1</v>
      </c>
      <c r="AX185" t="s">
        <v>74</v>
      </c>
      <c r="AY185" t="s">
        <v>74</v>
      </c>
      <c r="AZ185" t="s">
        <v>74</v>
      </c>
      <c r="BA185" t="s">
        <v>74</v>
      </c>
      <c r="BB185">
        <v>15</v>
      </c>
      <c r="BC185">
        <v>22</v>
      </c>
      <c r="BD185" t="s">
        <v>74</v>
      </c>
      <c r="BE185" t="s">
        <v>3863</v>
      </c>
      <c r="BF185" t="str">
        <f>HYPERLINK("http://dx.doi.org/10.1016/j.tree.2013.11.004","http://dx.doi.org/10.1016/j.tree.2013.11.004")</f>
        <v>http://dx.doi.org/10.1016/j.tree.2013.11.004</v>
      </c>
      <c r="BG185" t="s">
        <v>74</v>
      </c>
      <c r="BH185" t="s">
        <v>74</v>
      </c>
      <c r="BI185">
        <v>8</v>
      </c>
      <c r="BJ185" t="s">
        <v>3864</v>
      </c>
      <c r="BK185" t="s">
        <v>99</v>
      </c>
      <c r="BL185" t="s">
        <v>3865</v>
      </c>
      <c r="BM185" t="s">
        <v>3866</v>
      </c>
      <c r="BN185">
        <v>24332318</v>
      </c>
      <c r="BO185" t="s">
        <v>315</v>
      </c>
      <c r="BP185" t="s">
        <v>74</v>
      </c>
      <c r="BQ185" t="s">
        <v>74</v>
      </c>
      <c r="BR185" t="s">
        <v>103</v>
      </c>
      <c r="BS185" t="s">
        <v>3867</v>
      </c>
      <c r="BT185" t="str">
        <f>HYPERLINK("https%3A%2F%2Fwww.webofscience.com%2Fwos%2Fwoscc%2Ffull-record%2FWOS:000330148000004","View Full Record in Web of Science")</f>
        <v>View Full Record in Web of Science</v>
      </c>
    </row>
    <row r="186" spans="1:72" x14ac:dyDescent="0.15">
      <c r="A186" t="s">
        <v>72</v>
      </c>
      <c r="B186" t="s">
        <v>3868</v>
      </c>
      <c r="C186" t="s">
        <v>74</v>
      </c>
      <c r="D186" t="s">
        <v>74</v>
      </c>
      <c r="E186" t="s">
        <v>74</v>
      </c>
      <c r="F186" t="s">
        <v>3869</v>
      </c>
      <c r="G186" t="s">
        <v>74</v>
      </c>
      <c r="H186" t="s">
        <v>74</v>
      </c>
      <c r="I186" t="s">
        <v>3870</v>
      </c>
      <c r="J186" t="s">
        <v>3871</v>
      </c>
      <c r="K186" t="s">
        <v>74</v>
      </c>
      <c r="L186" t="s">
        <v>74</v>
      </c>
      <c r="M186" t="s">
        <v>2019</v>
      </c>
      <c r="N186" t="s">
        <v>79</v>
      </c>
      <c r="O186" t="s">
        <v>74</v>
      </c>
      <c r="P186" t="s">
        <v>74</v>
      </c>
      <c r="Q186" t="s">
        <v>74</v>
      </c>
      <c r="R186" t="s">
        <v>74</v>
      </c>
      <c r="S186" t="s">
        <v>74</v>
      </c>
      <c r="T186" t="s">
        <v>3872</v>
      </c>
      <c r="U186" t="s">
        <v>74</v>
      </c>
      <c r="V186" t="s">
        <v>3873</v>
      </c>
      <c r="W186" t="s">
        <v>3874</v>
      </c>
      <c r="X186" t="s">
        <v>3875</v>
      </c>
      <c r="Y186" t="s">
        <v>3876</v>
      </c>
      <c r="Z186" t="s">
        <v>3877</v>
      </c>
      <c r="AA186" t="s">
        <v>74</v>
      </c>
      <c r="AB186" t="s">
        <v>74</v>
      </c>
      <c r="AC186" t="s">
        <v>74</v>
      </c>
      <c r="AD186" t="s">
        <v>74</v>
      </c>
      <c r="AE186" t="s">
        <v>74</v>
      </c>
      <c r="AF186" t="s">
        <v>74</v>
      </c>
      <c r="AG186">
        <v>9</v>
      </c>
      <c r="AH186">
        <v>0</v>
      </c>
      <c r="AI186">
        <v>0</v>
      </c>
      <c r="AJ186">
        <v>0</v>
      </c>
      <c r="AK186">
        <v>0</v>
      </c>
      <c r="AL186" t="s">
        <v>3878</v>
      </c>
      <c r="AM186" t="s">
        <v>3879</v>
      </c>
      <c r="AN186" t="s">
        <v>3880</v>
      </c>
      <c r="AO186" t="s">
        <v>3881</v>
      </c>
      <c r="AP186" t="s">
        <v>74</v>
      </c>
      <c r="AQ186" t="s">
        <v>74</v>
      </c>
      <c r="AR186" t="s">
        <v>3882</v>
      </c>
      <c r="AS186" t="s">
        <v>3883</v>
      </c>
      <c r="AT186" t="s">
        <v>74</v>
      </c>
      <c r="AU186">
        <v>2014</v>
      </c>
      <c r="AV186" t="s">
        <v>74</v>
      </c>
      <c r="AW186">
        <v>67</v>
      </c>
      <c r="AX186" t="s">
        <v>74</v>
      </c>
      <c r="AY186" t="s">
        <v>74</v>
      </c>
      <c r="AZ186" t="s">
        <v>74</v>
      </c>
      <c r="BA186" t="s">
        <v>74</v>
      </c>
      <c r="BB186">
        <v>14</v>
      </c>
      <c r="BC186">
        <v>18</v>
      </c>
      <c r="BD186" t="s">
        <v>74</v>
      </c>
      <c r="BE186" t="s">
        <v>74</v>
      </c>
      <c r="BF186" t="s">
        <v>74</v>
      </c>
      <c r="BG186" t="s">
        <v>74</v>
      </c>
      <c r="BH186" t="s">
        <v>74</v>
      </c>
      <c r="BI186">
        <v>5</v>
      </c>
      <c r="BJ186" t="s">
        <v>338</v>
      </c>
      <c r="BK186" t="s">
        <v>494</v>
      </c>
      <c r="BL186" t="s">
        <v>338</v>
      </c>
      <c r="BM186" t="s">
        <v>3884</v>
      </c>
      <c r="BN186" t="s">
        <v>74</v>
      </c>
      <c r="BO186" t="s">
        <v>74</v>
      </c>
      <c r="BP186" t="s">
        <v>74</v>
      </c>
      <c r="BQ186" t="s">
        <v>74</v>
      </c>
      <c r="BR186" t="s">
        <v>103</v>
      </c>
      <c r="BS186" t="s">
        <v>3885</v>
      </c>
      <c r="BT186" t="str">
        <f>HYPERLINK("https%3A%2F%2Fwww.webofscience.com%2Fwos%2Fwoscc%2Ffull-record%2FWOS:000421869700002","View Full Record in Web of Science")</f>
        <v>View Full Record in Web of Science</v>
      </c>
    </row>
    <row r="187" spans="1:72" x14ac:dyDescent="0.15">
      <c r="A187" t="s">
        <v>881</v>
      </c>
      <c r="B187" t="s">
        <v>3886</v>
      </c>
      <c r="C187" t="s">
        <v>74</v>
      </c>
      <c r="D187" t="s">
        <v>3887</v>
      </c>
      <c r="E187" t="s">
        <v>74</v>
      </c>
      <c r="F187" t="s">
        <v>3888</v>
      </c>
      <c r="G187" t="s">
        <v>74</v>
      </c>
      <c r="H187" t="s">
        <v>74</v>
      </c>
      <c r="I187" t="s">
        <v>3889</v>
      </c>
      <c r="J187" t="s">
        <v>3890</v>
      </c>
      <c r="K187" t="s">
        <v>3891</v>
      </c>
      <c r="L187" t="s">
        <v>74</v>
      </c>
      <c r="M187" t="s">
        <v>78</v>
      </c>
      <c r="N187" t="s">
        <v>888</v>
      </c>
      <c r="O187" t="s">
        <v>3892</v>
      </c>
      <c r="P187" t="s">
        <v>3893</v>
      </c>
      <c r="Q187" t="s">
        <v>3894</v>
      </c>
      <c r="R187" t="s">
        <v>74</v>
      </c>
      <c r="S187" t="s">
        <v>3895</v>
      </c>
      <c r="T187" t="s">
        <v>74</v>
      </c>
      <c r="U187" t="s">
        <v>3896</v>
      </c>
      <c r="V187" t="s">
        <v>3897</v>
      </c>
      <c r="W187" t="s">
        <v>3898</v>
      </c>
      <c r="X187" t="s">
        <v>3899</v>
      </c>
      <c r="Y187" t="s">
        <v>3900</v>
      </c>
      <c r="Z187" t="s">
        <v>3901</v>
      </c>
      <c r="AA187" t="s">
        <v>74</v>
      </c>
      <c r="AB187" t="s">
        <v>74</v>
      </c>
      <c r="AC187" t="s">
        <v>74</v>
      </c>
      <c r="AD187" t="s">
        <v>74</v>
      </c>
      <c r="AE187" t="s">
        <v>74</v>
      </c>
      <c r="AF187" t="s">
        <v>74</v>
      </c>
      <c r="AG187">
        <v>100</v>
      </c>
      <c r="AH187">
        <v>9</v>
      </c>
      <c r="AI187">
        <v>9</v>
      </c>
      <c r="AJ187">
        <v>0</v>
      </c>
      <c r="AK187">
        <v>4</v>
      </c>
      <c r="AL187" t="s">
        <v>3902</v>
      </c>
      <c r="AM187" t="s">
        <v>947</v>
      </c>
      <c r="AN187" t="s">
        <v>3903</v>
      </c>
      <c r="AO187" t="s">
        <v>3904</v>
      </c>
      <c r="AP187" t="s">
        <v>74</v>
      </c>
      <c r="AQ187" t="s">
        <v>3905</v>
      </c>
      <c r="AR187" t="s">
        <v>3906</v>
      </c>
      <c r="AS187" t="s">
        <v>74</v>
      </c>
      <c r="AT187" t="s">
        <v>74</v>
      </c>
      <c r="AU187">
        <v>2014</v>
      </c>
      <c r="AV187">
        <v>505</v>
      </c>
      <c r="AW187" t="s">
        <v>74</v>
      </c>
      <c r="AX187" t="s">
        <v>74</v>
      </c>
      <c r="AY187" t="s">
        <v>74</v>
      </c>
      <c r="AZ187" t="s">
        <v>74</v>
      </c>
      <c r="BA187" t="s">
        <v>74</v>
      </c>
      <c r="BB187">
        <v>1</v>
      </c>
      <c r="BC187">
        <v>28</v>
      </c>
      <c r="BD187" t="s">
        <v>74</v>
      </c>
      <c r="BE187" t="s">
        <v>3907</v>
      </c>
      <c r="BF187" t="str">
        <f>HYPERLINK("http://dx.doi.org/10.1130/2014.2505(01)","http://dx.doi.org/10.1130/2014.2505(01)")</f>
        <v>http://dx.doi.org/10.1130/2014.2505(01)</v>
      </c>
      <c r="BG187" t="s">
        <v>74</v>
      </c>
      <c r="BH187" t="s">
        <v>74</v>
      </c>
      <c r="BI187">
        <v>28</v>
      </c>
      <c r="BJ187" t="s">
        <v>3908</v>
      </c>
      <c r="BK187" t="s">
        <v>905</v>
      </c>
      <c r="BL187" t="s">
        <v>3431</v>
      </c>
      <c r="BM187" t="s">
        <v>3909</v>
      </c>
      <c r="BN187" t="s">
        <v>74</v>
      </c>
      <c r="BO187" t="s">
        <v>74</v>
      </c>
      <c r="BP187" t="s">
        <v>74</v>
      </c>
      <c r="BQ187" t="s">
        <v>74</v>
      </c>
      <c r="BR187" t="s">
        <v>103</v>
      </c>
      <c r="BS187" t="s">
        <v>3910</v>
      </c>
      <c r="BT187" t="str">
        <f>HYPERLINK("https%3A%2F%2Fwww.webofscience.com%2Fwos%2Fwoscc%2Ffull-record%2FWOS:000375779400001","View Full Record in Web of Science")</f>
        <v>View Full Record in Web of Science</v>
      </c>
    </row>
    <row r="188" spans="1:72" x14ac:dyDescent="0.15">
      <c r="A188" t="s">
        <v>72</v>
      </c>
      <c r="B188" t="s">
        <v>3911</v>
      </c>
      <c r="C188" t="s">
        <v>74</v>
      </c>
      <c r="D188" t="s">
        <v>74</v>
      </c>
      <c r="E188" t="s">
        <v>74</v>
      </c>
      <c r="F188" t="s">
        <v>3912</v>
      </c>
      <c r="G188" t="s">
        <v>74</v>
      </c>
      <c r="H188" t="s">
        <v>74</v>
      </c>
      <c r="I188" t="s">
        <v>3913</v>
      </c>
      <c r="J188" t="s">
        <v>3914</v>
      </c>
      <c r="K188" t="s">
        <v>74</v>
      </c>
      <c r="L188" t="s">
        <v>74</v>
      </c>
      <c r="M188" t="s">
        <v>78</v>
      </c>
      <c r="N188" t="s">
        <v>213</v>
      </c>
      <c r="O188" t="s">
        <v>74</v>
      </c>
      <c r="P188" t="s">
        <v>74</v>
      </c>
      <c r="Q188" t="s">
        <v>74</v>
      </c>
      <c r="R188" t="s">
        <v>74</v>
      </c>
      <c r="S188" t="s">
        <v>74</v>
      </c>
      <c r="T188" t="s">
        <v>74</v>
      </c>
      <c r="U188" t="s">
        <v>3915</v>
      </c>
      <c r="V188" t="s">
        <v>3916</v>
      </c>
      <c r="W188" t="s">
        <v>3917</v>
      </c>
      <c r="X188" t="s">
        <v>3918</v>
      </c>
      <c r="Y188" t="s">
        <v>3919</v>
      </c>
      <c r="Z188" t="s">
        <v>3920</v>
      </c>
      <c r="AA188" t="s">
        <v>3921</v>
      </c>
      <c r="AB188" t="s">
        <v>3922</v>
      </c>
      <c r="AC188" t="s">
        <v>3923</v>
      </c>
      <c r="AD188" t="s">
        <v>3924</v>
      </c>
      <c r="AE188" t="s">
        <v>3925</v>
      </c>
      <c r="AF188" t="s">
        <v>74</v>
      </c>
      <c r="AG188">
        <v>152</v>
      </c>
      <c r="AH188">
        <v>135</v>
      </c>
      <c r="AI188">
        <v>146</v>
      </c>
      <c r="AJ188">
        <v>2</v>
      </c>
      <c r="AK188">
        <v>110</v>
      </c>
      <c r="AL188" t="s">
        <v>410</v>
      </c>
      <c r="AM188" t="s">
        <v>411</v>
      </c>
      <c r="AN188" t="s">
        <v>412</v>
      </c>
      <c r="AO188" t="s">
        <v>3926</v>
      </c>
      <c r="AP188" t="s">
        <v>3927</v>
      </c>
      <c r="AQ188" t="s">
        <v>74</v>
      </c>
      <c r="AR188" t="s">
        <v>3928</v>
      </c>
      <c r="AS188" t="s">
        <v>3929</v>
      </c>
      <c r="AT188" t="s">
        <v>417</v>
      </c>
      <c r="AU188">
        <v>2014</v>
      </c>
      <c r="AV188">
        <v>5</v>
      </c>
      <c r="AW188">
        <v>1</v>
      </c>
      <c r="AX188" t="s">
        <v>74</v>
      </c>
      <c r="AY188" t="s">
        <v>74</v>
      </c>
      <c r="AZ188" t="s">
        <v>74</v>
      </c>
      <c r="BA188" t="s">
        <v>74</v>
      </c>
      <c r="BB188">
        <v>129</v>
      </c>
      <c r="BC188">
        <v>150</v>
      </c>
      <c r="BD188" t="s">
        <v>74</v>
      </c>
      <c r="BE188" t="s">
        <v>3930</v>
      </c>
      <c r="BF188" t="str">
        <f>HYPERLINK("http://dx.doi.org/10.1002/wcc.253","http://dx.doi.org/10.1002/wcc.253")</f>
        <v>http://dx.doi.org/10.1002/wcc.253</v>
      </c>
      <c r="BG188" t="s">
        <v>74</v>
      </c>
      <c r="BH188" t="s">
        <v>74</v>
      </c>
      <c r="BI188">
        <v>22</v>
      </c>
      <c r="BJ188" t="s">
        <v>3931</v>
      </c>
      <c r="BK188" t="s">
        <v>3932</v>
      </c>
      <c r="BL188" t="s">
        <v>3933</v>
      </c>
      <c r="BM188" t="s">
        <v>3934</v>
      </c>
      <c r="BN188" t="s">
        <v>74</v>
      </c>
      <c r="BO188" t="s">
        <v>450</v>
      </c>
      <c r="BP188" t="s">
        <v>74</v>
      </c>
      <c r="BQ188" t="s">
        <v>74</v>
      </c>
      <c r="BR188" t="s">
        <v>103</v>
      </c>
      <c r="BS188" t="s">
        <v>3935</v>
      </c>
      <c r="BT188" t="str">
        <f>HYPERLINK("https%3A%2F%2Fwww.webofscience.com%2Fwos%2Fwoscc%2Ffull-record%2FWOS:000328559200010","View Full Record in Web of Science")</f>
        <v>View Full Record in Web of Science</v>
      </c>
    </row>
    <row r="189" spans="1:72" x14ac:dyDescent="0.15">
      <c r="A189" t="s">
        <v>72</v>
      </c>
      <c r="B189" t="s">
        <v>3936</v>
      </c>
      <c r="C189" t="s">
        <v>74</v>
      </c>
      <c r="D189" t="s">
        <v>74</v>
      </c>
      <c r="E189" t="s">
        <v>74</v>
      </c>
      <c r="F189" t="s">
        <v>3937</v>
      </c>
      <c r="G189" t="s">
        <v>74</v>
      </c>
      <c r="H189" t="s">
        <v>74</v>
      </c>
      <c r="I189" t="s">
        <v>3938</v>
      </c>
      <c r="J189" t="s">
        <v>3939</v>
      </c>
      <c r="K189" t="s">
        <v>74</v>
      </c>
      <c r="L189" t="s">
        <v>74</v>
      </c>
      <c r="M189" t="s">
        <v>78</v>
      </c>
      <c r="N189" t="s">
        <v>79</v>
      </c>
      <c r="O189" t="s">
        <v>74</v>
      </c>
      <c r="P189" t="s">
        <v>74</v>
      </c>
      <c r="Q189" t="s">
        <v>74</v>
      </c>
      <c r="R189" t="s">
        <v>74</v>
      </c>
      <c r="S189" t="s">
        <v>74</v>
      </c>
      <c r="T189" t="s">
        <v>3940</v>
      </c>
      <c r="U189" t="s">
        <v>3941</v>
      </c>
      <c r="V189" t="s">
        <v>3942</v>
      </c>
      <c r="W189" t="s">
        <v>3943</v>
      </c>
      <c r="X189" t="s">
        <v>3944</v>
      </c>
      <c r="Y189" t="s">
        <v>3945</v>
      </c>
      <c r="Z189" t="s">
        <v>3946</v>
      </c>
      <c r="AA189" t="s">
        <v>3947</v>
      </c>
      <c r="AB189" t="s">
        <v>3948</v>
      </c>
      <c r="AC189" t="s">
        <v>3949</v>
      </c>
      <c r="AD189" t="s">
        <v>3950</v>
      </c>
      <c r="AE189" t="s">
        <v>3951</v>
      </c>
      <c r="AF189" t="s">
        <v>74</v>
      </c>
      <c r="AG189">
        <v>45</v>
      </c>
      <c r="AH189">
        <v>70</v>
      </c>
      <c r="AI189">
        <v>83</v>
      </c>
      <c r="AJ189">
        <v>3</v>
      </c>
      <c r="AK189">
        <v>65</v>
      </c>
      <c r="AL189" t="s">
        <v>1067</v>
      </c>
      <c r="AM189" t="s">
        <v>921</v>
      </c>
      <c r="AN189" t="s">
        <v>2690</v>
      </c>
      <c r="AO189" t="s">
        <v>3952</v>
      </c>
      <c r="AP189" t="s">
        <v>3953</v>
      </c>
      <c r="AQ189" t="s">
        <v>74</v>
      </c>
      <c r="AR189" t="s">
        <v>3954</v>
      </c>
      <c r="AS189" t="s">
        <v>3955</v>
      </c>
      <c r="AT189" t="s">
        <v>417</v>
      </c>
      <c r="AU189">
        <v>2014</v>
      </c>
      <c r="AV189">
        <v>30</v>
      </c>
      <c r="AW189">
        <v>1</v>
      </c>
      <c r="AX189" t="s">
        <v>74</v>
      </c>
      <c r="AY189" t="s">
        <v>74</v>
      </c>
      <c r="AZ189" t="s">
        <v>74</v>
      </c>
      <c r="BA189" t="s">
        <v>74</v>
      </c>
      <c r="BB189">
        <v>65</v>
      </c>
      <c r="BC189">
        <v>76</v>
      </c>
      <c r="BD189" t="s">
        <v>74</v>
      </c>
      <c r="BE189" t="s">
        <v>3956</v>
      </c>
      <c r="BF189" t="str">
        <f>HYPERLINK("http://dx.doi.org/10.1007/s11274-013-1418-x","http://dx.doi.org/10.1007/s11274-013-1418-x")</f>
        <v>http://dx.doi.org/10.1007/s11274-013-1418-x</v>
      </c>
      <c r="BG189" t="s">
        <v>74</v>
      </c>
      <c r="BH189" t="s">
        <v>74</v>
      </c>
      <c r="BI189">
        <v>12</v>
      </c>
      <c r="BJ189" t="s">
        <v>3957</v>
      </c>
      <c r="BK189" t="s">
        <v>99</v>
      </c>
      <c r="BL189" t="s">
        <v>3957</v>
      </c>
      <c r="BM189" t="s">
        <v>3958</v>
      </c>
      <c r="BN189">
        <v>23824664</v>
      </c>
      <c r="BO189" t="s">
        <v>74</v>
      </c>
      <c r="BP189" t="s">
        <v>74</v>
      </c>
      <c r="BQ189" t="s">
        <v>74</v>
      </c>
      <c r="BR189" t="s">
        <v>103</v>
      </c>
      <c r="BS189" t="s">
        <v>3959</v>
      </c>
      <c r="BT189" t="str">
        <f>HYPERLINK("https%3A%2F%2Fwww.webofscience.com%2Fwos%2Fwoscc%2Ffull-record%2FWOS:000329248200007","View Full Record in Web of Science")</f>
        <v>View Full Record in Web of Science</v>
      </c>
    </row>
    <row r="190" spans="1:72" x14ac:dyDescent="0.15">
      <c r="A190" t="s">
        <v>238</v>
      </c>
      <c r="B190" t="s">
        <v>3960</v>
      </c>
      <c r="C190" t="s">
        <v>74</v>
      </c>
      <c r="D190" t="s">
        <v>3961</v>
      </c>
      <c r="E190" t="s">
        <v>74</v>
      </c>
      <c r="F190" t="s">
        <v>3962</v>
      </c>
      <c r="G190" t="s">
        <v>74</v>
      </c>
      <c r="H190" t="s">
        <v>74</v>
      </c>
      <c r="I190" t="s">
        <v>3963</v>
      </c>
      <c r="J190" t="s">
        <v>3964</v>
      </c>
      <c r="K190" t="s">
        <v>74</v>
      </c>
      <c r="L190" t="s">
        <v>74</v>
      </c>
      <c r="M190" t="s">
        <v>78</v>
      </c>
      <c r="N190" t="s">
        <v>244</v>
      </c>
      <c r="O190" t="s">
        <v>74</v>
      </c>
      <c r="P190" t="s">
        <v>74</v>
      </c>
      <c r="Q190" t="s">
        <v>74</v>
      </c>
      <c r="R190" t="s">
        <v>74</v>
      </c>
      <c r="S190" t="s">
        <v>74</v>
      </c>
      <c r="T190" t="s">
        <v>74</v>
      </c>
      <c r="U190" t="s">
        <v>3965</v>
      </c>
      <c r="V190" t="s">
        <v>74</v>
      </c>
      <c r="W190" t="s">
        <v>3966</v>
      </c>
      <c r="X190" t="s">
        <v>74</v>
      </c>
      <c r="Y190" t="s">
        <v>3967</v>
      </c>
      <c r="Z190" t="s">
        <v>3968</v>
      </c>
      <c r="AA190" t="s">
        <v>74</v>
      </c>
      <c r="AB190" t="s">
        <v>74</v>
      </c>
      <c r="AC190" t="s">
        <v>74</v>
      </c>
      <c r="AD190" t="s">
        <v>74</v>
      </c>
      <c r="AE190" t="s">
        <v>74</v>
      </c>
      <c r="AF190" t="s">
        <v>74</v>
      </c>
      <c r="AG190">
        <v>40</v>
      </c>
      <c r="AH190">
        <v>15</v>
      </c>
      <c r="AI190">
        <v>16</v>
      </c>
      <c r="AJ190">
        <v>0</v>
      </c>
      <c r="AK190">
        <v>9</v>
      </c>
      <c r="AL190" t="s">
        <v>624</v>
      </c>
      <c r="AM190" t="s">
        <v>3969</v>
      </c>
      <c r="AN190" t="s">
        <v>3970</v>
      </c>
      <c r="AO190" t="s">
        <v>74</v>
      </c>
      <c r="AP190" t="s">
        <v>74</v>
      </c>
      <c r="AQ190" t="s">
        <v>3971</v>
      </c>
      <c r="AR190" t="s">
        <v>74</v>
      </c>
      <c r="AS190" t="s">
        <v>74</v>
      </c>
      <c r="AT190" t="s">
        <v>74</v>
      </c>
      <c r="AU190">
        <v>2014</v>
      </c>
      <c r="AV190" t="s">
        <v>74</v>
      </c>
      <c r="AW190" t="s">
        <v>74</v>
      </c>
      <c r="AX190" t="s">
        <v>74</v>
      </c>
      <c r="AY190" t="s">
        <v>74</v>
      </c>
      <c r="AZ190" t="s">
        <v>74</v>
      </c>
      <c r="BA190" t="s">
        <v>74</v>
      </c>
      <c r="BB190">
        <v>661</v>
      </c>
      <c r="BC190">
        <v>672</v>
      </c>
      <c r="BD190" t="s">
        <v>74</v>
      </c>
      <c r="BE190" t="s">
        <v>74</v>
      </c>
      <c r="BF190" t="s">
        <v>74</v>
      </c>
      <c r="BG190" t="s">
        <v>3972</v>
      </c>
      <c r="BH190" t="s">
        <v>74</v>
      </c>
      <c r="BI190">
        <v>12</v>
      </c>
      <c r="BJ190" t="s">
        <v>3973</v>
      </c>
      <c r="BK190" t="s">
        <v>632</v>
      </c>
      <c r="BL190" t="s">
        <v>3973</v>
      </c>
      <c r="BM190" t="s">
        <v>3974</v>
      </c>
      <c r="BN190" t="s">
        <v>74</v>
      </c>
      <c r="BO190" t="s">
        <v>74</v>
      </c>
      <c r="BP190" t="s">
        <v>74</v>
      </c>
      <c r="BQ190" t="s">
        <v>74</v>
      </c>
      <c r="BR190" t="s">
        <v>103</v>
      </c>
      <c r="BS190" t="s">
        <v>3975</v>
      </c>
      <c r="BT190" t="str">
        <f>HYPERLINK("https%3A%2F%2Fwww.webofscience.com%2Fwos%2Fwoscc%2Ffull-record%2FWOS:000348499200048","View Full Record in Web of Science")</f>
        <v>View Full Record in Web of Science</v>
      </c>
    </row>
    <row r="191" spans="1:72" x14ac:dyDescent="0.15">
      <c r="A191" t="s">
        <v>72</v>
      </c>
      <c r="B191" t="s">
        <v>3976</v>
      </c>
      <c r="C191" t="s">
        <v>74</v>
      </c>
      <c r="D191" t="s">
        <v>74</v>
      </c>
      <c r="E191" t="s">
        <v>74</v>
      </c>
      <c r="F191" t="s">
        <v>3977</v>
      </c>
      <c r="G191" t="s">
        <v>74</v>
      </c>
      <c r="H191" t="s">
        <v>74</v>
      </c>
      <c r="I191" t="s">
        <v>3978</v>
      </c>
      <c r="J191" t="s">
        <v>3979</v>
      </c>
      <c r="K191" t="s">
        <v>74</v>
      </c>
      <c r="L191" t="s">
        <v>74</v>
      </c>
      <c r="M191" t="s">
        <v>78</v>
      </c>
      <c r="N191" t="s">
        <v>79</v>
      </c>
      <c r="O191" t="s">
        <v>74</v>
      </c>
      <c r="P191" t="s">
        <v>74</v>
      </c>
      <c r="Q191" t="s">
        <v>74</v>
      </c>
      <c r="R191" t="s">
        <v>74</v>
      </c>
      <c r="S191" t="s">
        <v>74</v>
      </c>
      <c r="T191" t="s">
        <v>3980</v>
      </c>
      <c r="U191" t="s">
        <v>3981</v>
      </c>
      <c r="V191" t="s">
        <v>3982</v>
      </c>
      <c r="W191" t="s">
        <v>3983</v>
      </c>
      <c r="X191" t="s">
        <v>3984</v>
      </c>
      <c r="Y191" t="s">
        <v>3985</v>
      </c>
      <c r="Z191" t="s">
        <v>3986</v>
      </c>
      <c r="AA191" t="s">
        <v>3987</v>
      </c>
      <c r="AB191" t="s">
        <v>3988</v>
      </c>
      <c r="AC191" t="s">
        <v>3989</v>
      </c>
      <c r="AD191" t="s">
        <v>3990</v>
      </c>
      <c r="AE191" t="s">
        <v>3991</v>
      </c>
      <c r="AF191" t="s">
        <v>74</v>
      </c>
      <c r="AG191">
        <v>78</v>
      </c>
      <c r="AH191">
        <v>167</v>
      </c>
      <c r="AI191">
        <v>181</v>
      </c>
      <c r="AJ191">
        <v>1</v>
      </c>
      <c r="AK191">
        <v>80</v>
      </c>
      <c r="AL191" t="s">
        <v>3992</v>
      </c>
      <c r="AM191" t="s">
        <v>252</v>
      </c>
      <c r="AN191" t="s">
        <v>3993</v>
      </c>
      <c r="AO191" t="s">
        <v>3994</v>
      </c>
      <c r="AP191" t="s">
        <v>3995</v>
      </c>
      <c r="AQ191" t="s">
        <v>74</v>
      </c>
      <c r="AR191" t="s">
        <v>3996</v>
      </c>
      <c r="AS191" t="s">
        <v>3997</v>
      </c>
      <c r="AT191" t="s">
        <v>417</v>
      </c>
      <c r="AU191">
        <v>2014</v>
      </c>
      <c r="AV191">
        <v>170</v>
      </c>
      <c r="AW191">
        <v>1</v>
      </c>
      <c r="AX191" t="s">
        <v>74</v>
      </c>
      <c r="AY191" t="s">
        <v>74</v>
      </c>
      <c r="AZ191" t="s">
        <v>74</v>
      </c>
      <c r="BA191" t="s">
        <v>74</v>
      </c>
      <c r="BB191">
        <v>1</v>
      </c>
      <c r="BC191">
        <v>33</v>
      </c>
      <c r="BD191" t="s">
        <v>74</v>
      </c>
      <c r="BE191" t="s">
        <v>3998</v>
      </c>
      <c r="BF191" t="str">
        <f>HYPERLINK("http://dx.doi.org/10.1111/zoj12092","http://dx.doi.org/10.1111/zoj12092")</f>
        <v>http://dx.doi.org/10.1111/zoj12092</v>
      </c>
      <c r="BG191" t="s">
        <v>74</v>
      </c>
      <c r="BH191" t="s">
        <v>74</v>
      </c>
      <c r="BI191">
        <v>33</v>
      </c>
      <c r="BJ191" t="s">
        <v>448</v>
      </c>
      <c r="BK191" t="s">
        <v>99</v>
      </c>
      <c r="BL191" t="s">
        <v>448</v>
      </c>
      <c r="BM191" t="s">
        <v>3999</v>
      </c>
      <c r="BN191" t="s">
        <v>74</v>
      </c>
      <c r="BO191" t="s">
        <v>475</v>
      </c>
      <c r="BP191" t="s">
        <v>74</v>
      </c>
      <c r="BQ191" t="s">
        <v>74</v>
      </c>
      <c r="BR191" t="s">
        <v>103</v>
      </c>
      <c r="BS191" t="s">
        <v>4000</v>
      </c>
      <c r="BT191" t="str">
        <f>HYPERLINK("https%3A%2F%2Fwww.webofscience.com%2Fwos%2Fwoscc%2Ffull-record%2FWOS:000330782500001","View Full Record in Web of Science")</f>
        <v>View Full Record in Web of Science</v>
      </c>
    </row>
    <row r="192" spans="1:72" x14ac:dyDescent="0.15">
      <c r="A192" t="s">
        <v>72</v>
      </c>
      <c r="B192" t="s">
        <v>4001</v>
      </c>
      <c r="C192" t="s">
        <v>74</v>
      </c>
      <c r="D192" t="s">
        <v>74</v>
      </c>
      <c r="E192" t="s">
        <v>74</v>
      </c>
      <c r="F192" t="s">
        <v>4002</v>
      </c>
      <c r="G192" t="s">
        <v>74</v>
      </c>
      <c r="H192" t="s">
        <v>74</v>
      </c>
      <c r="I192" t="s">
        <v>4003</v>
      </c>
      <c r="J192" t="s">
        <v>4004</v>
      </c>
      <c r="K192" t="s">
        <v>74</v>
      </c>
      <c r="L192" t="s">
        <v>74</v>
      </c>
      <c r="M192" t="s">
        <v>78</v>
      </c>
      <c r="N192" t="s">
        <v>79</v>
      </c>
      <c r="O192" t="s">
        <v>74</v>
      </c>
      <c r="P192" t="s">
        <v>74</v>
      </c>
      <c r="Q192" t="s">
        <v>74</v>
      </c>
      <c r="R192" t="s">
        <v>74</v>
      </c>
      <c r="S192" t="s">
        <v>74</v>
      </c>
      <c r="T192" t="s">
        <v>74</v>
      </c>
      <c r="U192" t="s">
        <v>4005</v>
      </c>
      <c r="V192" t="s">
        <v>4006</v>
      </c>
      <c r="W192" t="s">
        <v>4007</v>
      </c>
      <c r="X192" t="s">
        <v>4008</v>
      </c>
      <c r="Y192" t="s">
        <v>4009</v>
      </c>
      <c r="Z192" t="s">
        <v>4010</v>
      </c>
      <c r="AA192" t="s">
        <v>4011</v>
      </c>
      <c r="AB192" t="s">
        <v>4012</v>
      </c>
      <c r="AC192" t="s">
        <v>4013</v>
      </c>
      <c r="AD192" t="s">
        <v>4014</v>
      </c>
      <c r="AE192" t="s">
        <v>4015</v>
      </c>
      <c r="AF192" t="s">
        <v>74</v>
      </c>
      <c r="AG192">
        <v>54</v>
      </c>
      <c r="AH192">
        <v>1</v>
      </c>
      <c r="AI192">
        <v>1</v>
      </c>
      <c r="AJ192">
        <v>0</v>
      </c>
      <c r="AK192">
        <v>22</v>
      </c>
      <c r="AL192" t="s">
        <v>1469</v>
      </c>
      <c r="AM192" t="s">
        <v>1470</v>
      </c>
      <c r="AN192" t="s">
        <v>1471</v>
      </c>
      <c r="AO192" t="s">
        <v>4016</v>
      </c>
      <c r="AP192" t="s">
        <v>4017</v>
      </c>
      <c r="AQ192" t="s">
        <v>74</v>
      </c>
      <c r="AR192" t="s">
        <v>4018</v>
      </c>
      <c r="AS192" t="s">
        <v>4019</v>
      </c>
      <c r="AT192" t="s">
        <v>74</v>
      </c>
      <c r="AU192">
        <v>2014</v>
      </c>
      <c r="AV192">
        <v>16</v>
      </c>
      <c r="AW192">
        <v>2</v>
      </c>
      <c r="AX192" t="s">
        <v>74</v>
      </c>
      <c r="AY192" t="s">
        <v>74</v>
      </c>
      <c r="AZ192" t="s">
        <v>74</v>
      </c>
      <c r="BA192" t="s">
        <v>74</v>
      </c>
      <c r="BB192">
        <v>607</v>
      </c>
      <c r="BC192">
        <v>615</v>
      </c>
      <c r="BD192" t="s">
        <v>74</v>
      </c>
      <c r="BE192" t="s">
        <v>4020</v>
      </c>
      <c r="BF192" t="str">
        <f>HYPERLINK("http://dx.doi.org/10.1039/c3cp53766h","http://dx.doi.org/10.1039/c3cp53766h")</f>
        <v>http://dx.doi.org/10.1039/c3cp53766h</v>
      </c>
      <c r="BG192" t="s">
        <v>74</v>
      </c>
      <c r="BH192" t="s">
        <v>74</v>
      </c>
      <c r="BI192">
        <v>9</v>
      </c>
      <c r="BJ192" t="s">
        <v>4021</v>
      </c>
      <c r="BK192" t="s">
        <v>99</v>
      </c>
      <c r="BL192" t="s">
        <v>4022</v>
      </c>
      <c r="BM192" t="s">
        <v>4023</v>
      </c>
      <c r="BN192">
        <v>24202006</v>
      </c>
      <c r="BO192" t="s">
        <v>74</v>
      </c>
      <c r="BP192" t="s">
        <v>74</v>
      </c>
      <c r="BQ192" t="s">
        <v>74</v>
      </c>
      <c r="BR192" t="s">
        <v>103</v>
      </c>
      <c r="BS192" t="s">
        <v>4024</v>
      </c>
      <c r="BT192" t="str">
        <f>HYPERLINK("https%3A%2F%2Fwww.webofscience.com%2Fwos%2Fwoscc%2Ffull-record%2FWOS:000327888100026","View Full Record in Web of Science")</f>
        <v>View Full Record in Web of Science</v>
      </c>
    </row>
    <row r="193" spans="1:72" x14ac:dyDescent="0.15">
      <c r="A193" t="s">
        <v>72</v>
      </c>
      <c r="B193" t="s">
        <v>4025</v>
      </c>
      <c r="C193" t="s">
        <v>74</v>
      </c>
      <c r="D193" t="s">
        <v>74</v>
      </c>
      <c r="E193" t="s">
        <v>74</v>
      </c>
      <c r="F193" t="s">
        <v>4026</v>
      </c>
      <c r="G193" t="s">
        <v>74</v>
      </c>
      <c r="H193" t="s">
        <v>74</v>
      </c>
      <c r="I193" t="s">
        <v>4027</v>
      </c>
      <c r="J193" t="s">
        <v>4028</v>
      </c>
      <c r="K193" t="s">
        <v>74</v>
      </c>
      <c r="L193" t="s">
        <v>74</v>
      </c>
      <c r="M193" t="s">
        <v>78</v>
      </c>
      <c r="N193" t="s">
        <v>79</v>
      </c>
      <c r="O193" t="s">
        <v>74</v>
      </c>
      <c r="P193" t="s">
        <v>74</v>
      </c>
      <c r="Q193" t="s">
        <v>74</v>
      </c>
      <c r="R193" t="s">
        <v>74</v>
      </c>
      <c r="S193" t="s">
        <v>74</v>
      </c>
      <c r="T193" t="s">
        <v>4029</v>
      </c>
      <c r="U193" t="s">
        <v>74</v>
      </c>
      <c r="V193" t="s">
        <v>4030</v>
      </c>
      <c r="W193" t="s">
        <v>4031</v>
      </c>
      <c r="X193" t="s">
        <v>4032</v>
      </c>
      <c r="Y193" t="s">
        <v>4033</v>
      </c>
      <c r="Z193" t="s">
        <v>4034</v>
      </c>
      <c r="AA193" t="s">
        <v>74</v>
      </c>
      <c r="AB193" t="s">
        <v>74</v>
      </c>
      <c r="AC193" t="s">
        <v>4035</v>
      </c>
      <c r="AD193" t="s">
        <v>4036</v>
      </c>
      <c r="AE193" t="s">
        <v>4037</v>
      </c>
      <c r="AF193" t="s">
        <v>74</v>
      </c>
      <c r="AG193">
        <v>12</v>
      </c>
      <c r="AH193">
        <v>6</v>
      </c>
      <c r="AI193">
        <v>9</v>
      </c>
      <c r="AJ193">
        <v>0</v>
      </c>
      <c r="AK193">
        <v>12</v>
      </c>
      <c r="AL193" t="s">
        <v>872</v>
      </c>
      <c r="AM193" t="s">
        <v>252</v>
      </c>
      <c r="AN193" t="s">
        <v>873</v>
      </c>
      <c r="AO193" t="s">
        <v>4038</v>
      </c>
      <c r="AP193" t="s">
        <v>4039</v>
      </c>
      <c r="AQ193" t="s">
        <v>74</v>
      </c>
      <c r="AR193" t="s">
        <v>4040</v>
      </c>
      <c r="AS193" t="s">
        <v>4041</v>
      </c>
      <c r="AT193" t="s">
        <v>812</v>
      </c>
      <c r="AU193">
        <v>2014</v>
      </c>
      <c r="AV193">
        <v>94</v>
      </c>
      <c r="AW193">
        <v>1</v>
      </c>
      <c r="AX193" t="s">
        <v>74</v>
      </c>
      <c r="AY193" t="s">
        <v>74</v>
      </c>
      <c r="AZ193" t="s">
        <v>74</v>
      </c>
      <c r="BA193" t="s">
        <v>74</v>
      </c>
      <c r="BB193">
        <v>83</v>
      </c>
      <c r="BC193">
        <v>92</v>
      </c>
      <c r="BD193" t="s">
        <v>74</v>
      </c>
      <c r="BE193" t="s">
        <v>4042</v>
      </c>
      <c r="BF193" t="str">
        <f>HYPERLINK("http://dx.doi.org/10.1016/j.actaastro.2013.08.001","http://dx.doi.org/10.1016/j.actaastro.2013.08.001")</f>
        <v>http://dx.doi.org/10.1016/j.actaastro.2013.08.001</v>
      </c>
      <c r="BG193" t="s">
        <v>74</v>
      </c>
      <c r="BH193" t="s">
        <v>74</v>
      </c>
      <c r="BI193">
        <v>10</v>
      </c>
      <c r="BJ193" t="s">
        <v>4043</v>
      </c>
      <c r="BK193" t="s">
        <v>99</v>
      </c>
      <c r="BL193" t="s">
        <v>4044</v>
      </c>
      <c r="BM193" t="s">
        <v>4045</v>
      </c>
      <c r="BN193" t="s">
        <v>74</v>
      </c>
      <c r="BO193" t="s">
        <v>74</v>
      </c>
      <c r="BP193" t="s">
        <v>74</v>
      </c>
      <c r="BQ193" t="s">
        <v>74</v>
      </c>
      <c r="BR193" t="s">
        <v>103</v>
      </c>
      <c r="BS193" t="s">
        <v>4046</v>
      </c>
      <c r="BT193" t="str">
        <f>HYPERLINK("https%3A%2F%2Fwww.webofscience.com%2Fwos%2Fwoscc%2Ffull-record%2FWOS:000326483800008","View Full Record in Web of Science")</f>
        <v>View Full Record in Web of Science</v>
      </c>
    </row>
    <row r="194" spans="1:72" x14ac:dyDescent="0.15">
      <c r="A194" t="s">
        <v>72</v>
      </c>
      <c r="B194" t="s">
        <v>4047</v>
      </c>
      <c r="C194" t="s">
        <v>74</v>
      </c>
      <c r="D194" t="s">
        <v>74</v>
      </c>
      <c r="E194" t="s">
        <v>74</v>
      </c>
      <c r="F194" t="s">
        <v>4048</v>
      </c>
      <c r="G194" t="s">
        <v>74</v>
      </c>
      <c r="H194" t="s">
        <v>74</v>
      </c>
      <c r="I194" t="s">
        <v>4049</v>
      </c>
      <c r="J194" t="s">
        <v>4050</v>
      </c>
      <c r="K194" t="s">
        <v>74</v>
      </c>
      <c r="L194" t="s">
        <v>74</v>
      </c>
      <c r="M194" t="s">
        <v>78</v>
      </c>
      <c r="N194" t="s">
        <v>213</v>
      </c>
      <c r="O194" t="s">
        <v>74</v>
      </c>
      <c r="P194" t="s">
        <v>74</v>
      </c>
      <c r="Q194" t="s">
        <v>74</v>
      </c>
      <c r="R194" t="s">
        <v>74</v>
      </c>
      <c r="S194" t="s">
        <v>74</v>
      </c>
      <c r="T194" t="s">
        <v>4051</v>
      </c>
      <c r="U194" t="s">
        <v>4052</v>
      </c>
      <c r="V194" t="s">
        <v>4053</v>
      </c>
      <c r="W194" t="s">
        <v>4054</v>
      </c>
      <c r="X194" t="s">
        <v>2317</v>
      </c>
      <c r="Y194" t="s">
        <v>4055</v>
      </c>
      <c r="Z194" t="s">
        <v>4056</v>
      </c>
      <c r="AA194" t="s">
        <v>4057</v>
      </c>
      <c r="AB194" t="s">
        <v>4058</v>
      </c>
      <c r="AC194" t="s">
        <v>74</v>
      </c>
      <c r="AD194" t="s">
        <v>74</v>
      </c>
      <c r="AE194" t="s">
        <v>74</v>
      </c>
      <c r="AF194" t="s">
        <v>74</v>
      </c>
      <c r="AG194">
        <v>45</v>
      </c>
      <c r="AH194">
        <v>40</v>
      </c>
      <c r="AI194">
        <v>45</v>
      </c>
      <c r="AJ194">
        <v>3</v>
      </c>
      <c r="AK194">
        <v>80</v>
      </c>
      <c r="AL194" t="s">
        <v>4059</v>
      </c>
      <c r="AM194" t="s">
        <v>4060</v>
      </c>
      <c r="AN194" t="s">
        <v>4061</v>
      </c>
      <c r="AO194" t="s">
        <v>4062</v>
      </c>
      <c r="AP194" t="s">
        <v>4063</v>
      </c>
      <c r="AQ194" t="s">
        <v>74</v>
      </c>
      <c r="AR194" t="s">
        <v>4064</v>
      </c>
      <c r="AS194" t="s">
        <v>4065</v>
      </c>
      <c r="AT194" t="s">
        <v>417</v>
      </c>
      <c r="AU194">
        <v>2014</v>
      </c>
      <c r="AV194">
        <v>9</v>
      </c>
      <c r="AW194">
        <v>1</v>
      </c>
      <c r="AX194" t="s">
        <v>74</v>
      </c>
      <c r="AY194" t="s">
        <v>74</v>
      </c>
      <c r="AZ194" t="s">
        <v>74</v>
      </c>
      <c r="BA194" t="s">
        <v>74</v>
      </c>
      <c r="BB194">
        <v>1</v>
      </c>
      <c r="BC194">
        <v>10</v>
      </c>
      <c r="BD194" t="s">
        <v>74</v>
      </c>
      <c r="BE194" t="s">
        <v>4066</v>
      </c>
      <c r="BF194" t="str">
        <f>HYPERLINK("http://dx.doi.org/10.2478/s11535-013-0134-0","http://dx.doi.org/10.2478/s11535-013-0134-0")</f>
        <v>http://dx.doi.org/10.2478/s11535-013-0134-0</v>
      </c>
      <c r="BG194" t="s">
        <v>74</v>
      </c>
      <c r="BH194" t="s">
        <v>74</v>
      </c>
      <c r="BI194">
        <v>10</v>
      </c>
      <c r="BJ194" t="s">
        <v>1546</v>
      </c>
      <c r="BK194" t="s">
        <v>99</v>
      </c>
      <c r="BL194" t="s">
        <v>1547</v>
      </c>
      <c r="BM194" t="s">
        <v>4067</v>
      </c>
      <c r="BN194" t="s">
        <v>74</v>
      </c>
      <c r="BO194" t="s">
        <v>524</v>
      </c>
      <c r="BP194" t="s">
        <v>74</v>
      </c>
      <c r="BQ194" t="s">
        <v>74</v>
      </c>
      <c r="BR194" t="s">
        <v>103</v>
      </c>
      <c r="BS194" t="s">
        <v>4068</v>
      </c>
      <c r="BT194" t="str">
        <f>HYPERLINK("https%3A%2F%2Fwww.webofscience.com%2Fwos%2Fwoscc%2Ffull-record%2FWOS:000325824400001","View Full Record in Web of Science")</f>
        <v>View Full Record in Web of Science</v>
      </c>
    </row>
    <row r="195" spans="1:72" x14ac:dyDescent="0.15">
      <c r="A195" t="s">
        <v>72</v>
      </c>
      <c r="B195" t="s">
        <v>4069</v>
      </c>
      <c r="C195" t="s">
        <v>74</v>
      </c>
      <c r="D195" t="s">
        <v>74</v>
      </c>
      <c r="E195" t="s">
        <v>74</v>
      </c>
      <c r="F195" t="s">
        <v>4070</v>
      </c>
      <c r="G195" t="s">
        <v>74</v>
      </c>
      <c r="H195" t="s">
        <v>74</v>
      </c>
      <c r="I195" t="s">
        <v>4071</v>
      </c>
      <c r="J195" t="s">
        <v>4072</v>
      </c>
      <c r="K195" t="s">
        <v>74</v>
      </c>
      <c r="L195" t="s">
        <v>74</v>
      </c>
      <c r="M195" t="s">
        <v>78</v>
      </c>
      <c r="N195" t="s">
        <v>79</v>
      </c>
      <c r="O195" t="s">
        <v>74</v>
      </c>
      <c r="P195" t="s">
        <v>74</v>
      </c>
      <c r="Q195" t="s">
        <v>74</v>
      </c>
      <c r="R195" t="s">
        <v>74</v>
      </c>
      <c r="S195" t="s">
        <v>74</v>
      </c>
      <c r="T195" t="s">
        <v>74</v>
      </c>
      <c r="U195" t="s">
        <v>4073</v>
      </c>
      <c r="V195" t="s">
        <v>4074</v>
      </c>
      <c r="W195" t="s">
        <v>4075</v>
      </c>
      <c r="X195" t="s">
        <v>4076</v>
      </c>
      <c r="Y195" t="s">
        <v>4077</v>
      </c>
      <c r="Z195" t="s">
        <v>4078</v>
      </c>
      <c r="AA195" t="s">
        <v>4079</v>
      </c>
      <c r="AB195" t="s">
        <v>4080</v>
      </c>
      <c r="AC195" t="s">
        <v>4081</v>
      </c>
      <c r="AD195" t="s">
        <v>4082</v>
      </c>
      <c r="AE195" t="s">
        <v>4083</v>
      </c>
      <c r="AF195" t="s">
        <v>74</v>
      </c>
      <c r="AG195">
        <v>45</v>
      </c>
      <c r="AH195">
        <v>58</v>
      </c>
      <c r="AI195">
        <v>71</v>
      </c>
      <c r="AJ195">
        <v>1</v>
      </c>
      <c r="AK195">
        <v>79</v>
      </c>
      <c r="AL195" t="s">
        <v>4084</v>
      </c>
      <c r="AM195" t="s">
        <v>4085</v>
      </c>
      <c r="AN195" t="s">
        <v>4086</v>
      </c>
      <c r="AO195" t="s">
        <v>4087</v>
      </c>
      <c r="AP195" t="s">
        <v>74</v>
      </c>
      <c r="AQ195" t="s">
        <v>74</v>
      </c>
      <c r="AR195" t="s">
        <v>4072</v>
      </c>
      <c r="AS195" t="s">
        <v>4088</v>
      </c>
      <c r="AT195" t="s">
        <v>4089</v>
      </c>
      <c r="AU195">
        <v>2013</v>
      </c>
      <c r="AV195">
        <v>8</v>
      </c>
      <c r="AW195">
        <v>12</v>
      </c>
      <c r="AX195" t="s">
        <v>74</v>
      </c>
      <c r="AY195" t="s">
        <v>74</v>
      </c>
      <c r="AZ195" t="s">
        <v>74</v>
      </c>
      <c r="BA195" t="s">
        <v>74</v>
      </c>
      <c r="BB195" t="s">
        <v>74</v>
      </c>
      <c r="BC195" t="s">
        <v>74</v>
      </c>
      <c r="BD195" t="s">
        <v>4090</v>
      </c>
      <c r="BE195" t="s">
        <v>4091</v>
      </c>
      <c r="BF195" t="str">
        <f>HYPERLINK("http://dx.doi.org/10.1371/journal.pone.0083655","http://dx.doi.org/10.1371/journal.pone.0083655")</f>
        <v>http://dx.doi.org/10.1371/journal.pone.0083655</v>
      </c>
      <c r="BG195" t="s">
        <v>74</v>
      </c>
      <c r="BH195" t="s">
        <v>74</v>
      </c>
      <c r="BI195">
        <v>8</v>
      </c>
      <c r="BJ195" t="s">
        <v>2652</v>
      </c>
      <c r="BK195" t="s">
        <v>99</v>
      </c>
      <c r="BL195" t="s">
        <v>2653</v>
      </c>
      <c r="BM195" t="s">
        <v>4092</v>
      </c>
      <c r="BN195">
        <v>24386245</v>
      </c>
      <c r="BO195" t="s">
        <v>4093</v>
      </c>
      <c r="BP195" t="s">
        <v>74</v>
      </c>
      <c r="BQ195" t="s">
        <v>74</v>
      </c>
      <c r="BR195" t="s">
        <v>103</v>
      </c>
      <c r="BS195" t="s">
        <v>4094</v>
      </c>
      <c r="BT195" t="str">
        <f>HYPERLINK("https%3A%2F%2Fwww.webofscience.com%2Fwos%2Fwoscc%2Ffull-record%2FWOS:000329194700055","View Full Record in Web of Science")</f>
        <v>View Full Record in Web of Science</v>
      </c>
    </row>
    <row r="196" spans="1:72" x14ac:dyDescent="0.15">
      <c r="A196" t="s">
        <v>72</v>
      </c>
      <c r="B196" t="s">
        <v>4095</v>
      </c>
      <c r="C196" t="s">
        <v>74</v>
      </c>
      <c r="D196" t="s">
        <v>74</v>
      </c>
      <c r="E196" t="s">
        <v>74</v>
      </c>
      <c r="F196" t="s">
        <v>4096</v>
      </c>
      <c r="G196" t="s">
        <v>74</v>
      </c>
      <c r="H196" t="s">
        <v>74</v>
      </c>
      <c r="I196" t="s">
        <v>4097</v>
      </c>
      <c r="J196" t="s">
        <v>4098</v>
      </c>
      <c r="K196" t="s">
        <v>74</v>
      </c>
      <c r="L196" t="s">
        <v>74</v>
      </c>
      <c r="M196" t="s">
        <v>78</v>
      </c>
      <c r="N196" t="s">
        <v>79</v>
      </c>
      <c r="O196" t="s">
        <v>74</v>
      </c>
      <c r="P196" t="s">
        <v>74</v>
      </c>
      <c r="Q196" t="s">
        <v>74</v>
      </c>
      <c r="R196" t="s">
        <v>74</v>
      </c>
      <c r="S196" t="s">
        <v>74</v>
      </c>
      <c r="T196" t="s">
        <v>4099</v>
      </c>
      <c r="U196" t="s">
        <v>4100</v>
      </c>
      <c r="V196" t="s">
        <v>4101</v>
      </c>
      <c r="W196" t="s">
        <v>4102</v>
      </c>
      <c r="X196" t="s">
        <v>4103</v>
      </c>
      <c r="Y196" t="s">
        <v>4104</v>
      </c>
      <c r="Z196" t="s">
        <v>4105</v>
      </c>
      <c r="AA196" t="s">
        <v>4106</v>
      </c>
      <c r="AB196" t="s">
        <v>4107</v>
      </c>
      <c r="AC196" t="s">
        <v>4108</v>
      </c>
      <c r="AD196" t="s">
        <v>4108</v>
      </c>
      <c r="AE196" t="s">
        <v>4109</v>
      </c>
      <c r="AF196" t="s">
        <v>74</v>
      </c>
      <c r="AG196">
        <v>34</v>
      </c>
      <c r="AH196">
        <v>8</v>
      </c>
      <c r="AI196">
        <v>8</v>
      </c>
      <c r="AJ196">
        <v>0</v>
      </c>
      <c r="AK196">
        <v>12</v>
      </c>
      <c r="AL196" t="s">
        <v>4110</v>
      </c>
      <c r="AM196" t="s">
        <v>4111</v>
      </c>
      <c r="AN196" t="s">
        <v>4112</v>
      </c>
      <c r="AO196" t="s">
        <v>4113</v>
      </c>
      <c r="AP196" t="s">
        <v>74</v>
      </c>
      <c r="AQ196" t="s">
        <v>74</v>
      </c>
      <c r="AR196" t="s">
        <v>4114</v>
      </c>
      <c r="AS196" t="s">
        <v>4115</v>
      </c>
      <c r="AT196" t="s">
        <v>4116</v>
      </c>
      <c r="AU196">
        <v>2013</v>
      </c>
      <c r="AV196">
        <v>105</v>
      </c>
      <c r="AW196">
        <v>12</v>
      </c>
      <c r="AX196" t="s">
        <v>74</v>
      </c>
      <c r="AY196" t="s">
        <v>74</v>
      </c>
      <c r="AZ196" t="s">
        <v>74</v>
      </c>
      <c r="BA196" t="s">
        <v>74</v>
      </c>
      <c r="BB196">
        <v>1724</v>
      </c>
      <c r="BC196">
        <v>1729</v>
      </c>
      <c r="BD196" t="s">
        <v>74</v>
      </c>
      <c r="BE196" t="s">
        <v>74</v>
      </c>
      <c r="BF196" t="s">
        <v>74</v>
      </c>
      <c r="BG196" t="s">
        <v>74</v>
      </c>
      <c r="BH196" t="s">
        <v>74</v>
      </c>
      <c r="BI196">
        <v>6</v>
      </c>
      <c r="BJ196" t="s">
        <v>2652</v>
      </c>
      <c r="BK196" t="s">
        <v>99</v>
      </c>
      <c r="BL196" t="s">
        <v>2653</v>
      </c>
      <c r="BM196" t="s">
        <v>4117</v>
      </c>
      <c r="BN196" t="s">
        <v>74</v>
      </c>
      <c r="BO196" t="s">
        <v>74</v>
      </c>
      <c r="BP196" t="s">
        <v>74</v>
      </c>
      <c r="BQ196" t="s">
        <v>74</v>
      </c>
      <c r="BR196" t="s">
        <v>103</v>
      </c>
      <c r="BS196" t="s">
        <v>4118</v>
      </c>
      <c r="BT196" t="str">
        <f>HYPERLINK("https%3A%2F%2Fwww.webofscience.com%2Fwos%2Fwoscc%2Ffull-record%2FWOS:000330037600023","View Full Record in Web of Science")</f>
        <v>View Full Record in Web of Science</v>
      </c>
    </row>
    <row r="197" spans="1:72" x14ac:dyDescent="0.15">
      <c r="A197" t="s">
        <v>72</v>
      </c>
      <c r="B197" t="s">
        <v>4119</v>
      </c>
      <c r="C197" t="s">
        <v>74</v>
      </c>
      <c r="D197" t="s">
        <v>74</v>
      </c>
      <c r="E197" t="s">
        <v>74</v>
      </c>
      <c r="F197" t="s">
        <v>4120</v>
      </c>
      <c r="G197" t="s">
        <v>74</v>
      </c>
      <c r="H197" t="s">
        <v>74</v>
      </c>
      <c r="I197" t="s">
        <v>4121</v>
      </c>
      <c r="J197" t="s">
        <v>4122</v>
      </c>
      <c r="K197" t="s">
        <v>74</v>
      </c>
      <c r="L197" t="s">
        <v>74</v>
      </c>
      <c r="M197" t="s">
        <v>78</v>
      </c>
      <c r="N197" t="s">
        <v>79</v>
      </c>
      <c r="O197" t="s">
        <v>74</v>
      </c>
      <c r="P197" t="s">
        <v>74</v>
      </c>
      <c r="Q197" t="s">
        <v>74</v>
      </c>
      <c r="R197" t="s">
        <v>74</v>
      </c>
      <c r="S197" t="s">
        <v>74</v>
      </c>
      <c r="T197" t="s">
        <v>4123</v>
      </c>
      <c r="U197" t="s">
        <v>4124</v>
      </c>
      <c r="V197" t="s">
        <v>4125</v>
      </c>
      <c r="W197" t="s">
        <v>4126</v>
      </c>
      <c r="X197" t="s">
        <v>4127</v>
      </c>
      <c r="Y197" t="s">
        <v>4128</v>
      </c>
      <c r="Z197" t="s">
        <v>4129</v>
      </c>
      <c r="AA197" t="s">
        <v>4130</v>
      </c>
      <c r="AB197" t="s">
        <v>4131</v>
      </c>
      <c r="AC197" t="s">
        <v>4132</v>
      </c>
      <c r="AD197" t="s">
        <v>4133</v>
      </c>
      <c r="AE197" t="s">
        <v>4134</v>
      </c>
      <c r="AF197" t="s">
        <v>74</v>
      </c>
      <c r="AG197">
        <v>18</v>
      </c>
      <c r="AH197">
        <v>24</v>
      </c>
      <c r="AI197">
        <v>27</v>
      </c>
      <c r="AJ197">
        <v>9</v>
      </c>
      <c r="AK197">
        <v>104</v>
      </c>
      <c r="AL197" t="s">
        <v>4135</v>
      </c>
      <c r="AM197" t="s">
        <v>849</v>
      </c>
      <c r="AN197" t="s">
        <v>4136</v>
      </c>
      <c r="AO197" t="s">
        <v>4137</v>
      </c>
      <c r="AP197" t="s">
        <v>4138</v>
      </c>
      <c r="AQ197" t="s">
        <v>74</v>
      </c>
      <c r="AR197" t="s">
        <v>4139</v>
      </c>
      <c r="AS197" t="s">
        <v>4140</v>
      </c>
      <c r="AT197" t="s">
        <v>4141</v>
      </c>
      <c r="AU197">
        <v>2013</v>
      </c>
      <c r="AV197">
        <v>9</v>
      </c>
      <c r="AW197">
        <v>6</v>
      </c>
      <c r="AX197" t="s">
        <v>74</v>
      </c>
      <c r="AY197" t="s">
        <v>74</v>
      </c>
      <c r="AZ197" t="s">
        <v>74</v>
      </c>
      <c r="BA197" t="s">
        <v>74</v>
      </c>
      <c r="BB197" t="s">
        <v>74</v>
      </c>
      <c r="BC197" t="s">
        <v>74</v>
      </c>
      <c r="BD197">
        <v>20130748</v>
      </c>
      <c r="BE197" t="s">
        <v>4142</v>
      </c>
      <c r="BF197" t="str">
        <f>HYPERLINK("http://dx.doi.org/10.1098/rsbl.2013.0748","http://dx.doi.org/10.1098/rsbl.2013.0748")</f>
        <v>http://dx.doi.org/10.1098/rsbl.2013.0748</v>
      </c>
      <c r="BG197" t="s">
        <v>74</v>
      </c>
      <c r="BH197" t="s">
        <v>74</v>
      </c>
      <c r="BI197">
        <v>4</v>
      </c>
      <c r="BJ197" t="s">
        <v>4143</v>
      </c>
      <c r="BK197" t="s">
        <v>99</v>
      </c>
      <c r="BL197" t="s">
        <v>4144</v>
      </c>
      <c r="BM197" t="s">
        <v>4145</v>
      </c>
      <c r="BN197">
        <v>24227045</v>
      </c>
      <c r="BO197" t="s">
        <v>1648</v>
      </c>
      <c r="BP197" t="s">
        <v>74</v>
      </c>
      <c r="BQ197" t="s">
        <v>74</v>
      </c>
      <c r="BR197" t="s">
        <v>103</v>
      </c>
      <c r="BS197" t="s">
        <v>4146</v>
      </c>
      <c r="BT197" t="str">
        <f>HYPERLINK("https%3A%2F%2Fwww.webofscience.com%2Fwos%2Fwoscc%2Ffull-record%2FWOS:000330290400032","View Full Record in Web of Science")</f>
        <v>View Full Record in Web of Science</v>
      </c>
    </row>
    <row r="198" spans="1:72" x14ac:dyDescent="0.15">
      <c r="A198" t="s">
        <v>72</v>
      </c>
      <c r="B198" t="s">
        <v>4147</v>
      </c>
      <c r="C198" t="s">
        <v>74</v>
      </c>
      <c r="D198" t="s">
        <v>74</v>
      </c>
      <c r="E198" t="s">
        <v>74</v>
      </c>
      <c r="F198" t="s">
        <v>4148</v>
      </c>
      <c r="G198" t="s">
        <v>74</v>
      </c>
      <c r="H198" t="s">
        <v>74</v>
      </c>
      <c r="I198" t="s">
        <v>4149</v>
      </c>
      <c r="J198" t="s">
        <v>4150</v>
      </c>
      <c r="K198" t="s">
        <v>74</v>
      </c>
      <c r="L198" t="s">
        <v>74</v>
      </c>
      <c r="M198" t="s">
        <v>78</v>
      </c>
      <c r="N198" t="s">
        <v>79</v>
      </c>
      <c r="O198" t="s">
        <v>74</v>
      </c>
      <c r="P198" t="s">
        <v>74</v>
      </c>
      <c r="Q198" t="s">
        <v>74</v>
      </c>
      <c r="R198" t="s">
        <v>74</v>
      </c>
      <c r="S198" t="s">
        <v>74</v>
      </c>
      <c r="T198" t="s">
        <v>4151</v>
      </c>
      <c r="U198" t="s">
        <v>4152</v>
      </c>
      <c r="V198" t="s">
        <v>4153</v>
      </c>
      <c r="W198" t="s">
        <v>4154</v>
      </c>
      <c r="X198" t="s">
        <v>4155</v>
      </c>
      <c r="Y198" t="s">
        <v>4156</v>
      </c>
      <c r="Z198" t="s">
        <v>4157</v>
      </c>
      <c r="AA198" t="s">
        <v>4158</v>
      </c>
      <c r="AB198" t="s">
        <v>4159</v>
      </c>
      <c r="AC198" t="s">
        <v>4160</v>
      </c>
      <c r="AD198" t="s">
        <v>4161</v>
      </c>
      <c r="AE198" t="s">
        <v>4162</v>
      </c>
      <c r="AF198" t="s">
        <v>74</v>
      </c>
      <c r="AG198">
        <v>97</v>
      </c>
      <c r="AH198">
        <v>10</v>
      </c>
      <c r="AI198">
        <v>10</v>
      </c>
      <c r="AJ198">
        <v>0</v>
      </c>
      <c r="AK198">
        <v>27</v>
      </c>
      <c r="AL198" t="s">
        <v>4163</v>
      </c>
      <c r="AM198" t="s">
        <v>849</v>
      </c>
      <c r="AN198" t="s">
        <v>4164</v>
      </c>
      <c r="AO198" t="s">
        <v>4165</v>
      </c>
      <c r="AP198" t="s">
        <v>4166</v>
      </c>
      <c r="AQ198" t="s">
        <v>74</v>
      </c>
      <c r="AR198" t="s">
        <v>4167</v>
      </c>
      <c r="AS198" t="s">
        <v>4168</v>
      </c>
      <c r="AT198" t="s">
        <v>4169</v>
      </c>
      <c r="AU198">
        <v>2013</v>
      </c>
      <c r="AV198">
        <v>135</v>
      </c>
      <c r="AW198" t="s">
        <v>74</v>
      </c>
      <c r="AX198" t="s">
        <v>74</v>
      </c>
      <c r="AY198" t="s">
        <v>74</v>
      </c>
      <c r="AZ198" t="s">
        <v>74</v>
      </c>
      <c r="BA198" t="s">
        <v>74</v>
      </c>
      <c r="BB198">
        <v>285</v>
      </c>
      <c r="BC198">
        <v>295</v>
      </c>
      <c r="BD198" t="s">
        <v>74</v>
      </c>
      <c r="BE198" t="s">
        <v>4170</v>
      </c>
      <c r="BF198" t="str">
        <f>HYPERLINK("http://dx.doi.org/10.1016/j.ecss.2013.10.027","http://dx.doi.org/10.1016/j.ecss.2013.10.027")</f>
        <v>http://dx.doi.org/10.1016/j.ecss.2013.10.027</v>
      </c>
      <c r="BG198" t="s">
        <v>74</v>
      </c>
      <c r="BH198" t="s">
        <v>74</v>
      </c>
      <c r="BI198">
        <v>11</v>
      </c>
      <c r="BJ198" t="s">
        <v>2266</v>
      </c>
      <c r="BK198" t="s">
        <v>99</v>
      </c>
      <c r="BL198" t="s">
        <v>2266</v>
      </c>
      <c r="BM198" t="s">
        <v>4171</v>
      </c>
      <c r="BN198" t="s">
        <v>74</v>
      </c>
      <c r="BO198" t="s">
        <v>74</v>
      </c>
      <c r="BP198" t="s">
        <v>74</v>
      </c>
      <c r="BQ198" t="s">
        <v>74</v>
      </c>
      <c r="BR198" t="s">
        <v>103</v>
      </c>
      <c r="BS198" t="s">
        <v>4172</v>
      </c>
      <c r="BT198" t="str">
        <f>HYPERLINK("https%3A%2F%2Fwww.webofscience.com%2Fwos%2Fwoscc%2Ffull-record%2FWOS:000328871300030","View Full Record in Web of Science")</f>
        <v>View Full Record in Web of Science</v>
      </c>
    </row>
    <row r="199" spans="1:72" x14ac:dyDescent="0.15">
      <c r="A199" t="s">
        <v>72</v>
      </c>
      <c r="B199" t="s">
        <v>4173</v>
      </c>
      <c r="C199" t="s">
        <v>74</v>
      </c>
      <c r="D199" t="s">
        <v>74</v>
      </c>
      <c r="E199" t="s">
        <v>74</v>
      </c>
      <c r="F199" t="s">
        <v>4174</v>
      </c>
      <c r="G199" t="s">
        <v>74</v>
      </c>
      <c r="H199" t="s">
        <v>74</v>
      </c>
      <c r="I199" t="s">
        <v>4175</v>
      </c>
      <c r="J199" t="s">
        <v>4072</v>
      </c>
      <c r="K199" t="s">
        <v>74</v>
      </c>
      <c r="L199" t="s">
        <v>74</v>
      </c>
      <c r="M199" t="s">
        <v>78</v>
      </c>
      <c r="N199" t="s">
        <v>79</v>
      </c>
      <c r="O199" t="s">
        <v>74</v>
      </c>
      <c r="P199" t="s">
        <v>74</v>
      </c>
      <c r="Q199" t="s">
        <v>74</v>
      </c>
      <c r="R199" t="s">
        <v>74</v>
      </c>
      <c r="S199" t="s">
        <v>74</v>
      </c>
      <c r="T199" t="s">
        <v>74</v>
      </c>
      <c r="U199" t="s">
        <v>4176</v>
      </c>
      <c r="V199" t="s">
        <v>4177</v>
      </c>
      <c r="W199" t="s">
        <v>4178</v>
      </c>
      <c r="X199" t="s">
        <v>4179</v>
      </c>
      <c r="Y199" t="s">
        <v>4180</v>
      </c>
      <c r="Z199" t="s">
        <v>4181</v>
      </c>
      <c r="AA199" t="s">
        <v>4182</v>
      </c>
      <c r="AB199" t="s">
        <v>4183</v>
      </c>
      <c r="AC199" t="s">
        <v>4184</v>
      </c>
      <c r="AD199" t="s">
        <v>4184</v>
      </c>
      <c r="AE199" t="s">
        <v>4185</v>
      </c>
      <c r="AF199" t="s">
        <v>74</v>
      </c>
      <c r="AG199">
        <v>46</v>
      </c>
      <c r="AH199">
        <v>18</v>
      </c>
      <c r="AI199">
        <v>20</v>
      </c>
      <c r="AJ199">
        <v>0</v>
      </c>
      <c r="AK199">
        <v>26</v>
      </c>
      <c r="AL199" t="s">
        <v>4084</v>
      </c>
      <c r="AM199" t="s">
        <v>4085</v>
      </c>
      <c r="AN199" t="s">
        <v>4086</v>
      </c>
      <c r="AO199" t="s">
        <v>4087</v>
      </c>
      <c r="AP199" t="s">
        <v>74</v>
      </c>
      <c r="AQ199" t="s">
        <v>74</v>
      </c>
      <c r="AR199" t="s">
        <v>4072</v>
      </c>
      <c r="AS199" t="s">
        <v>4088</v>
      </c>
      <c r="AT199" t="s">
        <v>4169</v>
      </c>
      <c r="AU199">
        <v>2013</v>
      </c>
      <c r="AV199">
        <v>8</v>
      </c>
      <c r="AW199">
        <v>12</v>
      </c>
      <c r="AX199" t="s">
        <v>74</v>
      </c>
      <c r="AY199" t="s">
        <v>74</v>
      </c>
      <c r="AZ199" t="s">
        <v>74</v>
      </c>
      <c r="BA199" t="s">
        <v>74</v>
      </c>
      <c r="BB199" t="s">
        <v>74</v>
      </c>
      <c r="BC199" t="s">
        <v>74</v>
      </c>
      <c r="BD199" t="s">
        <v>4186</v>
      </c>
      <c r="BE199" t="s">
        <v>4187</v>
      </c>
      <c r="BF199" t="str">
        <f>HYPERLINK("http://dx.doi.org/10.1371/journal.pone.0084527","http://dx.doi.org/10.1371/journal.pone.0084527")</f>
        <v>http://dx.doi.org/10.1371/journal.pone.0084527</v>
      </c>
      <c r="BG199" t="s">
        <v>74</v>
      </c>
      <c r="BH199" t="s">
        <v>74</v>
      </c>
      <c r="BI199">
        <v>11</v>
      </c>
      <c r="BJ199" t="s">
        <v>2652</v>
      </c>
      <c r="BK199" t="s">
        <v>99</v>
      </c>
      <c r="BL199" t="s">
        <v>2653</v>
      </c>
      <c r="BM199" t="s">
        <v>4188</v>
      </c>
      <c r="BN199">
        <v>24376821</v>
      </c>
      <c r="BO199" t="s">
        <v>3000</v>
      </c>
      <c r="BP199" t="s">
        <v>74</v>
      </c>
      <c r="BQ199" t="s">
        <v>74</v>
      </c>
      <c r="BR199" t="s">
        <v>103</v>
      </c>
      <c r="BS199" t="s">
        <v>4189</v>
      </c>
      <c r="BT199" t="str">
        <f>HYPERLINK("https%3A%2F%2Fwww.webofscience.com%2Fwos%2Fwoscc%2Ffull-record%2FWOS:000328745100173","View Full Record in Web of Science")</f>
        <v>View Full Record in Web of Science</v>
      </c>
    </row>
    <row r="200" spans="1:72" x14ac:dyDescent="0.15">
      <c r="A200" t="s">
        <v>72</v>
      </c>
      <c r="B200" t="s">
        <v>4190</v>
      </c>
      <c r="C200" t="s">
        <v>74</v>
      </c>
      <c r="D200" t="s">
        <v>74</v>
      </c>
      <c r="E200" t="s">
        <v>74</v>
      </c>
      <c r="F200" t="s">
        <v>4191</v>
      </c>
      <c r="G200" t="s">
        <v>74</v>
      </c>
      <c r="H200" t="s">
        <v>74</v>
      </c>
      <c r="I200" t="s">
        <v>4192</v>
      </c>
      <c r="J200" t="s">
        <v>4193</v>
      </c>
      <c r="K200" t="s">
        <v>74</v>
      </c>
      <c r="L200" t="s">
        <v>74</v>
      </c>
      <c r="M200" t="s">
        <v>78</v>
      </c>
      <c r="N200" t="s">
        <v>79</v>
      </c>
      <c r="O200" t="s">
        <v>74</v>
      </c>
      <c r="P200" t="s">
        <v>74</v>
      </c>
      <c r="Q200" t="s">
        <v>74</v>
      </c>
      <c r="R200" t="s">
        <v>74</v>
      </c>
      <c r="S200" t="s">
        <v>74</v>
      </c>
      <c r="T200" t="s">
        <v>4194</v>
      </c>
      <c r="U200" t="s">
        <v>4195</v>
      </c>
      <c r="V200" t="s">
        <v>4196</v>
      </c>
      <c r="W200" t="s">
        <v>4197</v>
      </c>
      <c r="X200" t="s">
        <v>4198</v>
      </c>
      <c r="Y200" t="s">
        <v>4199</v>
      </c>
      <c r="Z200" t="s">
        <v>4200</v>
      </c>
      <c r="AA200" t="s">
        <v>4201</v>
      </c>
      <c r="AB200" t="s">
        <v>4202</v>
      </c>
      <c r="AC200" t="s">
        <v>4203</v>
      </c>
      <c r="AD200" t="s">
        <v>4204</v>
      </c>
      <c r="AE200" t="s">
        <v>4205</v>
      </c>
      <c r="AF200" t="s">
        <v>74</v>
      </c>
      <c r="AG200">
        <v>50</v>
      </c>
      <c r="AH200">
        <v>73</v>
      </c>
      <c r="AI200">
        <v>80</v>
      </c>
      <c r="AJ200">
        <v>0</v>
      </c>
      <c r="AK200">
        <v>12</v>
      </c>
      <c r="AL200" t="s">
        <v>4206</v>
      </c>
      <c r="AM200" t="s">
        <v>4207</v>
      </c>
      <c r="AN200" t="s">
        <v>4208</v>
      </c>
      <c r="AO200" t="s">
        <v>4209</v>
      </c>
      <c r="AP200" t="s">
        <v>4210</v>
      </c>
      <c r="AQ200" t="s">
        <v>74</v>
      </c>
      <c r="AR200" t="s">
        <v>4211</v>
      </c>
      <c r="AS200" t="s">
        <v>4212</v>
      </c>
      <c r="AT200" t="s">
        <v>4169</v>
      </c>
      <c r="AU200">
        <v>2013</v>
      </c>
      <c r="AV200">
        <v>779</v>
      </c>
      <c r="AW200">
        <v>2</v>
      </c>
      <c r="AX200" t="s">
        <v>74</v>
      </c>
      <c r="AY200" t="s">
        <v>74</v>
      </c>
      <c r="AZ200" t="s">
        <v>74</v>
      </c>
      <c r="BA200" t="s">
        <v>74</v>
      </c>
      <c r="BB200" t="s">
        <v>74</v>
      </c>
      <c r="BC200" t="s">
        <v>74</v>
      </c>
      <c r="BD200" t="s">
        <v>4213</v>
      </c>
      <c r="BE200" t="s">
        <v>4214</v>
      </c>
      <c r="BF200" t="str">
        <f>HYPERLINK("http://dx.doi.org/10.1088/2041-8205/779/2/L25","http://dx.doi.org/10.1088/2041-8205/779/2/L25")</f>
        <v>http://dx.doi.org/10.1088/2041-8205/779/2/L25</v>
      </c>
      <c r="BG200" t="s">
        <v>74</v>
      </c>
      <c r="BH200" t="s">
        <v>74</v>
      </c>
      <c r="BI200">
        <v>4</v>
      </c>
      <c r="BJ200" t="s">
        <v>1705</v>
      </c>
      <c r="BK200" t="s">
        <v>99</v>
      </c>
      <c r="BL200" t="s">
        <v>1705</v>
      </c>
      <c r="BM200" t="s">
        <v>4215</v>
      </c>
      <c r="BN200" t="s">
        <v>74</v>
      </c>
      <c r="BO200" t="s">
        <v>1733</v>
      </c>
      <c r="BP200" t="s">
        <v>74</v>
      </c>
      <c r="BQ200" t="s">
        <v>74</v>
      </c>
      <c r="BR200" t="s">
        <v>103</v>
      </c>
      <c r="BS200" t="s">
        <v>4216</v>
      </c>
      <c r="BT200" t="str">
        <f>HYPERLINK("https%3A%2F%2Fwww.webofscience.com%2Fwos%2Fwoscc%2Ffull-record%2FWOS:000328260900011","View Full Record in Web of Science")</f>
        <v>View Full Record in Web of Science</v>
      </c>
    </row>
    <row r="201" spans="1:72" x14ac:dyDescent="0.15">
      <c r="A201" t="s">
        <v>72</v>
      </c>
      <c r="B201" t="s">
        <v>4217</v>
      </c>
      <c r="C201" t="s">
        <v>74</v>
      </c>
      <c r="D201" t="s">
        <v>74</v>
      </c>
      <c r="E201" t="s">
        <v>74</v>
      </c>
      <c r="F201" t="s">
        <v>4218</v>
      </c>
      <c r="G201" t="s">
        <v>74</v>
      </c>
      <c r="H201" t="s">
        <v>74</v>
      </c>
      <c r="I201" t="s">
        <v>4219</v>
      </c>
      <c r="J201" t="s">
        <v>4220</v>
      </c>
      <c r="K201" t="s">
        <v>74</v>
      </c>
      <c r="L201" t="s">
        <v>74</v>
      </c>
      <c r="M201" t="s">
        <v>78</v>
      </c>
      <c r="N201" t="s">
        <v>79</v>
      </c>
      <c r="O201" t="s">
        <v>74</v>
      </c>
      <c r="P201" t="s">
        <v>74</v>
      </c>
      <c r="Q201" t="s">
        <v>74</v>
      </c>
      <c r="R201" t="s">
        <v>74</v>
      </c>
      <c r="S201" t="s">
        <v>74</v>
      </c>
      <c r="T201" t="s">
        <v>4221</v>
      </c>
      <c r="U201" t="s">
        <v>4222</v>
      </c>
      <c r="V201" t="s">
        <v>4223</v>
      </c>
      <c r="W201" t="s">
        <v>4224</v>
      </c>
      <c r="X201" t="s">
        <v>4225</v>
      </c>
      <c r="Y201" t="s">
        <v>4226</v>
      </c>
      <c r="Z201" t="s">
        <v>4227</v>
      </c>
      <c r="AA201" t="s">
        <v>4228</v>
      </c>
      <c r="AB201" t="s">
        <v>4229</v>
      </c>
      <c r="AC201" t="s">
        <v>4230</v>
      </c>
      <c r="AD201" t="s">
        <v>4231</v>
      </c>
      <c r="AE201" t="s">
        <v>4232</v>
      </c>
      <c r="AF201" t="s">
        <v>74</v>
      </c>
      <c r="AG201">
        <v>36</v>
      </c>
      <c r="AH201">
        <v>34</v>
      </c>
      <c r="AI201">
        <v>36</v>
      </c>
      <c r="AJ201">
        <v>2</v>
      </c>
      <c r="AK201">
        <v>23</v>
      </c>
      <c r="AL201" t="s">
        <v>304</v>
      </c>
      <c r="AM201" t="s">
        <v>305</v>
      </c>
      <c r="AN201" t="s">
        <v>306</v>
      </c>
      <c r="AO201" t="s">
        <v>4233</v>
      </c>
      <c r="AP201" t="s">
        <v>4234</v>
      </c>
      <c r="AQ201" t="s">
        <v>74</v>
      </c>
      <c r="AR201" t="s">
        <v>4235</v>
      </c>
      <c r="AS201" t="s">
        <v>4236</v>
      </c>
      <c r="AT201" t="s">
        <v>4169</v>
      </c>
      <c r="AU201">
        <v>2013</v>
      </c>
      <c r="AV201">
        <v>157</v>
      </c>
      <c r="AW201" t="s">
        <v>74</v>
      </c>
      <c r="AX201" t="s">
        <v>74</v>
      </c>
      <c r="AY201" t="s">
        <v>74</v>
      </c>
      <c r="AZ201" t="s">
        <v>74</v>
      </c>
      <c r="BA201" t="s">
        <v>74</v>
      </c>
      <c r="BB201">
        <v>144</v>
      </c>
      <c r="BC201">
        <v>161</v>
      </c>
      <c r="BD201" t="s">
        <v>74</v>
      </c>
      <c r="BE201" t="s">
        <v>4237</v>
      </c>
      <c r="BF201" t="str">
        <f>HYPERLINK("http://dx.doi.org/10.1016/j.marchem.2013.10.001","http://dx.doi.org/10.1016/j.marchem.2013.10.001")</f>
        <v>http://dx.doi.org/10.1016/j.marchem.2013.10.001</v>
      </c>
      <c r="BG201" t="s">
        <v>74</v>
      </c>
      <c r="BH201" t="s">
        <v>74</v>
      </c>
      <c r="BI201">
        <v>18</v>
      </c>
      <c r="BJ201" t="s">
        <v>4238</v>
      </c>
      <c r="BK201" t="s">
        <v>99</v>
      </c>
      <c r="BL201" t="s">
        <v>4239</v>
      </c>
      <c r="BM201" t="s">
        <v>4240</v>
      </c>
      <c r="BN201" t="s">
        <v>74</v>
      </c>
      <c r="BO201" t="s">
        <v>74</v>
      </c>
      <c r="BP201" t="s">
        <v>74</v>
      </c>
      <c r="BQ201" t="s">
        <v>74</v>
      </c>
      <c r="BR201" t="s">
        <v>103</v>
      </c>
      <c r="BS201" t="s">
        <v>4241</v>
      </c>
      <c r="BT201" t="str">
        <f>HYPERLINK("https%3A%2F%2Fwww.webofscience.com%2Fwos%2Fwoscc%2Ffull-record%2FWOS:000329271700014","View Full Record in Web of Science")</f>
        <v>View Full Record in Web of Science</v>
      </c>
    </row>
    <row r="202" spans="1:72" x14ac:dyDescent="0.15">
      <c r="A202" t="s">
        <v>72</v>
      </c>
      <c r="B202" t="s">
        <v>4242</v>
      </c>
      <c r="C202" t="s">
        <v>74</v>
      </c>
      <c r="D202" t="s">
        <v>74</v>
      </c>
      <c r="E202" t="s">
        <v>74</v>
      </c>
      <c r="F202" t="s">
        <v>4243</v>
      </c>
      <c r="G202" t="s">
        <v>74</v>
      </c>
      <c r="H202" t="s">
        <v>74</v>
      </c>
      <c r="I202" t="s">
        <v>4244</v>
      </c>
      <c r="J202" t="s">
        <v>4245</v>
      </c>
      <c r="K202" t="s">
        <v>74</v>
      </c>
      <c r="L202" t="s">
        <v>74</v>
      </c>
      <c r="M202" t="s">
        <v>78</v>
      </c>
      <c r="N202" t="s">
        <v>2830</v>
      </c>
      <c r="O202" t="s">
        <v>74</v>
      </c>
      <c r="P202" t="s">
        <v>74</v>
      </c>
      <c r="Q202" t="s">
        <v>74</v>
      </c>
      <c r="R202" t="s">
        <v>74</v>
      </c>
      <c r="S202" t="s">
        <v>74</v>
      </c>
      <c r="T202" t="s">
        <v>74</v>
      </c>
      <c r="U202" t="s">
        <v>74</v>
      </c>
      <c r="V202" t="s">
        <v>74</v>
      </c>
      <c r="W202" t="s">
        <v>4246</v>
      </c>
      <c r="X202" t="s">
        <v>4247</v>
      </c>
      <c r="Y202" t="s">
        <v>74</v>
      </c>
      <c r="Z202" t="s">
        <v>4248</v>
      </c>
      <c r="AA202" t="s">
        <v>74</v>
      </c>
      <c r="AB202" t="s">
        <v>74</v>
      </c>
      <c r="AC202" t="s">
        <v>4249</v>
      </c>
      <c r="AD202" t="s">
        <v>1747</v>
      </c>
      <c r="AE202" t="s">
        <v>74</v>
      </c>
      <c r="AF202" t="s">
        <v>74</v>
      </c>
      <c r="AG202">
        <v>13</v>
      </c>
      <c r="AH202">
        <v>2</v>
      </c>
      <c r="AI202">
        <v>2</v>
      </c>
      <c r="AJ202">
        <v>0</v>
      </c>
      <c r="AK202">
        <v>2</v>
      </c>
      <c r="AL202" t="s">
        <v>4250</v>
      </c>
      <c r="AM202" t="s">
        <v>849</v>
      </c>
      <c r="AN202" t="s">
        <v>4251</v>
      </c>
      <c r="AO202" t="s">
        <v>4252</v>
      </c>
      <c r="AP202" t="s">
        <v>74</v>
      </c>
      <c r="AQ202" t="s">
        <v>74</v>
      </c>
      <c r="AR202" t="s">
        <v>4253</v>
      </c>
      <c r="AS202" t="s">
        <v>4254</v>
      </c>
      <c r="AT202" t="s">
        <v>4255</v>
      </c>
      <c r="AU202">
        <v>2013</v>
      </c>
      <c r="AV202">
        <v>347</v>
      </c>
      <c r="AW202" t="s">
        <v>74</v>
      </c>
      <c r="AX202" t="s">
        <v>74</v>
      </c>
      <c r="AY202" t="s">
        <v>74</v>
      </c>
      <c r="AZ202" t="s">
        <v>74</v>
      </c>
      <c r="BA202" t="s">
        <v>74</v>
      </c>
      <c r="BB202" t="s">
        <v>74</v>
      </c>
      <c r="BC202" t="s">
        <v>74</v>
      </c>
      <c r="BD202" t="s">
        <v>4256</v>
      </c>
      <c r="BE202" t="s">
        <v>4257</v>
      </c>
      <c r="BF202" t="str">
        <f>HYPERLINK("http://dx.doi.org/10.1136/bmj.f7242","http://dx.doi.org/10.1136/bmj.f7242")</f>
        <v>http://dx.doi.org/10.1136/bmj.f7242</v>
      </c>
      <c r="BG202" t="s">
        <v>74</v>
      </c>
      <c r="BH202" t="s">
        <v>74</v>
      </c>
      <c r="BI202">
        <v>5</v>
      </c>
      <c r="BJ202" t="s">
        <v>4258</v>
      </c>
      <c r="BK202" t="s">
        <v>4259</v>
      </c>
      <c r="BL202" t="s">
        <v>4260</v>
      </c>
      <c r="BM202" t="s">
        <v>4261</v>
      </c>
      <c r="BN202" t="s">
        <v>74</v>
      </c>
      <c r="BO202" t="s">
        <v>4262</v>
      </c>
      <c r="BP202" t="s">
        <v>74</v>
      </c>
      <c r="BQ202" t="s">
        <v>74</v>
      </c>
      <c r="BR202" t="s">
        <v>103</v>
      </c>
      <c r="BS202" t="s">
        <v>4263</v>
      </c>
      <c r="BT202" t="str">
        <f>HYPERLINK("https%3A%2F%2Fwww.webofscience.com%2Fwos%2Fwoscc%2Ffull-record%2FWOS:000328822700006","View Full Record in Web of Science")</f>
        <v>View Full Record in Web of Science</v>
      </c>
    </row>
    <row r="203" spans="1:72" x14ac:dyDescent="0.15">
      <c r="A203" t="s">
        <v>72</v>
      </c>
      <c r="B203" t="s">
        <v>4264</v>
      </c>
      <c r="C203" t="s">
        <v>74</v>
      </c>
      <c r="D203" t="s">
        <v>74</v>
      </c>
      <c r="E203" t="s">
        <v>74</v>
      </c>
      <c r="F203" t="s">
        <v>4265</v>
      </c>
      <c r="G203" t="s">
        <v>74</v>
      </c>
      <c r="H203" t="s">
        <v>74</v>
      </c>
      <c r="I203" t="s">
        <v>4266</v>
      </c>
      <c r="J203" t="s">
        <v>4267</v>
      </c>
      <c r="K203" t="s">
        <v>74</v>
      </c>
      <c r="L203" t="s">
        <v>74</v>
      </c>
      <c r="M203" t="s">
        <v>78</v>
      </c>
      <c r="N203" t="s">
        <v>79</v>
      </c>
      <c r="O203" t="s">
        <v>74</v>
      </c>
      <c r="P203" t="s">
        <v>74</v>
      </c>
      <c r="Q203" t="s">
        <v>74</v>
      </c>
      <c r="R203" t="s">
        <v>74</v>
      </c>
      <c r="S203" t="s">
        <v>74</v>
      </c>
      <c r="T203" t="s">
        <v>74</v>
      </c>
      <c r="U203" t="s">
        <v>4268</v>
      </c>
      <c r="V203" t="s">
        <v>4269</v>
      </c>
      <c r="W203" t="s">
        <v>4270</v>
      </c>
      <c r="X203" t="s">
        <v>4271</v>
      </c>
      <c r="Y203" t="s">
        <v>4272</v>
      </c>
      <c r="Z203" t="s">
        <v>4273</v>
      </c>
      <c r="AA203" t="s">
        <v>4274</v>
      </c>
      <c r="AB203" t="s">
        <v>4275</v>
      </c>
      <c r="AC203" t="s">
        <v>4276</v>
      </c>
      <c r="AD203" t="s">
        <v>4277</v>
      </c>
      <c r="AE203" t="s">
        <v>4278</v>
      </c>
      <c r="AF203" t="s">
        <v>74</v>
      </c>
      <c r="AG203">
        <v>72</v>
      </c>
      <c r="AH203">
        <v>61</v>
      </c>
      <c r="AI203">
        <v>69</v>
      </c>
      <c r="AJ203">
        <v>5</v>
      </c>
      <c r="AK203">
        <v>131</v>
      </c>
      <c r="AL203" t="s">
        <v>4279</v>
      </c>
      <c r="AM203" t="s">
        <v>808</v>
      </c>
      <c r="AN203" t="s">
        <v>4280</v>
      </c>
      <c r="AO203" t="s">
        <v>4281</v>
      </c>
      <c r="AP203" t="s">
        <v>4282</v>
      </c>
      <c r="AQ203" t="s">
        <v>74</v>
      </c>
      <c r="AR203" t="s">
        <v>4283</v>
      </c>
      <c r="AS203" t="s">
        <v>4284</v>
      </c>
      <c r="AT203" t="s">
        <v>4255</v>
      </c>
      <c r="AU203">
        <v>2013</v>
      </c>
      <c r="AV203">
        <v>47</v>
      </c>
      <c r="AW203">
        <v>24</v>
      </c>
      <c r="AX203" t="s">
        <v>74</v>
      </c>
      <c r="AY203" t="s">
        <v>74</v>
      </c>
      <c r="AZ203" t="s">
        <v>74</v>
      </c>
      <c r="BA203" t="s">
        <v>74</v>
      </c>
      <c r="BB203">
        <v>14089</v>
      </c>
      <c r="BC203">
        <v>14098</v>
      </c>
      <c r="BD203" t="s">
        <v>74</v>
      </c>
      <c r="BE203" t="s">
        <v>4285</v>
      </c>
      <c r="BF203" t="str">
        <f>HYPERLINK("http://dx.doi.org/10.1021/es403364z","http://dx.doi.org/10.1021/es403364z")</f>
        <v>http://dx.doi.org/10.1021/es403364z</v>
      </c>
      <c r="BG203" t="s">
        <v>74</v>
      </c>
      <c r="BH203" t="s">
        <v>74</v>
      </c>
      <c r="BI203">
        <v>10</v>
      </c>
      <c r="BJ203" t="s">
        <v>4286</v>
      </c>
      <c r="BK203" t="s">
        <v>99</v>
      </c>
      <c r="BL203" t="s">
        <v>4287</v>
      </c>
      <c r="BM203" t="s">
        <v>4288</v>
      </c>
      <c r="BN203">
        <v>24245606</v>
      </c>
      <c r="BO203" t="s">
        <v>1145</v>
      </c>
      <c r="BP203" t="s">
        <v>74</v>
      </c>
      <c r="BQ203" t="s">
        <v>74</v>
      </c>
      <c r="BR203" t="s">
        <v>103</v>
      </c>
      <c r="BS203" t="s">
        <v>4289</v>
      </c>
      <c r="BT203" t="str">
        <f>HYPERLINK("https%3A%2F%2Fwww.webofscience.com%2Fwos%2Fwoscc%2Ffull-record%2FWOS:000328796900024","View Full Record in Web of Science")</f>
        <v>View Full Record in Web of Science</v>
      </c>
    </row>
    <row r="204" spans="1:72" x14ac:dyDescent="0.15">
      <c r="A204" t="s">
        <v>72</v>
      </c>
      <c r="B204" t="s">
        <v>4290</v>
      </c>
      <c r="C204" t="s">
        <v>74</v>
      </c>
      <c r="D204" t="s">
        <v>74</v>
      </c>
      <c r="E204" t="s">
        <v>74</v>
      </c>
      <c r="F204" t="s">
        <v>4291</v>
      </c>
      <c r="G204" t="s">
        <v>74</v>
      </c>
      <c r="H204" t="s">
        <v>74</v>
      </c>
      <c r="I204" t="s">
        <v>4292</v>
      </c>
      <c r="J204" t="s">
        <v>4072</v>
      </c>
      <c r="K204" t="s">
        <v>74</v>
      </c>
      <c r="L204" t="s">
        <v>74</v>
      </c>
      <c r="M204" t="s">
        <v>78</v>
      </c>
      <c r="N204" t="s">
        <v>79</v>
      </c>
      <c r="O204" t="s">
        <v>74</v>
      </c>
      <c r="P204" t="s">
        <v>74</v>
      </c>
      <c r="Q204" t="s">
        <v>74</v>
      </c>
      <c r="R204" t="s">
        <v>74</v>
      </c>
      <c r="S204" t="s">
        <v>74</v>
      </c>
      <c r="T204" t="s">
        <v>74</v>
      </c>
      <c r="U204" t="s">
        <v>4293</v>
      </c>
      <c r="V204" t="s">
        <v>4294</v>
      </c>
      <c r="W204" t="s">
        <v>4295</v>
      </c>
      <c r="X204" t="s">
        <v>4296</v>
      </c>
      <c r="Y204" t="s">
        <v>4297</v>
      </c>
      <c r="Z204" t="s">
        <v>4298</v>
      </c>
      <c r="AA204" t="s">
        <v>4299</v>
      </c>
      <c r="AB204" t="s">
        <v>4300</v>
      </c>
      <c r="AC204" t="s">
        <v>4301</v>
      </c>
      <c r="AD204" t="s">
        <v>4302</v>
      </c>
      <c r="AE204" t="s">
        <v>4303</v>
      </c>
      <c r="AF204" t="s">
        <v>74</v>
      </c>
      <c r="AG204">
        <v>92</v>
      </c>
      <c r="AH204">
        <v>14</v>
      </c>
      <c r="AI204">
        <v>17</v>
      </c>
      <c r="AJ204">
        <v>3</v>
      </c>
      <c r="AK204">
        <v>34</v>
      </c>
      <c r="AL204" t="s">
        <v>4084</v>
      </c>
      <c r="AM204" t="s">
        <v>4085</v>
      </c>
      <c r="AN204" t="s">
        <v>4086</v>
      </c>
      <c r="AO204" t="s">
        <v>4087</v>
      </c>
      <c r="AP204" t="s">
        <v>74</v>
      </c>
      <c r="AQ204" t="s">
        <v>74</v>
      </c>
      <c r="AR204" t="s">
        <v>4072</v>
      </c>
      <c r="AS204" t="s">
        <v>4088</v>
      </c>
      <c r="AT204" t="s">
        <v>4255</v>
      </c>
      <c r="AU204">
        <v>2013</v>
      </c>
      <c r="AV204">
        <v>8</v>
      </c>
      <c r="AW204">
        <v>12</v>
      </c>
      <c r="AX204" t="s">
        <v>74</v>
      </c>
      <c r="AY204" t="s">
        <v>74</v>
      </c>
      <c r="AZ204" t="s">
        <v>74</v>
      </c>
      <c r="BA204" t="s">
        <v>74</v>
      </c>
      <c r="BB204" t="s">
        <v>74</v>
      </c>
      <c r="BC204" t="s">
        <v>74</v>
      </c>
      <c r="BD204" t="s">
        <v>4304</v>
      </c>
      <c r="BE204" t="s">
        <v>4305</v>
      </c>
      <c r="BF204" t="str">
        <f>HYPERLINK("http://dx.doi.org/10.1371/journal.pone.0084559","http://dx.doi.org/10.1371/journal.pone.0084559")</f>
        <v>http://dx.doi.org/10.1371/journal.pone.0084559</v>
      </c>
      <c r="BG204" t="s">
        <v>74</v>
      </c>
      <c r="BH204" t="s">
        <v>74</v>
      </c>
      <c r="BI204">
        <v>15</v>
      </c>
      <c r="BJ204" t="s">
        <v>2652</v>
      </c>
      <c r="BK204" t="s">
        <v>99</v>
      </c>
      <c r="BL204" t="s">
        <v>2653</v>
      </c>
      <c r="BM204" t="s">
        <v>4306</v>
      </c>
      <c r="BN204">
        <v>24358365</v>
      </c>
      <c r="BO204" t="s">
        <v>3614</v>
      </c>
      <c r="BP204" t="s">
        <v>74</v>
      </c>
      <c r="BQ204" t="s">
        <v>74</v>
      </c>
      <c r="BR204" t="s">
        <v>103</v>
      </c>
      <c r="BS204" t="s">
        <v>4307</v>
      </c>
      <c r="BT204" t="str">
        <f>HYPERLINK("https%3A%2F%2Fwww.webofscience.com%2Fwos%2Fwoscc%2Ffull-record%2FWOS:000328737700100","View Full Record in Web of Science")</f>
        <v>View Full Record in Web of Science</v>
      </c>
    </row>
    <row r="205" spans="1:72" x14ac:dyDescent="0.15">
      <c r="A205" t="s">
        <v>72</v>
      </c>
      <c r="B205" t="s">
        <v>4308</v>
      </c>
      <c r="C205" t="s">
        <v>74</v>
      </c>
      <c r="D205" t="s">
        <v>74</v>
      </c>
      <c r="E205" t="s">
        <v>74</v>
      </c>
      <c r="F205" t="s">
        <v>4309</v>
      </c>
      <c r="G205" t="s">
        <v>74</v>
      </c>
      <c r="H205" t="s">
        <v>74</v>
      </c>
      <c r="I205" t="s">
        <v>4310</v>
      </c>
      <c r="J205" t="s">
        <v>4311</v>
      </c>
      <c r="K205" t="s">
        <v>74</v>
      </c>
      <c r="L205" t="s">
        <v>74</v>
      </c>
      <c r="M205" t="s">
        <v>78</v>
      </c>
      <c r="N205" t="s">
        <v>2830</v>
      </c>
      <c r="O205" t="s">
        <v>74</v>
      </c>
      <c r="P205" t="s">
        <v>74</v>
      </c>
      <c r="Q205" t="s">
        <v>74</v>
      </c>
      <c r="R205" t="s">
        <v>74</v>
      </c>
      <c r="S205" t="s">
        <v>74</v>
      </c>
      <c r="T205" t="s">
        <v>74</v>
      </c>
      <c r="U205" t="s">
        <v>4312</v>
      </c>
      <c r="V205" t="s">
        <v>74</v>
      </c>
      <c r="W205" t="s">
        <v>4313</v>
      </c>
      <c r="X205" t="s">
        <v>2317</v>
      </c>
      <c r="Y205" t="s">
        <v>4314</v>
      </c>
      <c r="Z205" t="s">
        <v>4315</v>
      </c>
      <c r="AA205" t="s">
        <v>4316</v>
      </c>
      <c r="AB205" t="s">
        <v>4317</v>
      </c>
      <c r="AC205" t="s">
        <v>74</v>
      </c>
      <c r="AD205" t="s">
        <v>74</v>
      </c>
      <c r="AE205" t="s">
        <v>74</v>
      </c>
      <c r="AF205" t="s">
        <v>74</v>
      </c>
      <c r="AG205">
        <v>20</v>
      </c>
      <c r="AH205">
        <v>14</v>
      </c>
      <c r="AI205">
        <v>15</v>
      </c>
      <c r="AJ205">
        <v>0</v>
      </c>
      <c r="AK205">
        <v>36</v>
      </c>
      <c r="AL205" t="s">
        <v>4318</v>
      </c>
      <c r="AM205" t="s">
        <v>808</v>
      </c>
      <c r="AN205" t="s">
        <v>4319</v>
      </c>
      <c r="AO205" t="s">
        <v>4320</v>
      </c>
      <c r="AP205" t="s">
        <v>74</v>
      </c>
      <c r="AQ205" t="s">
        <v>74</v>
      </c>
      <c r="AR205" t="s">
        <v>4321</v>
      </c>
      <c r="AS205" t="s">
        <v>4322</v>
      </c>
      <c r="AT205" t="s">
        <v>4255</v>
      </c>
      <c r="AU205">
        <v>2013</v>
      </c>
      <c r="AV205">
        <v>110</v>
      </c>
      <c r="AW205">
        <v>51</v>
      </c>
      <c r="AX205" t="s">
        <v>74</v>
      </c>
      <c r="AY205" t="s">
        <v>74</v>
      </c>
      <c r="AZ205" t="s">
        <v>74</v>
      </c>
      <c r="BA205" t="s">
        <v>74</v>
      </c>
      <c r="BB205">
        <v>20358</v>
      </c>
      <c r="BC205">
        <v>20359</v>
      </c>
      <c r="BD205" t="s">
        <v>74</v>
      </c>
      <c r="BE205" t="s">
        <v>4323</v>
      </c>
      <c r="BF205" t="str">
        <f>HYPERLINK("http://dx.doi.org/10.1073/pnas.1320327110","http://dx.doi.org/10.1073/pnas.1320327110")</f>
        <v>http://dx.doi.org/10.1073/pnas.1320327110</v>
      </c>
      <c r="BG205" t="s">
        <v>74</v>
      </c>
      <c r="BH205" t="s">
        <v>74</v>
      </c>
      <c r="BI205">
        <v>2</v>
      </c>
      <c r="BJ205" t="s">
        <v>2652</v>
      </c>
      <c r="BK205" t="s">
        <v>99</v>
      </c>
      <c r="BL205" t="s">
        <v>2653</v>
      </c>
      <c r="BM205" t="s">
        <v>4324</v>
      </c>
      <c r="BN205">
        <v>24344261</v>
      </c>
      <c r="BO205" t="s">
        <v>1381</v>
      </c>
      <c r="BP205" t="s">
        <v>74</v>
      </c>
      <c r="BQ205" t="s">
        <v>74</v>
      </c>
      <c r="BR205" t="s">
        <v>103</v>
      </c>
      <c r="BS205" t="s">
        <v>4325</v>
      </c>
      <c r="BT205" t="str">
        <f>HYPERLINK("https%3A%2F%2Fwww.webofscience.com%2Fwos%2Fwoscc%2Ffull-record%2FWOS:000328548600019","View Full Record in Web of Science")</f>
        <v>View Full Record in Web of Science</v>
      </c>
    </row>
    <row r="206" spans="1:72" x14ac:dyDescent="0.15">
      <c r="A206" t="s">
        <v>72</v>
      </c>
      <c r="B206" t="s">
        <v>4326</v>
      </c>
      <c r="C206" t="s">
        <v>74</v>
      </c>
      <c r="D206" t="s">
        <v>74</v>
      </c>
      <c r="E206" t="s">
        <v>74</v>
      </c>
      <c r="F206" t="s">
        <v>4327</v>
      </c>
      <c r="G206" t="s">
        <v>74</v>
      </c>
      <c r="H206" t="s">
        <v>74</v>
      </c>
      <c r="I206" t="s">
        <v>4328</v>
      </c>
      <c r="J206" t="s">
        <v>4311</v>
      </c>
      <c r="K206" t="s">
        <v>74</v>
      </c>
      <c r="L206" t="s">
        <v>74</v>
      </c>
      <c r="M206" t="s">
        <v>78</v>
      </c>
      <c r="N206" t="s">
        <v>79</v>
      </c>
      <c r="O206" t="s">
        <v>74</v>
      </c>
      <c r="P206" t="s">
        <v>74</v>
      </c>
      <c r="Q206" t="s">
        <v>74</v>
      </c>
      <c r="R206" t="s">
        <v>74</v>
      </c>
      <c r="S206" t="s">
        <v>74</v>
      </c>
      <c r="T206" t="s">
        <v>4329</v>
      </c>
      <c r="U206" t="s">
        <v>4330</v>
      </c>
      <c r="V206" t="s">
        <v>4331</v>
      </c>
      <c r="W206" t="s">
        <v>4332</v>
      </c>
      <c r="X206" t="s">
        <v>4333</v>
      </c>
      <c r="Y206" t="s">
        <v>4334</v>
      </c>
      <c r="Z206" t="s">
        <v>4335</v>
      </c>
      <c r="AA206" t="s">
        <v>4336</v>
      </c>
      <c r="AB206" t="s">
        <v>4337</v>
      </c>
      <c r="AC206" t="s">
        <v>4338</v>
      </c>
      <c r="AD206" t="s">
        <v>4339</v>
      </c>
      <c r="AE206" t="s">
        <v>4340</v>
      </c>
      <c r="AF206" t="s">
        <v>74</v>
      </c>
      <c r="AG206">
        <v>54</v>
      </c>
      <c r="AH206">
        <v>182</v>
      </c>
      <c r="AI206">
        <v>202</v>
      </c>
      <c r="AJ206">
        <v>1</v>
      </c>
      <c r="AK206">
        <v>125</v>
      </c>
      <c r="AL206" t="s">
        <v>4318</v>
      </c>
      <c r="AM206" t="s">
        <v>808</v>
      </c>
      <c r="AN206" t="s">
        <v>4319</v>
      </c>
      <c r="AO206" t="s">
        <v>4320</v>
      </c>
      <c r="AP206" t="s">
        <v>74</v>
      </c>
      <c r="AQ206" t="s">
        <v>74</v>
      </c>
      <c r="AR206" t="s">
        <v>4321</v>
      </c>
      <c r="AS206" t="s">
        <v>4322</v>
      </c>
      <c r="AT206" t="s">
        <v>4255</v>
      </c>
      <c r="AU206">
        <v>2013</v>
      </c>
      <c r="AV206">
        <v>110</v>
      </c>
      <c r="AW206">
        <v>51</v>
      </c>
      <c r="AX206" t="s">
        <v>74</v>
      </c>
      <c r="AY206" t="s">
        <v>74</v>
      </c>
      <c r="AZ206" t="s">
        <v>74</v>
      </c>
      <c r="BA206" t="s">
        <v>74</v>
      </c>
      <c r="BB206">
        <v>20633</v>
      </c>
      <c r="BC206">
        <v>20638</v>
      </c>
      <c r="BD206" t="s">
        <v>74</v>
      </c>
      <c r="BE206" t="s">
        <v>4341</v>
      </c>
      <c r="BF206" t="str">
        <f>HYPERLINK("http://dx.doi.org/10.1073/pnas.1309345110","http://dx.doi.org/10.1073/pnas.1309345110")</f>
        <v>http://dx.doi.org/10.1073/pnas.1309345110</v>
      </c>
      <c r="BG206" t="s">
        <v>74</v>
      </c>
      <c r="BH206" t="s">
        <v>74</v>
      </c>
      <c r="BI206">
        <v>6</v>
      </c>
      <c r="BJ206" t="s">
        <v>2652</v>
      </c>
      <c r="BK206" t="s">
        <v>99</v>
      </c>
      <c r="BL206" t="s">
        <v>2653</v>
      </c>
      <c r="BM206" t="s">
        <v>4324</v>
      </c>
      <c r="BN206">
        <v>24248337</v>
      </c>
      <c r="BO206" t="s">
        <v>1381</v>
      </c>
      <c r="BP206" t="s">
        <v>74</v>
      </c>
      <c r="BQ206" t="s">
        <v>74</v>
      </c>
      <c r="BR206" t="s">
        <v>103</v>
      </c>
      <c r="BS206" t="s">
        <v>4342</v>
      </c>
      <c r="BT206" t="str">
        <f>HYPERLINK("https%3A%2F%2Fwww.webofscience.com%2Fwos%2Fwoscc%2Ffull-record%2FWOS:000328548600066","View Full Record in Web of Science")</f>
        <v>View Full Record in Web of Science</v>
      </c>
    </row>
    <row r="207" spans="1:72" x14ac:dyDescent="0.15">
      <c r="A207" t="s">
        <v>72</v>
      </c>
      <c r="B207" t="s">
        <v>4343</v>
      </c>
      <c r="C207" t="s">
        <v>74</v>
      </c>
      <c r="D207" t="s">
        <v>74</v>
      </c>
      <c r="E207" t="s">
        <v>74</v>
      </c>
      <c r="F207" t="s">
        <v>4344</v>
      </c>
      <c r="G207" t="s">
        <v>74</v>
      </c>
      <c r="H207" t="s">
        <v>74</v>
      </c>
      <c r="I207" t="s">
        <v>4345</v>
      </c>
      <c r="J207" t="s">
        <v>4346</v>
      </c>
      <c r="K207" t="s">
        <v>74</v>
      </c>
      <c r="L207" t="s">
        <v>74</v>
      </c>
      <c r="M207" t="s">
        <v>78</v>
      </c>
      <c r="N207" t="s">
        <v>79</v>
      </c>
      <c r="O207" t="s">
        <v>74</v>
      </c>
      <c r="P207" t="s">
        <v>74</v>
      </c>
      <c r="Q207" t="s">
        <v>74</v>
      </c>
      <c r="R207" t="s">
        <v>74</v>
      </c>
      <c r="S207" t="s">
        <v>74</v>
      </c>
      <c r="T207" t="s">
        <v>4347</v>
      </c>
      <c r="U207" t="s">
        <v>4348</v>
      </c>
      <c r="V207" t="s">
        <v>4349</v>
      </c>
      <c r="W207" t="s">
        <v>4350</v>
      </c>
      <c r="X207" t="s">
        <v>4351</v>
      </c>
      <c r="Y207" t="s">
        <v>4352</v>
      </c>
      <c r="Z207" t="s">
        <v>4353</v>
      </c>
      <c r="AA207" t="s">
        <v>74</v>
      </c>
      <c r="AB207" t="s">
        <v>74</v>
      </c>
      <c r="AC207" t="s">
        <v>4354</v>
      </c>
      <c r="AD207" t="s">
        <v>4355</v>
      </c>
      <c r="AE207" t="s">
        <v>4356</v>
      </c>
      <c r="AF207" t="s">
        <v>74</v>
      </c>
      <c r="AG207">
        <v>97</v>
      </c>
      <c r="AH207">
        <v>68</v>
      </c>
      <c r="AI207">
        <v>80</v>
      </c>
      <c r="AJ207">
        <v>0</v>
      </c>
      <c r="AK207">
        <v>73</v>
      </c>
      <c r="AL207" t="s">
        <v>1606</v>
      </c>
      <c r="AM207" t="s">
        <v>808</v>
      </c>
      <c r="AN207" t="s">
        <v>1607</v>
      </c>
      <c r="AO207" t="s">
        <v>4357</v>
      </c>
      <c r="AP207" t="s">
        <v>4358</v>
      </c>
      <c r="AQ207" t="s">
        <v>74</v>
      </c>
      <c r="AR207" t="s">
        <v>4359</v>
      </c>
      <c r="AS207" t="s">
        <v>4360</v>
      </c>
      <c r="AT207" t="s">
        <v>4361</v>
      </c>
      <c r="AU207">
        <v>2013</v>
      </c>
      <c r="AV207">
        <v>118</v>
      </c>
      <c r="AW207">
        <v>23</v>
      </c>
      <c r="AX207" t="s">
        <v>74</v>
      </c>
      <c r="AY207" t="s">
        <v>74</v>
      </c>
      <c r="AZ207" t="s">
        <v>74</v>
      </c>
      <c r="BA207" t="s">
        <v>74</v>
      </c>
      <c r="BB207">
        <v>13303</v>
      </c>
      <c r="BC207">
        <v>13318</v>
      </c>
      <c r="BD207" t="s">
        <v>74</v>
      </c>
      <c r="BE207" t="s">
        <v>4362</v>
      </c>
      <c r="BF207" t="str">
        <f>HYPERLINK("http://dx.doi.org/10.1002/2013JD019496","http://dx.doi.org/10.1002/2013JD019496")</f>
        <v>http://dx.doi.org/10.1002/2013JD019496</v>
      </c>
      <c r="BG207" t="s">
        <v>74</v>
      </c>
      <c r="BH207" t="s">
        <v>74</v>
      </c>
      <c r="BI207">
        <v>16</v>
      </c>
      <c r="BJ207" t="s">
        <v>1503</v>
      </c>
      <c r="BK207" t="s">
        <v>99</v>
      </c>
      <c r="BL207" t="s">
        <v>1503</v>
      </c>
      <c r="BM207" t="s">
        <v>4363</v>
      </c>
      <c r="BN207" t="s">
        <v>74</v>
      </c>
      <c r="BO207" t="s">
        <v>475</v>
      </c>
      <c r="BP207" t="s">
        <v>74</v>
      </c>
      <c r="BQ207" t="s">
        <v>74</v>
      </c>
      <c r="BR207" t="s">
        <v>103</v>
      </c>
      <c r="BS207" t="s">
        <v>4364</v>
      </c>
      <c r="BT207" t="str">
        <f>HYPERLINK("https%3A%2F%2Fwww.webofscience.com%2Fwos%2Fwoscc%2Ffull-record%2FWOS:000330266500025","View Full Record in Web of Science")</f>
        <v>View Full Record in Web of Science</v>
      </c>
    </row>
    <row r="208" spans="1:72" x14ac:dyDescent="0.15">
      <c r="A208" t="s">
        <v>72</v>
      </c>
      <c r="B208" t="s">
        <v>4365</v>
      </c>
      <c r="C208" t="s">
        <v>74</v>
      </c>
      <c r="D208" t="s">
        <v>74</v>
      </c>
      <c r="E208" t="s">
        <v>74</v>
      </c>
      <c r="F208" t="s">
        <v>4366</v>
      </c>
      <c r="G208" t="s">
        <v>74</v>
      </c>
      <c r="H208" t="s">
        <v>74</v>
      </c>
      <c r="I208" t="s">
        <v>4367</v>
      </c>
      <c r="J208" t="s">
        <v>4368</v>
      </c>
      <c r="K208" t="s">
        <v>74</v>
      </c>
      <c r="L208" t="s">
        <v>74</v>
      </c>
      <c r="M208" t="s">
        <v>78</v>
      </c>
      <c r="N208" t="s">
        <v>79</v>
      </c>
      <c r="O208" t="s">
        <v>74</v>
      </c>
      <c r="P208" t="s">
        <v>74</v>
      </c>
      <c r="Q208" t="s">
        <v>74</v>
      </c>
      <c r="R208" t="s">
        <v>74</v>
      </c>
      <c r="S208" t="s">
        <v>74</v>
      </c>
      <c r="T208" t="s">
        <v>4369</v>
      </c>
      <c r="U208" t="s">
        <v>4370</v>
      </c>
      <c r="V208" t="s">
        <v>4371</v>
      </c>
      <c r="W208" t="s">
        <v>4372</v>
      </c>
      <c r="X208" t="s">
        <v>1489</v>
      </c>
      <c r="Y208" t="s">
        <v>4373</v>
      </c>
      <c r="Z208" t="s">
        <v>4374</v>
      </c>
      <c r="AA208" t="s">
        <v>74</v>
      </c>
      <c r="AB208" t="s">
        <v>4375</v>
      </c>
      <c r="AC208" t="s">
        <v>4376</v>
      </c>
      <c r="AD208" t="s">
        <v>4377</v>
      </c>
      <c r="AE208" t="s">
        <v>4378</v>
      </c>
      <c r="AF208" t="s">
        <v>74</v>
      </c>
      <c r="AG208">
        <v>15</v>
      </c>
      <c r="AH208">
        <v>10</v>
      </c>
      <c r="AI208">
        <v>13</v>
      </c>
      <c r="AJ208">
        <v>0</v>
      </c>
      <c r="AK208">
        <v>14</v>
      </c>
      <c r="AL208" t="s">
        <v>1606</v>
      </c>
      <c r="AM208" t="s">
        <v>808</v>
      </c>
      <c r="AN208" t="s">
        <v>1607</v>
      </c>
      <c r="AO208" t="s">
        <v>4379</v>
      </c>
      <c r="AP208" t="s">
        <v>4380</v>
      </c>
      <c r="AQ208" t="s">
        <v>74</v>
      </c>
      <c r="AR208" t="s">
        <v>4381</v>
      </c>
      <c r="AS208" t="s">
        <v>4382</v>
      </c>
      <c r="AT208" t="s">
        <v>4361</v>
      </c>
      <c r="AU208">
        <v>2013</v>
      </c>
      <c r="AV208">
        <v>40</v>
      </c>
      <c r="AW208">
        <v>23</v>
      </c>
      <c r="AX208" t="s">
        <v>74</v>
      </c>
      <c r="AY208" t="s">
        <v>74</v>
      </c>
      <c r="AZ208" t="s">
        <v>74</v>
      </c>
      <c r="BA208" t="s">
        <v>74</v>
      </c>
      <c r="BB208">
        <v>6186</v>
      </c>
      <c r="BC208">
        <v>6190</v>
      </c>
      <c r="BD208" t="s">
        <v>74</v>
      </c>
      <c r="BE208" t="s">
        <v>4383</v>
      </c>
      <c r="BF208" t="str">
        <f>HYPERLINK("http://dx.doi.org/10.1002/2013GL058125","http://dx.doi.org/10.1002/2013GL058125")</f>
        <v>http://dx.doi.org/10.1002/2013GL058125</v>
      </c>
      <c r="BG208" t="s">
        <v>74</v>
      </c>
      <c r="BH208" t="s">
        <v>74</v>
      </c>
      <c r="BI208">
        <v>5</v>
      </c>
      <c r="BJ208" t="s">
        <v>337</v>
      </c>
      <c r="BK208" t="s">
        <v>99</v>
      </c>
      <c r="BL208" t="s">
        <v>338</v>
      </c>
      <c r="BM208" t="s">
        <v>4384</v>
      </c>
      <c r="BN208" t="s">
        <v>74</v>
      </c>
      <c r="BO208" t="s">
        <v>524</v>
      </c>
      <c r="BP208" t="s">
        <v>74</v>
      </c>
      <c r="BQ208" t="s">
        <v>74</v>
      </c>
      <c r="BR208" t="s">
        <v>103</v>
      </c>
      <c r="BS208" t="s">
        <v>4385</v>
      </c>
      <c r="BT208" t="str">
        <f>HYPERLINK("https%3A%2F%2Fwww.webofscience.com%2Fwos%2Fwoscc%2Ffull-record%2FWOS:000329141900032","View Full Record in Web of Science")</f>
        <v>View Full Record in Web of Science</v>
      </c>
    </row>
    <row r="209" spans="1:72" x14ac:dyDescent="0.15">
      <c r="A209" t="s">
        <v>72</v>
      </c>
      <c r="B209" t="s">
        <v>4386</v>
      </c>
      <c r="C209" t="s">
        <v>74</v>
      </c>
      <c r="D209" t="s">
        <v>74</v>
      </c>
      <c r="E209" t="s">
        <v>74</v>
      </c>
      <c r="F209" t="s">
        <v>4387</v>
      </c>
      <c r="G209" t="s">
        <v>74</v>
      </c>
      <c r="H209" t="s">
        <v>74</v>
      </c>
      <c r="I209" t="s">
        <v>4388</v>
      </c>
      <c r="J209" t="s">
        <v>4368</v>
      </c>
      <c r="K209" t="s">
        <v>74</v>
      </c>
      <c r="L209" t="s">
        <v>74</v>
      </c>
      <c r="M209" t="s">
        <v>78</v>
      </c>
      <c r="N209" t="s">
        <v>79</v>
      </c>
      <c r="O209" t="s">
        <v>74</v>
      </c>
      <c r="P209" t="s">
        <v>74</v>
      </c>
      <c r="Q209" t="s">
        <v>74</v>
      </c>
      <c r="R209" t="s">
        <v>74</v>
      </c>
      <c r="S209" t="s">
        <v>74</v>
      </c>
      <c r="T209" t="s">
        <v>4389</v>
      </c>
      <c r="U209" t="s">
        <v>4390</v>
      </c>
      <c r="V209" t="s">
        <v>4391</v>
      </c>
      <c r="W209" t="s">
        <v>4392</v>
      </c>
      <c r="X209" t="s">
        <v>4393</v>
      </c>
      <c r="Y209" t="s">
        <v>4394</v>
      </c>
      <c r="Z209" t="s">
        <v>4395</v>
      </c>
      <c r="AA209" t="s">
        <v>4396</v>
      </c>
      <c r="AB209" t="s">
        <v>4397</v>
      </c>
      <c r="AC209" t="s">
        <v>4398</v>
      </c>
      <c r="AD209" t="s">
        <v>4399</v>
      </c>
      <c r="AE209" t="s">
        <v>4400</v>
      </c>
      <c r="AF209" t="s">
        <v>74</v>
      </c>
      <c r="AG209">
        <v>27</v>
      </c>
      <c r="AH209">
        <v>104</v>
      </c>
      <c r="AI209">
        <v>116</v>
      </c>
      <c r="AJ209">
        <v>1</v>
      </c>
      <c r="AK209">
        <v>32</v>
      </c>
      <c r="AL209" t="s">
        <v>1606</v>
      </c>
      <c r="AM209" t="s">
        <v>808</v>
      </c>
      <c r="AN209" t="s">
        <v>1607</v>
      </c>
      <c r="AO209" t="s">
        <v>4379</v>
      </c>
      <c r="AP209" t="s">
        <v>4380</v>
      </c>
      <c r="AQ209" t="s">
        <v>74</v>
      </c>
      <c r="AR209" t="s">
        <v>4381</v>
      </c>
      <c r="AS209" t="s">
        <v>4382</v>
      </c>
      <c r="AT209" t="s">
        <v>4361</v>
      </c>
      <c r="AU209">
        <v>2013</v>
      </c>
      <c r="AV209">
        <v>40</v>
      </c>
      <c r="AW209">
        <v>23</v>
      </c>
      <c r="AX209" t="s">
        <v>74</v>
      </c>
      <c r="AY209" t="s">
        <v>74</v>
      </c>
      <c r="AZ209" t="s">
        <v>74</v>
      </c>
      <c r="BA209" t="s">
        <v>74</v>
      </c>
      <c r="BB209">
        <v>6148</v>
      </c>
      <c r="BC209">
        <v>6153</v>
      </c>
      <c r="BD209" t="s">
        <v>74</v>
      </c>
      <c r="BE209" t="s">
        <v>4401</v>
      </c>
      <c r="BF209" t="str">
        <f>HYPERLINK("http://dx.doi.org/10.1002/2013GL058138","http://dx.doi.org/10.1002/2013GL058138")</f>
        <v>http://dx.doi.org/10.1002/2013GL058138</v>
      </c>
      <c r="BG209" t="s">
        <v>74</v>
      </c>
      <c r="BH209" t="s">
        <v>74</v>
      </c>
      <c r="BI209">
        <v>6</v>
      </c>
      <c r="BJ209" t="s">
        <v>337</v>
      </c>
      <c r="BK209" t="s">
        <v>99</v>
      </c>
      <c r="BL209" t="s">
        <v>338</v>
      </c>
      <c r="BM209" t="s">
        <v>4384</v>
      </c>
      <c r="BN209" t="s">
        <v>74</v>
      </c>
      <c r="BO209" t="s">
        <v>2672</v>
      </c>
      <c r="BP209" t="s">
        <v>74</v>
      </c>
      <c r="BQ209" t="s">
        <v>74</v>
      </c>
      <c r="BR209" t="s">
        <v>103</v>
      </c>
      <c r="BS209" t="s">
        <v>4402</v>
      </c>
      <c r="BT209" t="str">
        <f>HYPERLINK("https%3A%2F%2Fwww.webofscience.com%2Fwos%2Fwoscc%2Ffull-record%2FWOS:000329141900025","View Full Record in Web of Science")</f>
        <v>View Full Record in Web of Science</v>
      </c>
    </row>
    <row r="210" spans="1:72" x14ac:dyDescent="0.15">
      <c r="A210" t="s">
        <v>72</v>
      </c>
      <c r="B210" t="s">
        <v>4403</v>
      </c>
      <c r="C210" t="s">
        <v>74</v>
      </c>
      <c r="D210" t="s">
        <v>74</v>
      </c>
      <c r="E210" t="s">
        <v>74</v>
      </c>
      <c r="F210" t="s">
        <v>4404</v>
      </c>
      <c r="G210" t="s">
        <v>74</v>
      </c>
      <c r="H210" t="s">
        <v>74</v>
      </c>
      <c r="I210" t="s">
        <v>4405</v>
      </c>
      <c r="J210" t="s">
        <v>4368</v>
      </c>
      <c r="K210" t="s">
        <v>74</v>
      </c>
      <c r="L210" t="s">
        <v>74</v>
      </c>
      <c r="M210" t="s">
        <v>78</v>
      </c>
      <c r="N210" t="s">
        <v>79</v>
      </c>
      <c r="O210" t="s">
        <v>74</v>
      </c>
      <c r="P210" t="s">
        <v>74</v>
      </c>
      <c r="Q210" t="s">
        <v>74</v>
      </c>
      <c r="R210" t="s">
        <v>74</v>
      </c>
      <c r="S210" t="s">
        <v>74</v>
      </c>
      <c r="T210" t="s">
        <v>4406</v>
      </c>
      <c r="U210" t="s">
        <v>4407</v>
      </c>
      <c r="V210" t="s">
        <v>4408</v>
      </c>
      <c r="W210" t="s">
        <v>4409</v>
      </c>
      <c r="X210" t="s">
        <v>4410</v>
      </c>
      <c r="Y210" t="s">
        <v>4411</v>
      </c>
      <c r="Z210" t="s">
        <v>4412</v>
      </c>
      <c r="AA210" t="s">
        <v>4413</v>
      </c>
      <c r="AB210" t="s">
        <v>4414</v>
      </c>
      <c r="AC210" t="s">
        <v>4415</v>
      </c>
      <c r="AD210" t="s">
        <v>4416</v>
      </c>
      <c r="AE210" t="s">
        <v>4417</v>
      </c>
      <c r="AF210" t="s">
        <v>74</v>
      </c>
      <c r="AG210">
        <v>37</v>
      </c>
      <c r="AH210">
        <v>56</v>
      </c>
      <c r="AI210">
        <v>65</v>
      </c>
      <c r="AJ210">
        <v>0</v>
      </c>
      <c r="AK210">
        <v>39</v>
      </c>
      <c r="AL210" t="s">
        <v>1606</v>
      </c>
      <c r="AM210" t="s">
        <v>808</v>
      </c>
      <c r="AN210" t="s">
        <v>1607</v>
      </c>
      <c r="AO210" t="s">
        <v>4379</v>
      </c>
      <c r="AP210" t="s">
        <v>4380</v>
      </c>
      <c r="AQ210" t="s">
        <v>74</v>
      </c>
      <c r="AR210" t="s">
        <v>4381</v>
      </c>
      <c r="AS210" t="s">
        <v>4382</v>
      </c>
      <c r="AT210" t="s">
        <v>4361</v>
      </c>
      <c r="AU210">
        <v>2013</v>
      </c>
      <c r="AV210">
        <v>40</v>
      </c>
      <c r="AW210">
        <v>23</v>
      </c>
      <c r="AX210" t="s">
        <v>74</v>
      </c>
      <c r="AY210" t="s">
        <v>74</v>
      </c>
      <c r="AZ210" t="s">
        <v>74</v>
      </c>
      <c r="BA210" t="s">
        <v>74</v>
      </c>
      <c r="BB210">
        <v>6154</v>
      </c>
      <c r="BC210">
        <v>6159</v>
      </c>
      <c r="BD210" t="s">
        <v>74</v>
      </c>
      <c r="BE210" t="s">
        <v>4418</v>
      </c>
      <c r="BF210" t="str">
        <f>HYPERLINK("http://dx.doi.org/10.1002/2013GL058383","http://dx.doi.org/10.1002/2013GL058383")</f>
        <v>http://dx.doi.org/10.1002/2013GL058383</v>
      </c>
      <c r="BG210" t="s">
        <v>74</v>
      </c>
      <c r="BH210" t="s">
        <v>74</v>
      </c>
      <c r="BI210">
        <v>6</v>
      </c>
      <c r="BJ210" t="s">
        <v>337</v>
      </c>
      <c r="BK210" t="s">
        <v>99</v>
      </c>
      <c r="BL210" t="s">
        <v>338</v>
      </c>
      <c r="BM210" t="s">
        <v>4384</v>
      </c>
      <c r="BN210" t="s">
        <v>74</v>
      </c>
      <c r="BO210" t="s">
        <v>4419</v>
      </c>
      <c r="BP210" t="s">
        <v>74</v>
      </c>
      <c r="BQ210" t="s">
        <v>74</v>
      </c>
      <c r="BR210" t="s">
        <v>103</v>
      </c>
      <c r="BS210" t="s">
        <v>4420</v>
      </c>
      <c r="BT210" t="str">
        <f>HYPERLINK("https%3A%2F%2Fwww.webofscience.com%2Fwos%2Fwoscc%2Ffull-record%2FWOS:000329141900026","View Full Record in Web of Science")</f>
        <v>View Full Record in Web of Science</v>
      </c>
    </row>
    <row r="211" spans="1:72" x14ac:dyDescent="0.15">
      <c r="A211" t="s">
        <v>72</v>
      </c>
      <c r="B211" t="s">
        <v>4421</v>
      </c>
      <c r="C211" t="s">
        <v>74</v>
      </c>
      <c r="D211" t="s">
        <v>74</v>
      </c>
      <c r="E211" t="s">
        <v>74</v>
      </c>
      <c r="F211" t="s">
        <v>4422</v>
      </c>
      <c r="G211" t="s">
        <v>74</v>
      </c>
      <c r="H211" t="s">
        <v>74</v>
      </c>
      <c r="I211" t="s">
        <v>4423</v>
      </c>
      <c r="J211" t="s">
        <v>4368</v>
      </c>
      <c r="K211" t="s">
        <v>74</v>
      </c>
      <c r="L211" t="s">
        <v>74</v>
      </c>
      <c r="M211" t="s">
        <v>78</v>
      </c>
      <c r="N211" t="s">
        <v>79</v>
      </c>
      <c r="O211" t="s">
        <v>74</v>
      </c>
      <c r="P211" t="s">
        <v>74</v>
      </c>
      <c r="Q211" t="s">
        <v>74</v>
      </c>
      <c r="R211" t="s">
        <v>74</v>
      </c>
      <c r="S211" t="s">
        <v>74</v>
      </c>
      <c r="T211" t="s">
        <v>4424</v>
      </c>
      <c r="U211" t="s">
        <v>74</v>
      </c>
      <c r="V211" t="s">
        <v>4425</v>
      </c>
      <c r="W211" t="s">
        <v>4426</v>
      </c>
      <c r="X211" t="s">
        <v>4427</v>
      </c>
      <c r="Y211" t="s">
        <v>4428</v>
      </c>
      <c r="Z211" t="s">
        <v>3607</v>
      </c>
      <c r="AA211" t="s">
        <v>4429</v>
      </c>
      <c r="AB211" t="s">
        <v>4430</v>
      </c>
      <c r="AC211" t="s">
        <v>4431</v>
      </c>
      <c r="AD211" t="s">
        <v>4432</v>
      </c>
      <c r="AE211" t="s">
        <v>4433</v>
      </c>
      <c r="AF211" t="s">
        <v>74</v>
      </c>
      <c r="AG211">
        <v>19</v>
      </c>
      <c r="AH211">
        <v>107</v>
      </c>
      <c r="AI211">
        <v>114</v>
      </c>
      <c r="AJ211">
        <v>0</v>
      </c>
      <c r="AK211">
        <v>61</v>
      </c>
      <c r="AL211" t="s">
        <v>1606</v>
      </c>
      <c r="AM211" t="s">
        <v>808</v>
      </c>
      <c r="AN211" t="s">
        <v>1607</v>
      </c>
      <c r="AO211" t="s">
        <v>4379</v>
      </c>
      <c r="AP211" t="s">
        <v>4380</v>
      </c>
      <c r="AQ211" t="s">
        <v>74</v>
      </c>
      <c r="AR211" t="s">
        <v>4381</v>
      </c>
      <c r="AS211" t="s">
        <v>4382</v>
      </c>
      <c r="AT211" t="s">
        <v>4361</v>
      </c>
      <c r="AU211">
        <v>2013</v>
      </c>
      <c r="AV211">
        <v>40</v>
      </c>
      <c r="AW211">
        <v>23</v>
      </c>
      <c r="AX211" t="s">
        <v>74</v>
      </c>
      <c r="AY211" t="s">
        <v>74</v>
      </c>
      <c r="AZ211" t="s">
        <v>74</v>
      </c>
      <c r="BA211" t="s">
        <v>74</v>
      </c>
      <c r="BB211">
        <v>6176</v>
      </c>
      <c r="BC211">
        <v>6180</v>
      </c>
      <c r="BD211" t="s">
        <v>74</v>
      </c>
      <c r="BE211" t="s">
        <v>4434</v>
      </c>
      <c r="BF211" t="str">
        <f>HYPERLINK("http://dx.doi.org/10.1002/2013GL058304","http://dx.doi.org/10.1002/2013GL058304")</f>
        <v>http://dx.doi.org/10.1002/2013GL058304</v>
      </c>
      <c r="BG211" t="s">
        <v>74</v>
      </c>
      <c r="BH211" t="s">
        <v>74</v>
      </c>
      <c r="BI211">
        <v>5</v>
      </c>
      <c r="BJ211" t="s">
        <v>337</v>
      </c>
      <c r="BK211" t="s">
        <v>99</v>
      </c>
      <c r="BL211" t="s">
        <v>338</v>
      </c>
      <c r="BM211" t="s">
        <v>4384</v>
      </c>
      <c r="BN211" t="s">
        <v>74</v>
      </c>
      <c r="BO211" t="s">
        <v>4435</v>
      </c>
      <c r="BP211" t="s">
        <v>74</v>
      </c>
      <c r="BQ211" t="s">
        <v>74</v>
      </c>
      <c r="BR211" t="s">
        <v>103</v>
      </c>
      <c r="BS211" t="s">
        <v>4436</v>
      </c>
      <c r="BT211" t="str">
        <f>HYPERLINK("https%3A%2F%2Fwww.webofscience.com%2Fwos%2Fwoscc%2Ffull-record%2FWOS:000329141900030","View Full Record in Web of Science")</f>
        <v>View Full Record in Web of Science</v>
      </c>
    </row>
    <row r="212" spans="1:72" x14ac:dyDescent="0.15">
      <c r="A212" t="s">
        <v>72</v>
      </c>
      <c r="B212" t="s">
        <v>4437</v>
      </c>
      <c r="C212" t="s">
        <v>74</v>
      </c>
      <c r="D212" t="s">
        <v>74</v>
      </c>
      <c r="E212" t="s">
        <v>74</v>
      </c>
      <c r="F212" t="s">
        <v>4438</v>
      </c>
      <c r="G212" t="s">
        <v>74</v>
      </c>
      <c r="H212" t="s">
        <v>74</v>
      </c>
      <c r="I212" t="s">
        <v>4439</v>
      </c>
      <c r="J212" t="s">
        <v>4368</v>
      </c>
      <c r="K212" t="s">
        <v>74</v>
      </c>
      <c r="L212" t="s">
        <v>74</v>
      </c>
      <c r="M212" t="s">
        <v>78</v>
      </c>
      <c r="N212" t="s">
        <v>79</v>
      </c>
      <c r="O212" t="s">
        <v>74</v>
      </c>
      <c r="P212" t="s">
        <v>74</v>
      </c>
      <c r="Q212" t="s">
        <v>74</v>
      </c>
      <c r="R212" t="s">
        <v>74</v>
      </c>
      <c r="S212" t="s">
        <v>74</v>
      </c>
      <c r="T212" t="s">
        <v>4440</v>
      </c>
      <c r="U212" t="s">
        <v>4441</v>
      </c>
      <c r="V212" t="s">
        <v>4442</v>
      </c>
      <c r="W212" t="s">
        <v>4443</v>
      </c>
      <c r="X212" t="s">
        <v>4444</v>
      </c>
      <c r="Y212" t="s">
        <v>4445</v>
      </c>
      <c r="Z212" t="s">
        <v>4446</v>
      </c>
      <c r="AA212" t="s">
        <v>4447</v>
      </c>
      <c r="AB212" t="s">
        <v>4448</v>
      </c>
      <c r="AC212" t="s">
        <v>4449</v>
      </c>
      <c r="AD212" t="s">
        <v>4450</v>
      </c>
      <c r="AE212" t="s">
        <v>4451</v>
      </c>
      <c r="AF212" t="s">
        <v>74</v>
      </c>
      <c r="AG212">
        <v>33</v>
      </c>
      <c r="AH212">
        <v>60</v>
      </c>
      <c r="AI212">
        <v>63</v>
      </c>
      <c r="AJ212">
        <v>0</v>
      </c>
      <c r="AK212">
        <v>43</v>
      </c>
      <c r="AL212" t="s">
        <v>1606</v>
      </c>
      <c r="AM212" t="s">
        <v>808</v>
      </c>
      <c r="AN212" t="s">
        <v>1607</v>
      </c>
      <c r="AO212" t="s">
        <v>4379</v>
      </c>
      <c r="AP212" t="s">
        <v>4380</v>
      </c>
      <c r="AQ212" t="s">
        <v>74</v>
      </c>
      <c r="AR212" t="s">
        <v>4381</v>
      </c>
      <c r="AS212" t="s">
        <v>4382</v>
      </c>
      <c r="AT212" t="s">
        <v>4361</v>
      </c>
      <c r="AU212">
        <v>2013</v>
      </c>
      <c r="AV212">
        <v>40</v>
      </c>
      <c r="AW212">
        <v>23</v>
      </c>
      <c r="AX212" t="s">
        <v>74</v>
      </c>
      <c r="AY212" t="s">
        <v>74</v>
      </c>
      <c r="AZ212" t="s">
        <v>74</v>
      </c>
      <c r="BA212" t="s">
        <v>74</v>
      </c>
      <c r="BB212">
        <v>6202</v>
      </c>
      <c r="BC212">
        <v>6207</v>
      </c>
      <c r="BD212" t="s">
        <v>74</v>
      </c>
      <c r="BE212" t="s">
        <v>4452</v>
      </c>
      <c r="BF212" t="str">
        <f>HYPERLINK("http://dx.doi.org/10.1002/2013GL058464","http://dx.doi.org/10.1002/2013GL058464")</f>
        <v>http://dx.doi.org/10.1002/2013GL058464</v>
      </c>
      <c r="BG212" t="s">
        <v>74</v>
      </c>
      <c r="BH212" t="s">
        <v>74</v>
      </c>
      <c r="BI212">
        <v>6</v>
      </c>
      <c r="BJ212" t="s">
        <v>337</v>
      </c>
      <c r="BK212" t="s">
        <v>99</v>
      </c>
      <c r="BL212" t="s">
        <v>338</v>
      </c>
      <c r="BM212" t="s">
        <v>4384</v>
      </c>
      <c r="BN212">
        <v>26074634</v>
      </c>
      <c r="BO212" t="s">
        <v>315</v>
      </c>
      <c r="BP212" t="s">
        <v>74</v>
      </c>
      <c r="BQ212" t="s">
        <v>74</v>
      </c>
      <c r="BR212" t="s">
        <v>103</v>
      </c>
      <c r="BS212" t="s">
        <v>4453</v>
      </c>
      <c r="BT212" t="str">
        <f>HYPERLINK("https%3A%2F%2Fwww.webofscience.com%2Fwos%2Fwoscc%2Ffull-record%2FWOS:000329141900035","View Full Record in Web of Science")</f>
        <v>View Full Record in Web of Science</v>
      </c>
    </row>
    <row r="213" spans="1:72" x14ac:dyDescent="0.15">
      <c r="A213" t="s">
        <v>72</v>
      </c>
      <c r="B213" t="s">
        <v>4454</v>
      </c>
      <c r="C213" t="s">
        <v>74</v>
      </c>
      <c r="D213" t="s">
        <v>74</v>
      </c>
      <c r="E213" t="s">
        <v>74</v>
      </c>
      <c r="F213" t="s">
        <v>4455</v>
      </c>
      <c r="G213" t="s">
        <v>74</v>
      </c>
      <c r="H213" t="s">
        <v>74</v>
      </c>
      <c r="I213" t="s">
        <v>4456</v>
      </c>
      <c r="J213" t="s">
        <v>4368</v>
      </c>
      <c r="K213" t="s">
        <v>74</v>
      </c>
      <c r="L213" t="s">
        <v>74</v>
      </c>
      <c r="M213" t="s">
        <v>78</v>
      </c>
      <c r="N213" t="s">
        <v>79</v>
      </c>
      <c r="O213" t="s">
        <v>74</v>
      </c>
      <c r="P213" t="s">
        <v>74</v>
      </c>
      <c r="Q213" t="s">
        <v>74</v>
      </c>
      <c r="R213" t="s">
        <v>74</v>
      </c>
      <c r="S213" t="s">
        <v>74</v>
      </c>
      <c r="T213" t="s">
        <v>4457</v>
      </c>
      <c r="U213" t="s">
        <v>4458</v>
      </c>
      <c r="V213" t="s">
        <v>4459</v>
      </c>
      <c r="W213" t="s">
        <v>4460</v>
      </c>
      <c r="X213" t="s">
        <v>4461</v>
      </c>
      <c r="Y213" t="s">
        <v>4462</v>
      </c>
      <c r="Z213" t="s">
        <v>4463</v>
      </c>
      <c r="AA213" t="s">
        <v>4464</v>
      </c>
      <c r="AB213" t="s">
        <v>4465</v>
      </c>
      <c r="AC213" t="s">
        <v>4466</v>
      </c>
      <c r="AD213" t="s">
        <v>4467</v>
      </c>
      <c r="AE213" t="s">
        <v>4468</v>
      </c>
      <c r="AF213" t="s">
        <v>74</v>
      </c>
      <c r="AG213">
        <v>19</v>
      </c>
      <c r="AH213">
        <v>39</v>
      </c>
      <c r="AI213">
        <v>43</v>
      </c>
      <c r="AJ213">
        <v>5</v>
      </c>
      <c r="AK213">
        <v>23</v>
      </c>
      <c r="AL213" t="s">
        <v>1606</v>
      </c>
      <c r="AM213" t="s">
        <v>808</v>
      </c>
      <c r="AN213" t="s">
        <v>1607</v>
      </c>
      <c r="AO213" t="s">
        <v>4379</v>
      </c>
      <c r="AP213" t="s">
        <v>4380</v>
      </c>
      <c r="AQ213" t="s">
        <v>74</v>
      </c>
      <c r="AR213" t="s">
        <v>4381</v>
      </c>
      <c r="AS213" t="s">
        <v>4382</v>
      </c>
      <c r="AT213" t="s">
        <v>4361</v>
      </c>
      <c r="AU213">
        <v>2013</v>
      </c>
      <c r="AV213">
        <v>40</v>
      </c>
      <c r="AW213">
        <v>23</v>
      </c>
      <c r="AX213" t="s">
        <v>74</v>
      </c>
      <c r="AY213" t="s">
        <v>74</v>
      </c>
      <c r="AZ213" t="s">
        <v>74</v>
      </c>
      <c r="BA213" t="s">
        <v>74</v>
      </c>
      <c r="BB213">
        <v>6231</v>
      </c>
      <c r="BC213">
        <v>6235</v>
      </c>
      <c r="BD213" t="s">
        <v>74</v>
      </c>
      <c r="BE213" t="s">
        <v>4469</v>
      </c>
      <c r="BF213" t="str">
        <f>HYPERLINK("http://dx.doi.org/10.1002/2013GL057731","http://dx.doi.org/10.1002/2013GL057731")</f>
        <v>http://dx.doi.org/10.1002/2013GL057731</v>
      </c>
      <c r="BG213" t="s">
        <v>74</v>
      </c>
      <c r="BH213" t="s">
        <v>74</v>
      </c>
      <c r="BI213">
        <v>5</v>
      </c>
      <c r="BJ213" t="s">
        <v>337</v>
      </c>
      <c r="BK213" t="s">
        <v>99</v>
      </c>
      <c r="BL213" t="s">
        <v>338</v>
      </c>
      <c r="BM213" t="s">
        <v>4384</v>
      </c>
      <c r="BN213" t="s">
        <v>74</v>
      </c>
      <c r="BO213" t="s">
        <v>74</v>
      </c>
      <c r="BP213" t="s">
        <v>74</v>
      </c>
      <c r="BQ213" t="s">
        <v>74</v>
      </c>
      <c r="BR213" t="s">
        <v>103</v>
      </c>
      <c r="BS213" t="s">
        <v>4470</v>
      </c>
      <c r="BT213" t="str">
        <f>HYPERLINK("https%3A%2F%2Fwww.webofscience.com%2Fwos%2Fwoscc%2Ffull-record%2FWOS:000329141900040","View Full Record in Web of Science")</f>
        <v>View Full Record in Web of Science</v>
      </c>
    </row>
    <row r="214" spans="1:72" x14ac:dyDescent="0.15">
      <c r="A214" t="s">
        <v>72</v>
      </c>
      <c r="B214" t="s">
        <v>4471</v>
      </c>
      <c r="C214" t="s">
        <v>74</v>
      </c>
      <c r="D214" t="s">
        <v>74</v>
      </c>
      <c r="E214" t="s">
        <v>74</v>
      </c>
      <c r="F214" t="s">
        <v>4472</v>
      </c>
      <c r="G214" t="s">
        <v>74</v>
      </c>
      <c r="H214" t="s">
        <v>74</v>
      </c>
      <c r="I214" t="s">
        <v>4473</v>
      </c>
      <c r="J214" t="s">
        <v>4346</v>
      </c>
      <c r="K214" t="s">
        <v>74</v>
      </c>
      <c r="L214" t="s">
        <v>74</v>
      </c>
      <c r="M214" t="s">
        <v>78</v>
      </c>
      <c r="N214" t="s">
        <v>79</v>
      </c>
      <c r="O214" t="s">
        <v>74</v>
      </c>
      <c r="P214" t="s">
        <v>74</v>
      </c>
      <c r="Q214" t="s">
        <v>74</v>
      </c>
      <c r="R214" t="s">
        <v>74</v>
      </c>
      <c r="S214" t="s">
        <v>74</v>
      </c>
      <c r="T214" t="s">
        <v>4474</v>
      </c>
      <c r="U214" t="s">
        <v>4475</v>
      </c>
      <c r="V214" t="s">
        <v>4476</v>
      </c>
      <c r="W214" t="s">
        <v>4477</v>
      </c>
      <c r="X214" t="s">
        <v>4478</v>
      </c>
      <c r="Y214" t="s">
        <v>4479</v>
      </c>
      <c r="Z214" t="s">
        <v>4480</v>
      </c>
      <c r="AA214" t="s">
        <v>4481</v>
      </c>
      <c r="AB214" t="s">
        <v>4482</v>
      </c>
      <c r="AC214" t="s">
        <v>4483</v>
      </c>
      <c r="AD214" t="s">
        <v>4484</v>
      </c>
      <c r="AE214" t="s">
        <v>4485</v>
      </c>
      <c r="AF214" t="s">
        <v>74</v>
      </c>
      <c r="AG214">
        <v>65</v>
      </c>
      <c r="AH214">
        <v>15</v>
      </c>
      <c r="AI214">
        <v>16</v>
      </c>
      <c r="AJ214">
        <v>1</v>
      </c>
      <c r="AK214">
        <v>12</v>
      </c>
      <c r="AL214" t="s">
        <v>1606</v>
      </c>
      <c r="AM214" t="s">
        <v>808</v>
      </c>
      <c r="AN214" t="s">
        <v>1607</v>
      </c>
      <c r="AO214" t="s">
        <v>4357</v>
      </c>
      <c r="AP214" t="s">
        <v>4358</v>
      </c>
      <c r="AQ214" t="s">
        <v>74</v>
      </c>
      <c r="AR214" t="s">
        <v>4359</v>
      </c>
      <c r="AS214" t="s">
        <v>4360</v>
      </c>
      <c r="AT214" t="s">
        <v>4361</v>
      </c>
      <c r="AU214">
        <v>2013</v>
      </c>
      <c r="AV214">
        <v>118</v>
      </c>
      <c r="AW214">
        <v>23</v>
      </c>
      <c r="AX214" t="s">
        <v>74</v>
      </c>
      <c r="AY214" t="s">
        <v>74</v>
      </c>
      <c r="AZ214" t="s">
        <v>74</v>
      </c>
      <c r="BA214" t="s">
        <v>74</v>
      </c>
      <c r="BB214">
        <v>13022</v>
      </c>
      <c r="BC214">
        <v>13040</v>
      </c>
      <c r="BD214" t="s">
        <v>74</v>
      </c>
      <c r="BE214" t="s">
        <v>4486</v>
      </c>
      <c r="BF214" t="str">
        <f>HYPERLINK("http://dx.doi.org/10.1002/2013JD020763","http://dx.doi.org/10.1002/2013JD020763")</f>
        <v>http://dx.doi.org/10.1002/2013JD020763</v>
      </c>
      <c r="BG214" t="s">
        <v>74</v>
      </c>
      <c r="BH214" t="s">
        <v>74</v>
      </c>
      <c r="BI214">
        <v>19</v>
      </c>
      <c r="BJ214" t="s">
        <v>1503</v>
      </c>
      <c r="BK214" t="s">
        <v>99</v>
      </c>
      <c r="BL214" t="s">
        <v>1503</v>
      </c>
      <c r="BM214" t="s">
        <v>4363</v>
      </c>
      <c r="BN214" t="s">
        <v>74</v>
      </c>
      <c r="BO214" t="s">
        <v>475</v>
      </c>
      <c r="BP214" t="s">
        <v>74</v>
      </c>
      <c r="BQ214" t="s">
        <v>74</v>
      </c>
      <c r="BR214" t="s">
        <v>103</v>
      </c>
      <c r="BS214" t="s">
        <v>4487</v>
      </c>
      <c r="BT214" t="str">
        <f>HYPERLINK("https%3A%2F%2Fwww.webofscience.com%2Fwos%2Fwoscc%2Ffull-record%2FWOS:000330266500033","View Full Record in Web of Science")</f>
        <v>View Full Record in Web of Science</v>
      </c>
    </row>
    <row r="215" spans="1:72" x14ac:dyDescent="0.15">
      <c r="A215" t="s">
        <v>72</v>
      </c>
      <c r="B215" t="s">
        <v>4488</v>
      </c>
      <c r="C215" t="s">
        <v>74</v>
      </c>
      <c r="D215" t="s">
        <v>74</v>
      </c>
      <c r="E215" t="s">
        <v>74</v>
      </c>
      <c r="F215" t="s">
        <v>4489</v>
      </c>
      <c r="G215" t="s">
        <v>74</v>
      </c>
      <c r="H215" t="s">
        <v>74</v>
      </c>
      <c r="I215" t="s">
        <v>4490</v>
      </c>
      <c r="J215" t="s">
        <v>4346</v>
      </c>
      <c r="K215" t="s">
        <v>74</v>
      </c>
      <c r="L215" t="s">
        <v>74</v>
      </c>
      <c r="M215" t="s">
        <v>78</v>
      </c>
      <c r="N215" t="s">
        <v>79</v>
      </c>
      <c r="O215" t="s">
        <v>74</v>
      </c>
      <c r="P215" t="s">
        <v>74</v>
      </c>
      <c r="Q215" t="s">
        <v>74</v>
      </c>
      <c r="R215" t="s">
        <v>74</v>
      </c>
      <c r="S215" t="s">
        <v>74</v>
      </c>
      <c r="T215" t="s">
        <v>4491</v>
      </c>
      <c r="U215" t="s">
        <v>4492</v>
      </c>
      <c r="V215" t="s">
        <v>4493</v>
      </c>
      <c r="W215" t="s">
        <v>4494</v>
      </c>
      <c r="X215" t="s">
        <v>4495</v>
      </c>
      <c r="Y215" t="s">
        <v>4496</v>
      </c>
      <c r="Z215" t="s">
        <v>4497</v>
      </c>
      <c r="AA215" t="s">
        <v>4498</v>
      </c>
      <c r="AB215" t="s">
        <v>74</v>
      </c>
      <c r="AC215" t="s">
        <v>4499</v>
      </c>
      <c r="AD215" t="s">
        <v>4500</v>
      </c>
      <c r="AE215" t="s">
        <v>4501</v>
      </c>
      <c r="AF215" t="s">
        <v>74</v>
      </c>
      <c r="AG215">
        <v>62</v>
      </c>
      <c r="AH215">
        <v>8</v>
      </c>
      <c r="AI215">
        <v>9</v>
      </c>
      <c r="AJ215">
        <v>2</v>
      </c>
      <c r="AK215">
        <v>33</v>
      </c>
      <c r="AL215" t="s">
        <v>1606</v>
      </c>
      <c r="AM215" t="s">
        <v>808</v>
      </c>
      <c r="AN215" t="s">
        <v>1607</v>
      </c>
      <c r="AO215" t="s">
        <v>4357</v>
      </c>
      <c r="AP215" t="s">
        <v>4358</v>
      </c>
      <c r="AQ215" t="s">
        <v>74</v>
      </c>
      <c r="AR215" t="s">
        <v>4359</v>
      </c>
      <c r="AS215" t="s">
        <v>4360</v>
      </c>
      <c r="AT215" t="s">
        <v>4361</v>
      </c>
      <c r="AU215">
        <v>2013</v>
      </c>
      <c r="AV215">
        <v>118</v>
      </c>
      <c r="AW215">
        <v>23</v>
      </c>
      <c r="AX215" t="s">
        <v>74</v>
      </c>
      <c r="AY215" t="s">
        <v>74</v>
      </c>
      <c r="AZ215" t="s">
        <v>74</v>
      </c>
      <c r="BA215" t="s">
        <v>74</v>
      </c>
      <c r="BB215">
        <v>13319</v>
      </c>
      <c r="BC215">
        <v>13337</v>
      </c>
      <c r="BD215" t="s">
        <v>74</v>
      </c>
      <c r="BE215" t="s">
        <v>4502</v>
      </c>
      <c r="BF215" t="str">
        <f>HYPERLINK("http://dx.doi.org/10.1002/2013JD019864","http://dx.doi.org/10.1002/2013JD019864")</f>
        <v>http://dx.doi.org/10.1002/2013JD019864</v>
      </c>
      <c r="BG215" t="s">
        <v>74</v>
      </c>
      <c r="BH215" t="s">
        <v>74</v>
      </c>
      <c r="BI215">
        <v>19</v>
      </c>
      <c r="BJ215" t="s">
        <v>1503</v>
      </c>
      <c r="BK215" t="s">
        <v>99</v>
      </c>
      <c r="BL215" t="s">
        <v>1503</v>
      </c>
      <c r="BM215" t="s">
        <v>4363</v>
      </c>
      <c r="BN215" t="s">
        <v>74</v>
      </c>
      <c r="BO215" t="s">
        <v>1630</v>
      </c>
      <c r="BP215" t="s">
        <v>74</v>
      </c>
      <c r="BQ215" t="s">
        <v>74</v>
      </c>
      <c r="BR215" t="s">
        <v>103</v>
      </c>
      <c r="BS215" t="s">
        <v>4503</v>
      </c>
      <c r="BT215" t="str">
        <f>HYPERLINK("https%3A%2F%2Fwww.webofscience.com%2Fwos%2Fwoscc%2Ffull-record%2FWOS:000330266500019","View Full Record in Web of Science")</f>
        <v>View Full Record in Web of Science</v>
      </c>
    </row>
    <row r="216" spans="1:72" x14ac:dyDescent="0.15">
      <c r="A216" t="s">
        <v>72</v>
      </c>
      <c r="B216" t="s">
        <v>4504</v>
      </c>
      <c r="C216" t="s">
        <v>74</v>
      </c>
      <c r="D216" t="s">
        <v>74</v>
      </c>
      <c r="E216" t="s">
        <v>74</v>
      </c>
      <c r="F216" t="s">
        <v>4505</v>
      </c>
      <c r="G216" t="s">
        <v>74</v>
      </c>
      <c r="H216" t="s">
        <v>74</v>
      </c>
      <c r="I216" t="s">
        <v>4506</v>
      </c>
      <c r="J216" t="s">
        <v>4507</v>
      </c>
      <c r="K216" t="s">
        <v>74</v>
      </c>
      <c r="L216" t="s">
        <v>74</v>
      </c>
      <c r="M216" t="s">
        <v>78</v>
      </c>
      <c r="N216" t="s">
        <v>79</v>
      </c>
      <c r="O216" t="s">
        <v>74</v>
      </c>
      <c r="P216" t="s">
        <v>74</v>
      </c>
      <c r="Q216" t="s">
        <v>74</v>
      </c>
      <c r="R216" t="s">
        <v>74</v>
      </c>
      <c r="S216" t="s">
        <v>74</v>
      </c>
      <c r="T216" t="s">
        <v>74</v>
      </c>
      <c r="U216" t="s">
        <v>4508</v>
      </c>
      <c r="V216" t="s">
        <v>4509</v>
      </c>
      <c r="W216" t="s">
        <v>4510</v>
      </c>
      <c r="X216" t="s">
        <v>4511</v>
      </c>
      <c r="Y216" t="s">
        <v>4512</v>
      </c>
      <c r="Z216" t="s">
        <v>4513</v>
      </c>
      <c r="AA216" t="s">
        <v>4514</v>
      </c>
      <c r="AB216" t="s">
        <v>4515</v>
      </c>
      <c r="AC216" t="s">
        <v>4516</v>
      </c>
      <c r="AD216" t="s">
        <v>4517</v>
      </c>
      <c r="AE216" t="s">
        <v>4518</v>
      </c>
      <c r="AF216" t="s">
        <v>74</v>
      </c>
      <c r="AG216">
        <v>24</v>
      </c>
      <c r="AH216">
        <v>23</v>
      </c>
      <c r="AI216">
        <v>30</v>
      </c>
      <c r="AJ216">
        <v>2</v>
      </c>
      <c r="AK216">
        <v>58</v>
      </c>
      <c r="AL216" t="s">
        <v>4519</v>
      </c>
      <c r="AM216" t="s">
        <v>4207</v>
      </c>
      <c r="AN216" t="s">
        <v>4208</v>
      </c>
      <c r="AO216" t="s">
        <v>4520</v>
      </c>
      <c r="AP216" t="s">
        <v>74</v>
      </c>
      <c r="AQ216" t="s">
        <v>74</v>
      </c>
      <c r="AR216" t="s">
        <v>4521</v>
      </c>
      <c r="AS216" t="s">
        <v>4522</v>
      </c>
      <c r="AT216" t="s">
        <v>4361</v>
      </c>
      <c r="AU216">
        <v>2013</v>
      </c>
      <c r="AV216">
        <v>15</v>
      </c>
      <c r="AW216" t="s">
        <v>74</v>
      </c>
      <c r="AX216" t="s">
        <v>74</v>
      </c>
      <c r="AY216" t="s">
        <v>74</v>
      </c>
      <c r="AZ216" t="s">
        <v>74</v>
      </c>
      <c r="BA216" t="s">
        <v>74</v>
      </c>
      <c r="BB216" t="s">
        <v>74</v>
      </c>
      <c r="BC216" t="s">
        <v>74</v>
      </c>
      <c r="BD216">
        <v>125022</v>
      </c>
      <c r="BE216" t="s">
        <v>4523</v>
      </c>
      <c r="BF216" t="str">
        <f>HYPERLINK("http://dx.doi.org/10.1088/1367-2630/15/12/125022","http://dx.doi.org/10.1088/1367-2630/15/12/125022")</f>
        <v>http://dx.doi.org/10.1088/1367-2630/15/12/125022</v>
      </c>
      <c r="BG216" t="s">
        <v>74</v>
      </c>
      <c r="BH216" t="s">
        <v>74</v>
      </c>
      <c r="BI216">
        <v>17</v>
      </c>
      <c r="BJ216" t="s">
        <v>721</v>
      </c>
      <c r="BK216" t="s">
        <v>99</v>
      </c>
      <c r="BL216" t="s">
        <v>722</v>
      </c>
      <c r="BM216" t="s">
        <v>4524</v>
      </c>
      <c r="BN216" t="s">
        <v>74</v>
      </c>
      <c r="BO216" t="s">
        <v>616</v>
      </c>
      <c r="BP216" t="s">
        <v>74</v>
      </c>
      <c r="BQ216" t="s">
        <v>74</v>
      </c>
      <c r="BR216" t="s">
        <v>103</v>
      </c>
      <c r="BS216" t="s">
        <v>4525</v>
      </c>
      <c r="BT216" t="str">
        <f>HYPERLINK("https%3A%2F%2Fwww.webofscience.com%2Fwos%2Fwoscc%2Ffull-record%2FWOS:000329439500002","View Full Record in Web of Science")</f>
        <v>View Full Record in Web of Science</v>
      </c>
    </row>
    <row r="217" spans="1:72" x14ac:dyDescent="0.15">
      <c r="A217" t="s">
        <v>72</v>
      </c>
      <c r="B217" t="s">
        <v>4526</v>
      </c>
      <c r="C217" t="s">
        <v>74</v>
      </c>
      <c r="D217" t="s">
        <v>74</v>
      </c>
      <c r="E217" t="s">
        <v>74</v>
      </c>
      <c r="F217" t="s">
        <v>4527</v>
      </c>
      <c r="G217" t="s">
        <v>74</v>
      </c>
      <c r="H217" t="s">
        <v>74</v>
      </c>
      <c r="I217" t="s">
        <v>4528</v>
      </c>
      <c r="J217" t="s">
        <v>4072</v>
      </c>
      <c r="K217" t="s">
        <v>74</v>
      </c>
      <c r="L217" t="s">
        <v>74</v>
      </c>
      <c r="M217" t="s">
        <v>78</v>
      </c>
      <c r="N217" t="s">
        <v>79</v>
      </c>
      <c r="O217" t="s">
        <v>74</v>
      </c>
      <c r="P217" t="s">
        <v>74</v>
      </c>
      <c r="Q217" t="s">
        <v>74</v>
      </c>
      <c r="R217" t="s">
        <v>74</v>
      </c>
      <c r="S217" t="s">
        <v>74</v>
      </c>
      <c r="T217" t="s">
        <v>74</v>
      </c>
      <c r="U217" t="s">
        <v>4529</v>
      </c>
      <c r="V217" t="s">
        <v>4530</v>
      </c>
      <c r="W217" t="s">
        <v>4531</v>
      </c>
      <c r="X217" t="s">
        <v>4532</v>
      </c>
      <c r="Y217" t="s">
        <v>4533</v>
      </c>
      <c r="Z217" t="s">
        <v>4534</v>
      </c>
      <c r="AA217" t="s">
        <v>4535</v>
      </c>
      <c r="AB217" t="s">
        <v>4536</v>
      </c>
      <c r="AC217" t="s">
        <v>4537</v>
      </c>
      <c r="AD217" t="s">
        <v>4538</v>
      </c>
      <c r="AE217" t="s">
        <v>4539</v>
      </c>
      <c r="AF217" t="s">
        <v>74</v>
      </c>
      <c r="AG217">
        <v>57</v>
      </c>
      <c r="AH217">
        <v>98</v>
      </c>
      <c r="AI217">
        <v>111</v>
      </c>
      <c r="AJ217">
        <v>3</v>
      </c>
      <c r="AK217">
        <v>83</v>
      </c>
      <c r="AL217" t="s">
        <v>4084</v>
      </c>
      <c r="AM217" t="s">
        <v>4085</v>
      </c>
      <c r="AN217" t="s">
        <v>4086</v>
      </c>
      <c r="AO217" t="s">
        <v>4087</v>
      </c>
      <c r="AP217" t="s">
        <v>74</v>
      </c>
      <c r="AQ217" t="s">
        <v>74</v>
      </c>
      <c r="AR217" t="s">
        <v>4072</v>
      </c>
      <c r="AS217" t="s">
        <v>4088</v>
      </c>
      <c r="AT217" t="s">
        <v>4361</v>
      </c>
      <c r="AU217">
        <v>2013</v>
      </c>
      <c r="AV217">
        <v>8</v>
      </c>
      <c r="AW217">
        <v>12</v>
      </c>
      <c r="AX217" t="s">
        <v>74</v>
      </c>
      <c r="AY217" t="s">
        <v>74</v>
      </c>
      <c r="AZ217" t="s">
        <v>74</v>
      </c>
      <c r="BA217" t="s">
        <v>74</v>
      </c>
      <c r="BB217" t="s">
        <v>74</v>
      </c>
      <c r="BC217" t="s">
        <v>74</v>
      </c>
      <c r="BD217" t="s">
        <v>4540</v>
      </c>
      <c r="BE217" t="s">
        <v>4541</v>
      </c>
      <c r="BF217" t="str">
        <f>HYPERLINK("http://dx.doi.org/10.1371/journal.pone.0082227","http://dx.doi.org/10.1371/journal.pone.0082227")</f>
        <v>http://dx.doi.org/10.1371/journal.pone.0082227</v>
      </c>
      <c r="BG217" t="s">
        <v>74</v>
      </c>
      <c r="BH217" t="s">
        <v>74</v>
      </c>
      <c r="BI217">
        <v>11</v>
      </c>
      <c r="BJ217" t="s">
        <v>2652</v>
      </c>
      <c r="BK217" t="s">
        <v>99</v>
      </c>
      <c r="BL217" t="s">
        <v>2653</v>
      </c>
      <c r="BM217" t="s">
        <v>4542</v>
      </c>
      <c r="BN217">
        <v>24358158</v>
      </c>
      <c r="BO217" t="s">
        <v>4543</v>
      </c>
      <c r="BP217" t="s">
        <v>74</v>
      </c>
      <c r="BQ217" t="s">
        <v>74</v>
      </c>
      <c r="BR217" t="s">
        <v>103</v>
      </c>
      <c r="BS217" t="s">
        <v>4544</v>
      </c>
      <c r="BT217" t="str">
        <f>HYPERLINK("https%3A%2F%2Fwww.webofscience.com%2Fwos%2Fwoscc%2Ffull-record%2FWOS:000328735700047","View Full Record in Web of Science")</f>
        <v>View Full Record in Web of Science</v>
      </c>
    </row>
    <row r="218" spans="1:72" x14ac:dyDescent="0.15">
      <c r="A218" t="s">
        <v>72</v>
      </c>
      <c r="B218" t="s">
        <v>4545</v>
      </c>
      <c r="C218" t="s">
        <v>74</v>
      </c>
      <c r="D218" t="s">
        <v>74</v>
      </c>
      <c r="E218" t="s">
        <v>74</v>
      </c>
      <c r="F218" t="s">
        <v>4546</v>
      </c>
      <c r="G218" t="s">
        <v>74</v>
      </c>
      <c r="H218" t="s">
        <v>74</v>
      </c>
      <c r="I218" t="s">
        <v>4547</v>
      </c>
      <c r="J218" t="s">
        <v>4548</v>
      </c>
      <c r="K218" t="s">
        <v>74</v>
      </c>
      <c r="L218" t="s">
        <v>74</v>
      </c>
      <c r="M218" t="s">
        <v>78</v>
      </c>
      <c r="N218" t="s">
        <v>79</v>
      </c>
      <c r="O218" t="s">
        <v>74</v>
      </c>
      <c r="P218" t="s">
        <v>74</v>
      </c>
      <c r="Q218" t="s">
        <v>74</v>
      </c>
      <c r="R218" t="s">
        <v>74</v>
      </c>
      <c r="S218" t="s">
        <v>74</v>
      </c>
      <c r="T218" t="s">
        <v>4549</v>
      </c>
      <c r="U218" t="s">
        <v>4550</v>
      </c>
      <c r="V218" t="s">
        <v>4551</v>
      </c>
      <c r="W218" t="s">
        <v>4552</v>
      </c>
      <c r="X218" t="s">
        <v>4553</v>
      </c>
      <c r="Y218" t="s">
        <v>4554</v>
      </c>
      <c r="Z218" t="s">
        <v>4555</v>
      </c>
      <c r="AA218" t="s">
        <v>4556</v>
      </c>
      <c r="AB218" t="s">
        <v>4557</v>
      </c>
      <c r="AC218" t="s">
        <v>4558</v>
      </c>
      <c r="AD218" t="s">
        <v>4559</v>
      </c>
      <c r="AE218" t="s">
        <v>4560</v>
      </c>
      <c r="AF218" t="s">
        <v>74</v>
      </c>
      <c r="AG218">
        <v>56</v>
      </c>
      <c r="AH218">
        <v>51</v>
      </c>
      <c r="AI218">
        <v>56</v>
      </c>
      <c r="AJ218">
        <v>0</v>
      </c>
      <c r="AK218">
        <v>145</v>
      </c>
      <c r="AL218" t="s">
        <v>872</v>
      </c>
      <c r="AM218" t="s">
        <v>252</v>
      </c>
      <c r="AN218" t="s">
        <v>873</v>
      </c>
      <c r="AO218" t="s">
        <v>4561</v>
      </c>
      <c r="AP218" t="s">
        <v>4562</v>
      </c>
      <c r="AQ218" t="s">
        <v>74</v>
      </c>
      <c r="AR218" t="s">
        <v>4563</v>
      </c>
      <c r="AS218" t="s">
        <v>4564</v>
      </c>
      <c r="AT218" t="s">
        <v>4565</v>
      </c>
      <c r="AU218">
        <v>2013</v>
      </c>
      <c r="AV218">
        <v>77</v>
      </c>
      <c r="AW218" t="s">
        <v>953</v>
      </c>
      <c r="AX218" t="s">
        <v>74</v>
      </c>
      <c r="AY218" t="s">
        <v>74</v>
      </c>
      <c r="AZ218" t="s">
        <v>74</v>
      </c>
      <c r="BA218" t="s">
        <v>74</v>
      </c>
      <c r="BB218">
        <v>82</v>
      </c>
      <c r="BC218">
        <v>89</v>
      </c>
      <c r="BD218" t="s">
        <v>74</v>
      </c>
      <c r="BE218" t="s">
        <v>4566</v>
      </c>
      <c r="BF218" t="str">
        <f>HYPERLINK("http://dx.doi.org/10.1016/j.marpolbul.2013.10.027","http://dx.doi.org/10.1016/j.marpolbul.2013.10.027")</f>
        <v>http://dx.doi.org/10.1016/j.marpolbul.2013.10.027</v>
      </c>
      <c r="BG218" t="s">
        <v>74</v>
      </c>
      <c r="BH218" t="s">
        <v>74</v>
      </c>
      <c r="BI218">
        <v>8</v>
      </c>
      <c r="BJ218" t="s">
        <v>679</v>
      </c>
      <c r="BK218" t="s">
        <v>99</v>
      </c>
      <c r="BL218" t="s">
        <v>680</v>
      </c>
      <c r="BM218" t="s">
        <v>4567</v>
      </c>
      <c r="BN218">
        <v>24237994</v>
      </c>
      <c r="BO218" t="s">
        <v>74</v>
      </c>
      <c r="BP218" t="s">
        <v>74</v>
      </c>
      <c r="BQ218" t="s">
        <v>74</v>
      </c>
      <c r="BR218" t="s">
        <v>103</v>
      </c>
      <c r="BS218" t="s">
        <v>4568</v>
      </c>
      <c r="BT218" t="str">
        <f>HYPERLINK("https%3A%2F%2Fwww.webofscience.com%2Fwos%2Fwoscc%2Ffull-record%2FWOS:000329888600024","View Full Record in Web of Science")</f>
        <v>View Full Record in Web of Science</v>
      </c>
    </row>
    <row r="219" spans="1:72" x14ac:dyDescent="0.15">
      <c r="A219" t="s">
        <v>72</v>
      </c>
      <c r="B219" t="s">
        <v>4569</v>
      </c>
      <c r="C219" t="s">
        <v>74</v>
      </c>
      <c r="D219" t="s">
        <v>74</v>
      </c>
      <c r="E219" t="s">
        <v>74</v>
      </c>
      <c r="F219" t="s">
        <v>4570</v>
      </c>
      <c r="G219" t="s">
        <v>74</v>
      </c>
      <c r="H219" t="s">
        <v>74</v>
      </c>
      <c r="I219" t="s">
        <v>4571</v>
      </c>
      <c r="J219" t="s">
        <v>3405</v>
      </c>
      <c r="K219" t="s">
        <v>74</v>
      </c>
      <c r="L219" t="s">
        <v>74</v>
      </c>
      <c r="M219" t="s">
        <v>78</v>
      </c>
      <c r="N219" t="s">
        <v>79</v>
      </c>
      <c r="O219" t="s">
        <v>74</v>
      </c>
      <c r="P219" t="s">
        <v>74</v>
      </c>
      <c r="Q219" t="s">
        <v>74</v>
      </c>
      <c r="R219" t="s">
        <v>74</v>
      </c>
      <c r="S219" t="s">
        <v>74</v>
      </c>
      <c r="T219" t="s">
        <v>4572</v>
      </c>
      <c r="U219" t="s">
        <v>4573</v>
      </c>
      <c r="V219" t="s">
        <v>4574</v>
      </c>
      <c r="W219" t="s">
        <v>4575</v>
      </c>
      <c r="X219" t="s">
        <v>4576</v>
      </c>
      <c r="Y219" t="s">
        <v>4577</v>
      </c>
      <c r="Z219" t="s">
        <v>4578</v>
      </c>
      <c r="AA219" t="s">
        <v>4579</v>
      </c>
      <c r="AB219" t="s">
        <v>4580</v>
      </c>
      <c r="AC219" t="s">
        <v>4581</v>
      </c>
      <c r="AD219" t="s">
        <v>4582</v>
      </c>
      <c r="AE219" t="s">
        <v>4583</v>
      </c>
      <c r="AF219" t="s">
        <v>74</v>
      </c>
      <c r="AG219">
        <v>73</v>
      </c>
      <c r="AH219">
        <v>39</v>
      </c>
      <c r="AI219">
        <v>48</v>
      </c>
      <c r="AJ219">
        <v>1</v>
      </c>
      <c r="AK219">
        <v>10</v>
      </c>
      <c r="AL219" t="s">
        <v>872</v>
      </c>
      <c r="AM219" t="s">
        <v>252</v>
      </c>
      <c r="AN219" t="s">
        <v>873</v>
      </c>
      <c r="AO219" t="s">
        <v>3416</v>
      </c>
      <c r="AP219" t="s">
        <v>74</v>
      </c>
      <c r="AQ219" t="s">
        <v>74</v>
      </c>
      <c r="AR219" t="s">
        <v>3417</v>
      </c>
      <c r="AS219" t="s">
        <v>3418</v>
      </c>
      <c r="AT219" t="s">
        <v>4565</v>
      </c>
      <c r="AU219">
        <v>2013</v>
      </c>
      <c r="AV219">
        <v>82</v>
      </c>
      <c r="AW219" t="s">
        <v>74</v>
      </c>
      <c r="AX219" t="s">
        <v>74</v>
      </c>
      <c r="AY219" t="s">
        <v>74</v>
      </c>
      <c r="AZ219" t="s">
        <v>74</v>
      </c>
      <c r="BA219" t="s">
        <v>74</v>
      </c>
      <c r="BB219">
        <v>13</v>
      </c>
      <c r="BC219">
        <v>22</v>
      </c>
      <c r="BD219" t="s">
        <v>74</v>
      </c>
      <c r="BE219" t="s">
        <v>4584</v>
      </c>
      <c r="BF219" t="str">
        <f>HYPERLINK("http://dx.doi.org/10.1016/j.quascirev.2013.09.018","http://dx.doi.org/10.1016/j.quascirev.2013.09.018")</f>
        <v>http://dx.doi.org/10.1016/j.quascirev.2013.09.018</v>
      </c>
      <c r="BG219" t="s">
        <v>74</v>
      </c>
      <c r="BH219" t="s">
        <v>74</v>
      </c>
      <c r="BI219">
        <v>10</v>
      </c>
      <c r="BJ219" t="s">
        <v>98</v>
      </c>
      <c r="BK219" t="s">
        <v>99</v>
      </c>
      <c r="BL219" t="s">
        <v>100</v>
      </c>
      <c r="BM219" t="s">
        <v>4585</v>
      </c>
      <c r="BN219" t="s">
        <v>74</v>
      </c>
      <c r="BO219" t="s">
        <v>831</v>
      </c>
      <c r="BP219" t="s">
        <v>74</v>
      </c>
      <c r="BQ219" t="s">
        <v>74</v>
      </c>
      <c r="BR219" t="s">
        <v>103</v>
      </c>
      <c r="BS219" t="s">
        <v>4586</v>
      </c>
      <c r="BT219" t="str">
        <f>HYPERLINK("https%3A%2F%2Fwww.webofscience.com%2Fwos%2Fwoscc%2Ffull-record%2FWOS:000329954300002","View Full Record in Web of Science")</f>
        <v>View Full Record in Web of Science</v>
      </c>
    </row>
    <row r="220" spans="1:72" x14ac:dyDescent="0.15">
      <c r="A220" t="s">
        <v>72</v>
      </c>
      <c r="B220" t="s">
        <v>4587</v>
      </c>
      <c r="C220" t="s">
        <v>74</v>
      </c>
      <c r="D220" t="s">
        <v>74</v>
      </c>
      <c r="E220" t="s">
        <v>74</v>
      </c>
      <c r="F220" t="s">
        <v>4588</v>
      </c>
      <c r="G220" t="s">
        <v>74</v>
      </c>
      <c r="H220" t="s">
        <v>74</v>
      </c>
      <c r="I220" t="s">
        <v>4589</v>
      </c>
      <c r="J220" t="s">
        <v>4590</v>
      </c>
      <c r="K220" t="s">
        <v>74</v>
      </c>
      <c r="L220" t="s">
        <v>74</v>
      </c>
      <c r="M220" t="s">
        <v>78</v>
      </c>
      <c r="N220" t="s">
        <v>79</v>
      </c>
      <c r="O220" t="s">
        <v>74</v>
      </c>
      <c r="P220" t="s">
        <v>74</v>
      </c>
      <c r="Q220" t="s">
        <v>74</v>
      </c>
      <c r="R220" t="s">
        <v>74</v>
      </c>
      <c r="S220" t="s">
        <v>74</v>
      </c>
      <c r="T220" t="s">
        <v>4591</v>
      </c>
      <c r="U220" t="s">
        <v>4592</v>
      </c>
      <c r="V220" t="s">
        <v>4593</v>
      </c>
      <c r="W220" t="s">
        <v>4594</v>
      </c>
      <c r="X220" t="s">
        <v>4595</v>
      </c>
      <c r="Y220" t="s">
        <v>4596</v>
      </c>
      <c r="Z220" t="s">
        <v>4597</v>
      </c>
      <c r="AA220" t="s">
        <v>4598</v>
      </c>
      <c r="AB220" t="s">
        <v>4599</v>
      </c>
      <c r="AC220" t="s">
        <v>4600</v>
      </c>
      <c r="AD220" t="s">
        <v>4601</v>
      </c>
      <c r="AE220" t="s">
        <v>4602</v>
      </c>
      <c r="AF220" t="s">
        <v>74</v>
      </c>
      <c r="AG220">
        <v>101</v>
      </c>
      <c r="AH220">
        <v>26</v>
      </c>
      <c r="AI220">
        <v>29</v>
      </c>
      <c r="AJ220">
        <v>2</v>
      </c>
      <c r="AK220">
        <v>50</v>
      </c>
      <c r="AL220" t="s">
        <v>304</v>
      </c>
      <c r="AM220" t="s">
        <v>305</v>
      </c>
      <c r="AN220" t="s">
        <v>306</v>
      </c>
      <c r="AO220" t="s">
        <v>4603</v>
      </c>
      <c r="AP220" t="s">
        <v>4604</v>
      </c>
      <c r="AQ220" t="s">
        <v>74</v>
      </c>
      <c r="AR220" t="s">
        <v>4605</v>
      </c>
      <c r="AS220" t="s">
        <v>4606</v>
      </c>
      <c r="AT220" t="s">
        <v>4565</v>
      </c>
      <c r="AU220">
        <v>2013</v>
      </c>
      <c r="AV220">
        <v>392</v>
      </c>
      <c r="AW220" t="s">
        <v>74</v>
      </c>
      <c r="AX220" t="s">
        <v>74</v>
      </c>
      <c r="AY220" t="s">
        <v>74</v>
      </c>
      <c r="AZ220" t="s">
        <v>74</v>
      </c>
      <c r="BA220" t="s">
        <v>74</v>
      </c>
      <c r="BB220">
        <v>41</v>
      </c>
      <c r="BC220">
        <v>51</v>
      </c>
      <c r="BD220" t="s">
        <v>74</v>
      </c>
      <c r="BE220" t="s">
        <v>4607</v>
      </c>
      <c r="BF220" t="str">
        <f>HYPERLINK("http://dx.doi.org/10.1016/j.palaeo.2013.08.009","http://dx.doi.org/10.1016/j.palaeo.2013.08.009")</f>
        <v>http://dx.doi.org/10.1016/j.palaeo.2013.08.009</v>
      </c>
      <c r="BG220" t="s">
        <v>74</v>
      </c>
      <c r="BH220" t="s">
        <v>74</v>
      </c>
      <c r="BI220">
        <v>11</v>
      </c>
      <c r="BJ220" t="s">
        <v>4608</v>
      </c>
      <c r="BK220" t="s">
        <v>99</v>
      </c>
      <c r="BL220" t="s">
        <v>4609</v>
      </c>
      <c r="BM220" t="s">
        <v>4610</v>
      </c>
      <c r="BN220" t="s">
        <v>74</v>
      </c>
      <c r="BO220" t="s">
        <v>74</v>
      </c>
      <c r="BP220" t="s">
        <v>74</v>
      </c>
      <c r="BQ220" t="s">
        <v>74</v>
      </c>
      <c r="BR220" t="s">
        <v>103</v>
      </c>
      <c r="BS220" t="s">
        <v>4611</v>
      </c>
      <c r="BT220" t="str">
        <f>HYPERLINK("https%3A%2F%2Fwww.webofscience.com%2Fwos%2Fwoscc%2Ffull-record%2FWOS:000330488400004","View Full Record in Web of Science")</f>
        <v>View Full Record in Web of Science</v>
      </c>
    </row>
    <row r="221" spans="1:72" x14ac:dyDescent="0.15">
      <c r="A221" t="s">
        <v>72</v>
      </c>
      <c r="B221" t="s">
        <v>4612</v>
      </c>
      <c r="C221" t="s">
        <v>74</v>
      </c>
      <c r="D221" t="s">
        <v>74</v>
      </c>
      <c r="E221" t="s">
        <v>74</v>
      </c>
      <c r="F221" t="s">
        <v>4613</v>
      </c>
      <c r="G221" t="s">
        <v>74</v>
      </c>
      <c r="H221" t="s">
        <v>74</v>
      </c>
      <c r="I221" t="s">
        <v>4614</v>
      </c>
      <c r="J221" t="s">
        <v>4590</v>
      </c>
      <c r="K221" t="s">
        <v>74</v>
      </c>
      <c r="L221" t="s">
        <v>74</v>
      </c>
      <c r="M221" t="s">
        <v>78</v>
      </c>
      <c r="N221" t="s">
        <v>79</v>
      </c>
      <c r="O221" t="s">
        <v>74</v>
      </c>
      <c r="P221" t="s">
        <v>74</v>
      </c>
      <c r="Q221" t="s">
        <v>74</v>
      </c>
      <c r="R221" t="s">
        <v>74</v>
      </c>
      <c r="S221" t="s">
        <v>74</v>
      </c>
      <c r="T221" t="s">
        <v>4615</v>
      </c>
      <c r="U221" t="s">
        <v>4616</v>
      </c>
      <c r="V221" t="s">
        <v>4617</v>
      </c>
      <c r="W221" t="s">
        <v>4618</v>
      </c>
      <c r="X221" t="s">
        <v>4619</v>
      </c>
      <c r="Y221" t="s">
        <v>4620</v>
      </c>
      <c r="Z221" t="s">
        <v>4621</v>
      </c>
      <c r="AA221" t="s">
        <v>4622</v>
      </c>
      <c r="AB221" t="s">
        <v>74</v>
      </c>
      <c r="AC221" t="s">
        <v>4623</v>
      </c>
      <c r="AD221" t="s">
        <v>4624</v>
      </c>
      <c r="AE221" t="s">
        <v>4625</v>
      </c>
      <c r="AF221" t="s">
        <v>74</v>
      </c>
      <c r="AG221">
        <v>102</v>
      </c>
      <c r="AH221">
        <v>33</v>
      </c>
      <c r="AI221">
        <v>42</v>
      </c>
      <c r="AJ221">
        <v>9</v>
      </c>
      <c r="AK221">
        <v>86</v>
      </c>
      <c r="AL221" t="s">
        <v>304</v>
      </c>
      <c r="AM221" t="s">
        <v>305</v>
      </c>
      <c r="AN221" t="s">
        <v>306</v>
      </c>
      <c r="AO221" t="s">
        <v>4603</v>
      </c>
      <c r="AP221" t="s">
        <v>4604</v>
      </c>
      <c r="AQ221" t="s">
        <v>74</v>
      </c>
      <c r="AR221" t="s">
        <v>4605</v>
      </c>
      <c r="AS221" t="s">
        <v>4606</v>
      </c>
      <c r="AT221" t="s">
        <v>4565</v>
      </c>
      <c r="AU221">
        <v>2013</v>
      </c>
      <c r="AV221">
        <v>392</v>
      </c>
      <c r="AW221" t="s">
        <v>74</v>
      </c>
      <c r="AX221" t="s">
        <v>74</v>
      </c>
      <c r="AY221" t="s">
        <v>74</v>
      </c>
      <c r="AZ221" t="s">
        <v>74</v>
      </c>
      <c r="BA221" t="s">
        <v>74</v>
      </c>
      <c r="BB221">
        <v>312</v>
      </c>
      <c r="BC221">
        <v>323</v>
      </c>
      <c r="BD221" t="s">
        <v>74</v>
      </c>
      <c r="BE221" t="s">
        <v>4626</v>
      </c>
      <c r="BF221" t="str">
        <f>HYPERLINK("http://dx.doi.org/10.1016/j.palaeo.2013.09.010","http://dx.doi.org/10.1016/j.palaeo.2013.09.010")</f>
        <v>http://dx.doi.org/10.1016/j.palaeo.2013.09.010</v>
      </c>
      <c r="BG221" t="s">
        <v>74</v>
      </c>
      <c r="BH221" t="s">
        <v>74</v>
      </c>
      <c r="BI221">
        <v>12</v>
      </c>
      <c r="BJ221" t="s">
        <v>4608</v>
      </c>
      <c r="BK221" t="s">
        <v>99</v>
      </c>
      <c r="BL221" t="s">
        <v>4609</v>
      </c>
      <c r="BM221" t="s">
        <v>4610</v>
      </c>
      <c r="BN221" t="s">
        <v>74</v>
      </c>
      <c r="BO221" t="s">
        <v>74</v>
      </c>
      <c r="BP221" t="s">
        <v>74</v>
      </c>
      <c r="BQ221" t="s">
        <v>74</v>
      </c>
      <c r="BR221" t="s">
        <v>103</v>
      </c>
      <c r="BS221" t="s">
        <v>4627</v>
      </c>
      <c r="BT221" t="str">
        <f>HYPERLINK("https%3A%2F%2Fwww.webofscience.com%2Fwos%2Fwoscc%2Ffull-record%2FWOS:000330488400023","View Full Record in Web of Science")</f>
        <v>View Full Record in Web of Science</v>
      </c>
    </row>
    <row r="222" spans="1:72" x14ac:dyDescent="0.15">
      <c r="A222" t="s">
        <v>72</v>
      </c>
      <c r="B222" t="s">
        <v>4628</v>
      </c>
      <c r="C222" t="s">
        <v>74</v>
      </c>
      <c r="D222" t="s">
        <v>74</v>
      </c>
      <c r="E222" t="s">
        <v>74</v>
      </c>
      <c r="F222" t="s">
        <v>4629</v>
      </c>
      <c r="G222" t="s">
        <v>74</v>
      </c>
      <c r="H222" t="s">
        <v>74</v>
      </c>
      <c r="I222" t="s">
        <v>4630</v>
      </c>
      <c r="J222" t="s">
        <v>3405</v>
      </c>
      <c r="K222" t="s">
        <v>74</v>
      </c>
      <c r="L222" t="s">
        <v>74</v>
      </c>
      <c r="M222" t="s">
        <v>78</v>
      </c>
      <c r="N222" t="s">
        <v>79</v>
      </c>
      <c r="O222" t="s">
        <v>74</v>
      </c>
      <c r="P222" t="s">
        <v>74</v>
      </c>
      <c r="Q222" t="s">
        <v>74</v>
      </c>
      <c r="R222" t="s">
        <v>74</v>
      </c>
      <c r="S222" t="s">
        <v>74</v>
      </c>
      <c r="T222" t="s">
        <v>4631</v>
      </c>
      <c r="U222" t="s">
        <v>4632</v>
      </c>
      <c r="V222" t="s">
        <v>4633</v>
      </c>
      <c r="W222" t="s">
        <v>4634</v>
      </c>
      <c r="X222" t="s">
        <v>4635</v>
      </c>
      <c r="Y222" t="s">
        <v>4636</v>
      </c>
      <c r="Z222" t="s">
        <v>4637</v>
      </c>
      <c r="AA222" t="s">
        <v>4638</v>
      </c>
      <c r="AB222" t="s">
        <v>4639</v>
      </c>
      <c r="AC222" t="s">
        <v>4640</v>
      </c>
      <c r="AD222" t="s">
        <v>4641</v>
      </c>
      <c r="AE222" t="s">
        <v>4642</v>
      </c>
      <c r="AF222" t="s">
        <v>74</v>
      </c>
      <c r="AG222">
        <v>53</v>
      </c>
      <c r="AH222">
        <v>59</v>
      </c>
      <c r="AI222">
        <v>65</v>
      </c>
      <c r="AJ222">
        <v>0</v>
      </c>
      <c r="AK222">
        <v>32</v>
      </c>
      <c r="AL222" t="s">
        <v>872</v>
      </c>
      <c r="AM222" t="s">
        <v>252</v>
      </c>
      <c r="AN222" t="s">
        <v>873</v>
      </c>
      <c r="AO222" t="s">
        <v>3416</v>
      </c>
      <c r="AP222" t="s">
        <v>4643</v>
      </c>
      <c r="AQ222" t="s">
        <v>74</v>
      </c>
      <c r="AR222" t="s">
        <v>3417</v>
      </c>
      <c r="AS222" t="s">
        <v>3418</v>
      </c>
      <c r="AT222" t="s">
        <v>4565</v>
      </c>
      <c r="AU222">
        <v>2013</v>
      </c>
      <c r="AV222">
        <v>82</v>
      </c>
      <c r="AW222" t="s">
        <v>74</v>
      </c>
      <c r="AX222" t="s">
        <v>74</v>
      </c>
      <c r="AY222" t="s">
        <v>74</v>
      </c>
      <c r="AZ222" t="s">
        <v>74</v>
      </c>
      <c r="BA222" t="s">
        <v>74</v>
      </c>
      <c r="BB222">
        <v>199</v>
      </c>
      <c r="BC222">
        <v>205</v>
      </c>
      <c r="BD222" t="s">
        <v>74</v>
      </c>
      <c r="BE222" t="s">
        <v>4644</v>
      </c>
      <c r="BF222" t="str">
        <f>HYPERLINK("http://dx.doi.org/10.1016/j.quascirev.2013.10.018","http://dx.doi.org/10.1016/j.quascirev.2013.10.018")</f>
        <v>http://dx.doi.org/10.1016/j.quascirev.2013.10.018</v>
      </c>
      <c r="BG222" t="s">
        <v>74</v>
      </c>
      <c r="BH222" t="s">
        <v>74</v>
      </c>
      <c r="BI222">
        <v>7</v>
      </c>
      <c r="BJ222" t="s">
        <v>98</v>
      </c>
      <c r="BK222" t="s">
        <v>99</v>
      </c>
      <c r="BL222" t="s">
        <v>100</v>
      </c>
      <c r="BM222" t="s">
        <v>4585</v>
      </c>
      <c r="BN222" t="s">
        <v>74</v>
      </c>
      <c r="BO222" t="s">
        <v>74</v>
      </c>
      <c r="BP222" t="s">
        <v>74</v>
      </c>
      <c r="BQ222" t="s">
        <v>74</v>
      </c>
      <c r="BR222" t="s">
        <v>103</v>
      </c>
      <c r="BS222" t="s">
        <v>4645</v>
      </c>
      <c r="BT222" t="str">
        <f>HYPERLINK("https%3A%2F%2Fwww.webofscience.com%2Fwos%2Fwoscc%2Ffull-record%2FWOS:000329954300014","View Full Record in Web of Science")</f>
        <v>View Full Record in Web of Science</v>
      </c>
    </row>
    <row r="223" spans="1:72" x14ac:dyDescent="0.15">
      <c r="A223" t="s">
        <v>72</v>
      </c>
      <c r="B223" t="s">
        <v>4646</v>
      </c>
      <c r="C223" t="s">
        <v>74</v>
      </c>
      <c r="D223" t="s">
        <v>74</v>
      </c>
      <c r="E223" t="s">
        <v>74</v>
      </c>
      <c r="F223" t="s">
        <v>4647</v>
      </c>
      <c r="G223" t="s">
        <v>74</v>
      </c>
      <c r="H223" t="s">
        <v>74</v>
      </c>
      <c r="I223" t="s">
        <v>4648</v>
      </c>
      <c r="J223" t="s">
        <v>4649</v>
      </c>
      <c r="K223" t="s">
        <v>74</v>
      </c>
      <c r="L223" t="s">
        <v>74</v>
      </c>
      <c r="M223" t="s">
        <v>78</v>
      </c>
      <c r="N223" t="s">
        <v>79</v>
      </c>
      <c r="O223" t="s">
        <v>74</v>
      </c>
      <c r="P223" t="s">
        <v>74</v>
      </c>
      <c r="Q223" t="s">
        <v>74</v>
      </c>
      <c r="R223" t="s">
        <v>74</v>
      </c>
      <c r="S223" t="s">
        <v>74</v>
      </c>
      <c r="T223" t="s">
        <v>74</v>
      </c>
      <c r="U223" t="s">
        <v>4650</v>
      </c>
      <c r="V223" t="s">
        <v>4651</v>
      </c>
      <c r="W223" t="s">
        <v>4652</v>
      </c>
      <c r="X223" t="s">
        <v>4653</v>
      </c>
      <c r="Y223" t="s">
        <v>4654</v>
      </c>
      <c r="Z223" t="s">
        <v>4655</v>
      </c>
      <c r="AA223" t="s">
        <v>4656</v>
      </c>
      <c r="AB223" t="s">
        <v>4657</v>
      </c>
      <c r="AC223" t="s">
        <v>4658</v>
      </c>
      <c r="AD223" t="s">
        <v>4659</v>
      </c>
      <c r="AE223" t="s">
        <v>4660</v>
      </c>
      <c r="AF223" t="s">
        <v>74</v>
      </c>
      <c r="AG223">
        <v>60</v>
      </c>
      <c r="AH223">
        <v>23</v>
      </c>
      <c r="AI223">
        <v>24</v>
      </c>
      <c r="AJ223">
        <v>0</v>
      </c>
      <c r="AK223">
        <v>59</v>
      </c>
      <c r="AL223" t="s">
        <v>4661</v>
      </c>
      <c r="AM223" t="s">
        <v>2800</v>
      </c>
      <c r="AN223" t="s">
        <v>4662</v>
      </c>
      <c r="AO223" t="s">
        <v>4663</v>
      </c>
      <c r="AP223" t="s">
        <v>74</v>
      </c>
      <c r="AQ223" t="s">
        <v>74</v>
      </c>
      <c r="AR223" t="s">
        <v>4664</v>
      </c>
      <c r="AS223" t="s">
        <v>4665</v>
      </c>
      <c r="AT223" t="s">
        <v>4666</v>
      </c>
      <c r="AU223">
        <v>2013</v>
      </c>
      <c r="AV223">
        <v>3</v>
      </c>
      <c r="AW223" t="s">
        <v>74</v>
      </c>
      <c r="AX223" t="s">
        <v>74</v>
      </c>
      <c r="AY223" t="s">
        <v>74</v>
      </c>
      <c r="AZ223" t="s">
        <v>74</v>
      </c>
      <c r="BA223" t="s">
        <v>74</v>
      </c>
      <c r="BB223" t="s">
        <v>74</v>
      </c>
      <c r="BC223" t="s">
        <v>74</v>
      </c>
      <c r="BD223">
        <v>3461</v>
      </c>
      <c r="BE223" t="s">
        <v>4667</v>
      </c>
      <c r="BF223" t="str">
        <f>HYPERLINK("http://dx.doi.org/10.1038/srep03461","http://dx.doi.org/10.1038/srep03461")</f>
        <v>http://dx.doi.org/10.1038/srep03461</v>
      </c>
      <c r="BG223" t="s">
        <v>74</v>
      </c>
      <c r="BH223" t="s">
        <v>74</v>
      </c>
      <c r="BI223">
        <v>7</v>
      </c>
      <c r="BJ223" t="s">
        <v>2652</v>
      </c>
      <c r="BK223" t="s">
        <v>99</v>
      </c>
      <c r="BL223" t="s">
        <v>2653</v>
      </c>
      <c r="BM223" t="s">
        <v>4668</v>
      </c>
      <c r="BN223">
        <v>24336564</v>
      </c>
      <c r="BO223" t="s">
        <v>3760</v>
      </c>
      <c r="BP223" t="s">
        <v>74</v>
      </c>
      <c r="BQ223" t="s">
        <v>74</v>
      </c>
      <c r="BR223" t="s">
        <v>103</v>
      </c>
      <c r="BS223" t="s">
        <v>4669</v>
      </c>
      <c r="BT223" t="str">
        <f>HYPERLINK("https%3A%2F%2Fwww.webofscience.com%2Fwos%2Fwoscc%2Ffull-record%2FWOS:000328504600001","View Full Record in Web of Science")</f>
        <v>View Full Record in Web of Science</v>
      </c>
    </row>
    <row r="224" spans="1:72" x14ac:dyDescent="0.15">
      <c r="A224" t="s">
        <v>72</v>
      </c>
      <c r="B224" t="s">
        <v>4670</v>
      </c>
      <c r="C224" t="s">
        <v>74</v>
      </c>
      <c r="D224" t="s">
        <v>74</v>
      </c>
      <c r="E224" t="s">
        <v>74</v>
      </c>
      <c r="F224" t="s">
        <v>4671</v>
      </c>
      <c r="G224" t="s">
        <v>74</v>
      </c>
      <c r="H224" t="s">
        <v>74</v>
      </c>
      <c r="I224" t="s">
        <v>4672</v>
      </c>
      <c r="J224" t="s">
        <v>4072</v>
      </c>
      <c r="K224" t="s">
        <v>74</v>
      </c>
      <c r="L224" t="s">
        <v>74</v>
      </c>
      <c r="M224" t="s">
        <v>78</v>
      </c>
      <c r="N224" t="s">
        <v>79</v>
      </c>
      <c r="O224" t="s">
        <v>74</v>
      </c>
      <c r="P224" t="s">
        <v>74</v>
      </c>
      <c r="Q224" t="s">
        <v>74</v>
      </c>
      <c r="R224" t="s">
        <v>74</v>
      </c>
      <c r="S224" t="s">
        <v>74</v>
      </c>
      <c r="T224" t="s">
        <v>74</v>
      </c>
      <c r="U224" t="s">
        <v>4673</v>
      </c>
      <c r="V224" t="s">
        <v>4674</v>
      </c>
      <c r="W224" t="s">
        <v>4675</v>
      </c>
      <c r="X224" t="s">
        <v>4676</v>
      </c>
      <c r="Y224" t="s">
        <v>4677</v>
      </c>
      <c r="Z224" t="s">
        <v>4678</v>
      </c>
      <c r="AA224" t="s">
        <v>4679</v>
      </c>
      <c r="AB224" t="s">
        <v>74</v>
      </c>
      <c r="AC224" t="s">
        <v>4680</v>
      </c>
      <c r="AD224" t="s">
        <v>4681</v>
      </c>
      <c r="AE224" t="s">
        <v>4682</v>
      </c>
      <c r="AF224" t="s">
        <v>74</v>
      </c>
      <c r="AG224">
        <v>30</v>
      </c>
      <c r="AH224">
        <v>15</v>
      </c>
      <c r="AI224">
        <v>16</v>
      </c>
      <c r="AJ224">
        <v>0</v>
      </c>
      <c r="AK224">
        <v>37</v>
      </c>
      <c r="AL224" t="s">
        <v>4084</v>
      </c>
      <c r="AM224" t="s">
        <v>4085</v>
      </c>
      <c r="AN224" t="s">
        <v>4086</v>
      </c>
      <c r="AO224" t="s">
        <v>4087</v>
      </c>
      <c r="AP224" t="s">
        <v>74</v>
      </c>
      <c r="AQ224" t="s">
        <v>74</v>
      </c>
      <c r="AR224" t="s">
        <v>4072</v>
      </c>
      <c r="AS224" t="s">
        <v>4088</v>
      </c>
      <c r="AT224" t="s">
        <v>4683</v>
      </c>
      <c r="AU224">
        <v>2013</v>
      </c>
      <c r="AV224">
        <v>8</v>
      </c>
      <c r="AW224">
        <v>12</v>
      </c>
      <c r="AX224" t="s">
        <v>74</v>
      </c>
      <c r="AY224" t="s">
        <v>74</v>
      </c>
      <c r="AZ224" t="s">
        <v>74</v>
      </c>
      <c r="BA224" t="s">
        <v>74</v>
      </c>
      <c r="BB224" t="s">
        <v>74</v>
      </c>
      <c r="BC224" t="s">
        <v>74</v>
      </c>
      <c r="BD224" t="s">
        <v>4684</v>
      </c>
      <c r="BE224" t="s">
        <v>4685</v>
      </c>
      <c r="BF224" t="str">
        <f>HYPERLINK("http://dx.doi.org/10.1371/journal.pone.0083476","http://dx.doi.org/10.1371/journal.pone.0083476")</f>
        <v>http://dx.doi.org/10.1371/journal.pone.0083476</v>
      </c>
      <c r="BG224" t="s">
        <v>74</v>
      </c>
      <c r="BH224" t="s">
        <v>74</v>
      </c>
      <c r="BI224">
        <v>8</v>
      </c>
      <c r="BJ224" t="s">
        <v>2652</v>
      </c>
      <c r="BK224" t="s">
        <v>99</v>
      </c>
      <c r="BL224" t="s">
        <v>2653</v>
      </c>
      <c r="BM224" t="s">
        <v>4686</v>
      </c>
      <c r="BN224" t="s">
        <v>74</v>
      </c>
      <c r="BO224" t="s">
        <v>616</v>
      </c>
      <c r="BP224" t="s">
        <v>74</v>
      </c>
      <c r="BQ224" t="s">
        <v>74</v>
      </c>
      <c r="BR224" t="s">
        <v>103</v>
      </c>
      <c r="BS224" t="s">
        <v>4687</v>
      </c>
      <c r="BT224" t="str">
        <f>HYPERLINK("https%3A%2F%2Fwww.webofscience.com%2Fwos%2Fwoscc%2Ffull-record%2FWOS:000328730300148","View Full Record in Web of Science")</f>
        <v>View Full Record in Web of Science</v>
      </c>
    </row>
    <row r="225" spans="1:72" x14ac:dyDescent="0.15">
      <c r="A225" t="s">
        <v>72</v>
      </c>
      <c r="B225" t="s">
        <v>4688</v>
      </c>
      <c r="C225" t="s">
        <v>74</v>
      </c>
      <c r="D225" t="s">
        <v>74</v>
      </c>
      <c r="E225" t="s">
        <v>74</v>
      </c>
      <c r="F225" t="s">
        <v>4689</v>
      </c>
      <c r="G225" t="s">
        <v>74</v>
      </c>
      <c r="H225" t="s">
        <v>74</v>
      </c>
      <c r="I225" t="s">
        <v>4690</v>
      </c>
      <c r="J225" t="s">
        <v>4691</v>
      </c>
      <c r="K225" t="s">
        <v>74</v>
      </c>
      <c r="L225" t="s">
        <v>74</v>
      </c>
      <c r="M225" t="s">
        <v>78</v>
      </c>
      <c r="N225" t="s">
        <v>79</v>
      </c>
      <c r="O225" t="s">
        <v>74</v>
      </c>
      <c r="P225" t="s">
        <v>74</v>
      </c>
      <c r="Q225" t="s">
        <v>74</v>
      </c>
      <c r="R225" t="s">
        <v>74</v>
      </c>
      <c r="S225" t="s">
        <v>74</v>
      </c>
      <c r="T225" t="s">
        <v>4692</v>
      </c>
      <c r="U225" t="s">
        <v>4693</v>
      </c>
      <c r="V225" t="s">
        <v>4694</v>
      </c>
      <c r="W225" t="s">
        <v>4695</v>
      </c>
      <c r="X225" t="s">
        <v>4696</v>
      </c>
      <c r="Y225" t="s">
        <v>4697</v>
      </c>
      <c r="Z225" t="s">
        <v>4698</v>
      </c>
      <c r="AA225" t="s">
        <v>4699</v>
      </c>
      <c r="AB225" t="s">
        <v>4700</v>
      </c>
      <c r="AC225" t="s">
        <v>4701</v>
      </c>
      <c r="AD225" t="s">
        <v>4702</v>
      </c>
      <c r="AE225" t="s">
        <v>4703</v>
      </c>
      <c r="AF225" t="s">
        <v>74</v>
      </c>
      <c r="AG225">
        <v>83</v>
      </c>
      <c r="AH225">
        <v>24</v>
      </c>
      <c r="AI225">
        <v>24</v>
      </c>
      <c r="AJ225">
        <v>0</v>
      </c>
      <c r="AK225">
        <v>10</v>
      </c>
      <c r="AL225" t="s">
        <v>4206</v>
      </c>
      <c r="AM225" t="s">
        <v>4207</v>
      </c>
      <c r="AN225" t="s">
        <v>4208</v>
      </c>
      <c r="AO225" t="s">
        <v>4704</v>
      </c>
      <c r="AP225" t="s">
        <v>4705</v>
      </c>
      <c r="AQ225" t="s">
        <v>74</v>
      </c>
      <c r="AR225" t="s">
        <v>4706</v>
      </c>
      <c r="AS225" t="s">
        <v>4707</v>
      </c>
      <c r="AT225" t="s">
        <v>4708</v>
      </c>
      <c r="AU225">
        <v>2013</v>
      </c>
      <c r="AV225">
        <v>779</v>
      </c>
      <c r="AW225">
        <v>1</v>
      </c>
      <c r="AX225" t="s">
        <v>74</v>
      </c>
      <c r="AY225" t="s">
        <v>74</v>
      </c>
      <c r="AZ225" t="s">
        <v>74</v>
      </c>
      <c r="BA225" t="s">
        <v>74</v>
      </c>
      <c r="BB225" t="s">
        <v>74</v>
      </c>
      <c r="BC225" t="s">
        <v>74</v>
      </c>
      <c r="BD225">
        <v>28</v>
      </c>
      <c r="BE225" t="s">
        <v>4709</v>
      </c>
      <c r="BF225" t="str">
        <f>HYPERLINK("http://dx.doi.org/10.1088/0004-637X/779/1/28","http://dx.doi.org/10.1088/0004-637X/779/1/28")</f>
        <v>http://dx.doi.org/10.1088/0004-637X/779/1/28</v>
      </c>
      <c r="BG225" t="s">
        <v>74</v>
      </c>
      <c r="BH225" t="s">
        <v>74</v>
      </c>
      <c r="BI225">
        <v>9</v>
      </c>
      <c r="BJ225" t="s">
        <v>1705</v>
      </c>
      <c r="BK225" t="s">
        <v>99</v>
      </c>
      <c r="BL225" t="s">
        <v>1705</v>
      </c>
      <c r="BM225" t="s">
        <v>4710</v>
      </c>
      <c r="BN225" t="s">
        <v>74</v>
      </c>
      <c r="BO225" t="s">
        <v>2362</v>
      </c>
      <c r="BP225" t="s">
        <v>74</v>
      </c>
      <c r="BQ225" t="s">
        <v>74</v>
      </c>
      <c r="BR225" t="s">
        <v>103</v>
      </c>
      <c r="BS225" t="s">
        <v>4711</v>
      </c>
      <c r="BT225" t="str">
        <f>HYPERLINK("https%3A%2F%2Fwww.webofscience.com%2Fwos%2Fwoscc%2Ffull-record%2FWOS:000328160100028","View Full Record in Web of Science")</f>
        <v>View Full Record in Web of Science</v>
      </c>
    </row>
    <row r="226" spans="1:72" x14ac:dyDescent="0.15">
      <c r="A226" t="s">
        <v>72</v>
      </c>
      <c r="B226" t="s">
        <v>4712</v>
      </c>
      <c r="C226" t="s">
        <v>74</v>
      </c>
      <c r="D226" t="s">
        <v>74</v>
      </c>
      <c r="E226" t="s">
        <v>74</v>
      </c>
      <c r="F226" t="s">
        <v>4713</v>
      </c>
      <c r="G226" t="s">
        <v>74</v>
      </c>
      <c r="H226" t="s">
        <v>74</v>
      </c>
      <c r="I226" t="s">
        <v>4714</v>
      </c>
      <c r="J226" t="s">
        <v>4715</v>
      </c>
      <c r="K226" t="s">
        <v>74</v>
      </c>
      <c r="L226" t="s">
        <v>74</v>
      </c>
      <c r="M226" t="s">
        <v>78</v>
      </c>
      <c r="N226" t="s">
        <v>4716</v>
      </c>
      <c r="O226" t="s">
        <v>74</v>
      </c>
      <c r="P226" t="s">
        <v>74</v>
      </c>
      <c r="Q226" t="s">
        <v>74</v>
      </c>
      <c r="R226" t="s">
        <v>74</v>
      </c>
      <c r="S226" t="s">
        <v>74</v>
      </c>
      <c r="T226" t="s">
        <v>74</v>
      </c>
      <c r="U226" t="s">
        <v>74</v>
      </c>
      <c r="V226" t="s">
        <v>74</v>
      </c>
      <c r="W226" t="s">
        <v>4717</v>
      </c>
      <c r="X226" t="s">
        <v>4718</v>
      </c>
      <c r="Y226" t="s">
        <v>4719</v>
      </c>
      <c r="Z226" t="s">
        <v>4720</v>
      </c>
      <c r="AA226" t="s">
        <v>4721</v>
      </c>
      <c r="AB226" t="s">
        <v>4722</v>
      </c>
      <c r="AC226" t="s">
        <v>74</v>
      </c>
      <c r="AD226" t="s">
        <v>74</v>
      </c>
      <c r="AE226" t="s">
        <v>74</v>
      </c>
      <c r="AF226" t="s">
        <v>74</v>
      </c>
      <c r="AG226">
        <v>1</v>
      </c>
      <c r="AH226">
        <v>1</v>
      </c>
      <c r="AI226">
        <v>1</v>
      </c>
      <c r="AJ226">
        <v>0</v>
      </c>
      <c r="AK226">
        <v>13</v>
      </c>
      <c r="AL226" t="s">
        <v>4723</v>
      </c>
      <c r="AM226" t="s">
        <v>921</v>
      </c>
      <c r="AN226" t="s">
        <v>4724</v>
      </c>
      <c r="AO226" t="s">
        <v>4725</v>
      </c>
      <c r="AP226" t="s">
        <v>4726</v>
      </c>
      <c r="AQ226" t="s">
        <v>74</v>
      </c>
      <c r="AR226" t="s">
        <v>4727</v>
      </c>
      <c r="AS226" t="s">
        <v>4728</v>
      </c>
      <c r="AT226" t="s">
        <v>4708</v>
      </c>
      <c r="AU226">
        <v>2013</v>
      </c>
      <c r="AV226">
        <v>53</v>
      </c>
      <c r="AW226" t="s">
        <v>4729</v>
      </c>
      <c r="AX226" t="s">
        <v>74</v>
      </c>
      <c r="AY226" t="s">
        <v>74</v>
      </c>
      <c r="AZ226" t="s">
        <v>74</v>
      </c>
      <c r="BA226" t="s">
        <v>74</v>
      </c>
      <c r="BB226">
        <v>452</v>
      </c>
      <c r="BC226">
        <v>452</v>
      </c>
      <c r="BD226" t="s">
        <v>74</v>
      </c>
      <c r="BE226" t="s">
        <v>4730</v>
      </c>
      <c r="BF226" t="str">
        <f>HYPERLINK("http://dx.doi.org/10.1016/j.enzmictec.2013.09.008","http://dx.doi.org/10.1016/j.enzmictec.2013.09.008")</f>
        <v>http://dx.doi.org/10.1016/j.enzmictec.2013.09.008</v>
      </c>
      <c r="BG226" t="s">
        <v>74</v>
      </c>
      <c r="BH226" t="s">
        <v>74</v>
      </c>
      <c r="BI226">
        <v>1</v>
      </c>
      <c r="BJ226" t="s">
        <v>3957</v>
      </c>
      <c r="BK226" t="s">
        <v>99</v>
      </c>
      <c r="BL226" t="s">
        <v>3957</v>
      </c>
      <c r="BM226" t="s">
        <v>4731</v>
      </c>
      <c r="BN226" t="s">
        <v>74</v>
      </c>
      <c r="BO226" t="s">
        <v>475</v>
      </c>
      <c r="BP226" t="s">
        <v>74</v>
      </c>
      <c r="BQ226" t="s">
        <v>74</v>
      </c>
      <c r="BR226" t="s">
        <v>103</v>
      </c>
      <c r="BS226" t="s">
        <v>4732</v>
      </c>
      <c r="BT226" t="str">
        <f>HYPERLINK("https%3A%2F%2Fwww.webofscience.com%2Fwos%2Fwoscc%2Ffull-record%2FWOS:000327284400013","View Full Record in Web of Science")</f>
        <v>View Full Record in Web of Science</v>
      </c>
    </row>
    <row r="227" spans="1:72" x14ac:dyDescent="0.15">
      <c r="A227" t="s">
        <v>72</v>
      </c>
      <c r="B227" t="s">
        <v>4733</v>
      </c>
      <c r="C227" t="s">
        <v>74</v>
      </c>
      <c r="D227" t="s">
        <v>74</v>
      </c>
      <c r="E227" t="s">
        <v>74</v>
      </c>
      <c r="F227" t="s">
        <v>4734</v>
      </c>
      <c r="G227" t="s">
        <v>74</v>
      </c>
      <c r="H227" t="s">
        <v>74</v>
      </c>
      <c r="I227" t="s">
        <v>4735</v>
      </c>
      <c r="J227" t="s">
        <v>4736</v>
      </c>
      <c r="K227" t="s">
        <v>74</v>
      </c>
      <c r="L227" t="s">
        <v>74</v>
      </c>
      <c r="M227" t="s">
        <v>78</v>
      </c>
      <c r="N227" t="s">
        <v>79</v>
      </c>
      <c r="O227" t="s">
        <v>74</v>
      </c>
      <c r="P227" t="s">
        <v>74</v>
      </c>
      <c r="Q227" t="s">
        <v>74</v>
      </c>
      <c r="R227" t="s">
        <v>74</v>
      </c>
      <c r="S227" t="s">
        <v>74</v>
      </c>
      <c r="T227" t="s">
        <v>4737</v>
      </c>
      <c r="U227" t="s">
        <v>4738</v>
      </c>
      <c r="V227" t="s">
        <v>4739</v>
      </c>
      <c r="W227" t="s">
        <v>4740</v>
      </c>
      <c r="X227" t="s">
        <v>4741</v>
      </c>
      <c r="Y227" t="s">
        <v>4742</v>
      </c>
      <c r="Z227" t="s">
        <v>4743</v>
      </c>
      <c r="AA227" t="s">
        <v>4744</v>
      </c>
      <c r="AB227" t="s">
        <v>4745</v>
      </c>
      <c r="AC227" t="s">
        <v>4746</v>
      </c>
      <c r="AD227" t="s">
        <v>4747</v>
      </c>
      <c r="AE227" t="s">
        <v>4748</v>
      </c>
      <c r="AF227" t="s">
        <v>74</v>
      </c>
      <c r="AG227">
        <v>39</v>
      </c>
      <c r="AH227">
        <v>24</v>
      </c>
      <c r="AI227">
        <v>26</v>
      </c>
      <c r="AJ227">
        <v>0</v>
      </c>
      <c r="AK227">
        <v>20</v>
      </c>
      <c r="AL227" t="s">
        <v>4749</v>
      </c>
      <c r="AM227" t="s">
        <v>4750</v>
      </c>
      <c r="AN227" t="s">
        <v>4751</v>
      </c>
      <c r="AO227" t="s">
        <v>4752</v>
      </c>
      <c r="AP227" t="s">
        <v>4753</v>
      </c>
      <c r="AQ227" t="s">
        <v>74</v>
      </c>
      <c r="AR227" t="s">
        <v>4736</v>
      </c>
      <c r="AS227" t="s">
        <v>4754</v>
      </c>
      <c r="AT227" t="s">
        <v>4755</v>
      </c>
      <c r="AU227">
        <v>2013</v>
      </c>
      <c r="AV227">
        <v>3745</v>
      </c>
      <c r="AW227">
        <v>5</v>
      </c>
      <c r="AX227" t="s">
        <v>74</v>
      </c>
      <c r="AY227" t="s">
        <v>74</v>
      </c>
      <c r="AZ227" t="s">
        <v>74</v>
      </c>
      <c r="BA227" t="s">
        <v>74</v>
      </c>
      <c r="BB227">
        <v>551</v>
      </c>
      <c r="BC227">
        <v>568</v>
      </c>
      <c r="BD227" t="s">
        <v>74</v>
      </c>
      <c r="BE227" t="s">
        <v>74</v>
      </c>
      <c r="BF227" t="s">
        <v>74</v>
      </c>
      <c r="BG227" t="s">
        <v>74</v>
      </c>
      <c r="BH227" t="s">
        <v>74</v>
      </c>
      <c r="BI227">
        <v>18</v>
      </c>
      <c r="BJ227" t="s">
        <v>448</v>
      </c>
      <c r="BK227" t="s">
        <v>99</v>
      </c>
      <c r="BL227" t="s">
        <v>448</v>
      </c>
      <c r="BM227" t="s">
        <v>4756</v>
      </c>
      <c r="BN227">
        <v>25113370</v>
      </c>
      <c r="BO227" t="s">
        <v>74</v>
      </c>
      <c r="BP227" t="s">
        <v>74</v>
      </c>
      <c r="BQ227" t="s">
        <v>74</v>
      </c>
      <c r="BR227" t="s">
        <v>103</v>
      </c>
      <c r="BS227" t="s">
        <v>4757</v>
      </c>
      <c r="BT227" t="str">
        <f>HYPERLINK("https%3A%2F%2Fwww.webofscience.com%2Fwos%2Fwoscc%2Ffull-record%2FWOS:000328143100004","View Full Record in Web of Science")</f>
        <v>View Full Record in Web of Science</v>
      </c>
    </row>
    <row r="228" spans="1:72" x14ac:dyDescent="0.15">
      <c r="A228" t="s">
        <v>72</v>
      </c>
      <c r="B228" t="s">
        <v>4758</v>
      </c>
      <c r="C228" t="s">
        <v>74</v>
      </c>
      <c r="D228" t="s">
        <v>74</v>
      </c>
      <c r="E228" t="s">
        <v>74</v>
      </c>
      <c r="F228" t="s">
        <v>4759</v>
      </c>
      <c r="G228" t="s">
        <v>74</v>
      </c>
      <c r="H228" t="s">
        <v>74</v>
      </c>
      <c r="I228" t="s">
        <v>4760</v>
      </c>
      <c r="J228" t="s">
        <v>4761</v>
      </c>
      <c r="K228" t="s">
        <v>74</v>
      </c>
      <c r="L228" t="s">
        <v>74</v>
      </c>
      <c r="M228" t="s">
        <v>78</v>
      </c>
      <c r="N228" t="s">
        <v>213</v>
      </c>
      <c r="O228" t="s">
        <v>74</v>
      </c>
      <c r="P228" t="s">
        <v>74</v>
      </c>
      <c r="Q228" t="s">
        <v>74</v>
      </c>
      <c r="R228" t="s">
        <v>74</v>
      </c>
      <c r="S228" t="s">
        <v>74</v>
      </c>
      <c r="T228" t="s">
        <v>4762</v>
      </c>
      <c r="U228" t="s">
        <v>4763</v>
      </c>
      <c r="V228" t="s">
        <v>4764</v>
      </c>
      <c r="W228" t="s">
        <v>4765</v>
      </c>
      <c r="X228" t="s">
        <v>4766</v>
      </c>
      <c r="Y228" t="s">
        <v>4767</v>
      </c>
      <c r="Z228" t="s">
        <v>4768</v>
      </c>
      <c r="AA228" t="s">
        <v>4769</v>
      </c>
      <c r="AB228" t="s">
        <v>4770</v>
      </c>
      <c r="AC228" t="s">
        <v>4771</v>
      </c>
      <c r="AD228" t="s">
        <v>4772</v>
      </c>
      <c r="AE228" t="s">
        <v>4773</v>
      </c>
      <c r="AF228" t="s">
        <v>74</v>
      </c>
      <c r="AG228">
        <v>102</v>
      </c>
      <c r="AH228">
        <v>50</v>
      </c>
      <c r="AI228">
        <v>54</v>
      </c>
      <c r="AJ228">
        <v>0</v>
      </c>
      <c r="AK228">
        <v>22</v>
      </c>
      <c r="AL228" t="s">
        <v>304</v>
      </c>
      <c r="AM228" t="s">
        <v>305</v>
      </c>
      <c r="AN228" t="s">
        <v>306</v>
      </c>
      <c r="AO228" t="s">
        <v>4774</v>
      </c>
      <c r="AP228" t="s">
        <v>4775</v>
      </c>
      <c r="AQ228" t="s">
        <v>74</v>
      </c>
      <c r="AR228" t="s">
        <v>4761</v>
      </c>
      <c r="AS228" t="s">
        <v>4776</v>
      </c>
      <c r="AT228" t="s">
        <v>4777</v>
      </c>
      <c r="AU228">
        <v>2013</v>
      </c>
      <c r="AV228">
        <v>609</v>
      </c>
      <c r="AW228" t="s">
        <v>74</v>
      </c>
      <c r="AX228" t="s">
        <v>74</v>
      </c>
      <c r="AY228" t="s">
        <v>74</v>
      </c>
      <c r="AZ228" t="s">
        <v>283</v>
      </c>
      <c r="BA228" t="s">
        <v>74</v>
      </c>
      <c r="BB228">
        <v>299</v>
      </c>
      <c r="BC228">
        <v>313</v>
      </c>
      <c r="BD228" t="s">
        <v>74</v>
      </c>
      <c r="BE228" t="s">
        <v>4778</v>
      </c>
      <c r="BF228" t="str">
        <f>HYPERLINK("http://dx.doi.org/10.1016/j.tecto.2012.12.023","http://dx.doi.org/10.1016/j.tecto.2012.12.023")</f>
        <v>http://dx.doi.org/10.1016/j.tecto.2012.12.023</v>
      </c>
      <c r="BG228" t="s">
        <v>74</v>
      </c>
      <c r="BH228" t="s">
        <v>74</v>
      </c>
      <c r="BI228">
        <v>15</v>
      </c>
      <c r="BJ228" t="s">
        <v>313</v>
      </c>
      <c r="BK228" t="s">
        <v>99</v>
      </c>
      <c r="BL228" t="s">
        <v>313</v>
      </c>
      <c r="BM228" t="s">
        <v>4779</v>
      </c>
      <c r="BN228" t="s">
        <v>74</v>
      </c>
      <c r="BO228" t="s">
        <v>74</v>
      </c>
      <c r="BP228" t="s">
        <v>74</v>
      </c>
      <c r="BQ228" t="s">
        <v>74</v>
      </c>
      <c r="BR228" t="s">
        <v>103</v>
      </c>
      <c r="BS228" t="s">
        <v>4780</v>
      </c>
      <c r="BT228" t="str">
        <f>HYPERLINK("https%3A%2F%2Fwww.webofscience.com%2Fwos%2Fwoscc%2Ffull-record%2FWOS:000330201000015","View Full Record in Web of Science")</f>
        <v>View Full Record in Web of Science</v>
      </c>
    </row>
    <row r="229" spans="1:72" x14ac:dyDescent="0.15">
      <c r="A229" t="s">
        <v>72</v>
      </c>
      <c r="B229" t="s">
        <v>4781</v>
      </c>
      <c r="C229" t="s">
        <v>74</v>
      </c>
      <c r="D229" t="s">
        <v>74</v>
      </c>
      <c r="E229" t="s">
        <v>74</v>
      </c>
      <c r="F229" t="s">
        <v>4782</v>
      </c>
      <c r="G229" t="s">
        <v>74</v>
      </c>
      <c r="H229" t="s">
        <v>74</v>
      </c>
      <c r="I229" t="s">
        <v>4783</v>
      </c>
      <c r="J229" t="s">
        <v>4784</v>
      </c>
      <c r="K229" t="s">
        <v>74</v>
      </c>
      <c r="L229" t="s">
        <v>74</v>
      </c>
      <c r="M229" t="s">
        <v>78</v>
      </c>
      <c r="N229" t="s">
        <v>79</v>
      </c>
      <c r="O229" t="s">
        <v>74</v>
      </c>
      <c r="P229" t="s">
        <v>74</v>
      </c>
      <c r="Q229" t="s">
        <v>74</v>
      </c>
      <c r="R229" t="s">
        <v>74</v>
      </c>
      <c r="S229" t="s">
        <v>74</v>
      </c>
      <c r="T229" t="s">
        <v>4785</v>
      </c>
      <c r="U229" t="s">
        <v>4786</v>
      </c>
      <c r="V229" t="s">
        <v>4787</v>
      </c>
      <c r="W229" t="s">
        <v>4788</v>
      </c>
      <c r="X229" t="s">
        <v>4789</v>
      </c>
      <c r="Y229" t="s">
        <v>4790</v>
      </c>
      <c r="Z229" t="s">
        <v>4791</v>
      </c>
      <c r="AA229" t="s">
        <v>4792</v>
      </c>
      <c r="AB229" t="s">
        <v>4793</v>
      </c>
      <c r="AC229" t="s">
        <v>1627</v>
      </c>
      <c r="AD229" t="s">
        <v>1628</v>
      </c>
      <c r="AE229" t="s">
        <v>74</v>
      </c>
      <c r="AF229" t="s">
        <v>74</v>
      </c>
      <c r="AG229">
        <v>37</v>
      </c>
      <c r="AH229">
        <v>94</v>
      </c>
      <c r="AI229">
        <v>105</v>
      </c>
      <c r="AJ229">
        <v>4</v>
      </c>
      <c r="AK229">
        <v>107</v>
      </c>
      <c r="AL229" t="s">
        <v>4135</v>
      </c>
      <c r="AM229" t="s">
        <v>849</v>
      </c>
      <c r="AN229" t="s">
        <v>4136</v>
      </c>
      <c r="AO229" t="s">
        <v>4794</v>
      </c>
      <c r="AP229" t="s">
        <v>4795</v>
      </c>
      <c r="AQ229" t="s">
        <v>74</v>
      </c>
      <c r="AR229" t="s">
        <v>4796</v>
      </c>
      <c r="AS229" t="s">
        <v>4797</v>
      </c>
      <c r="AT229" t="s">
        <v>4798</v>
      </c>
      <c r="AU229">
        <v>2013</v>
      </c>
      <c r="AV229">
        <v>280</v>
      </c>
      <c r="AW229">
        <v>1772</v>
      </c>
      <c r="AX229" t="s">
        <v>74</v>
      </c>
      <c r="AY229" t="s">
        <v>74</v>
      </c>
      <c r="AZ229" t="s">
        <v>74</v>
      </c>
      <c r="BA229" t="s">
        <v>74</v>
      </c>
      <c r="BB229" t="s">
        <v>74</v>
      </c>
      <c r="BC229" t="s">
        <v>74</v>
      </c>
      <c r="BD229">
        <v>20131958</v>
      </c>
      <c r="BE229" t="s">
        <v>4799</v>
      </c>
      <c r="BF229" t="str">
        <f>HYPERLINK("http://dx.doi.org/10.1098/rspb.2013.1958","http://dx.doi.org/10.1098/rspb.2013.1958")</f>
        <v>http://dx.doi.org/10.1098/rspb.2013.1958</v>
      </c>
      <c r="BG229" t="s">
        <v>74</v>
      </c>
      <c r="BH229" t="s">
        <v>74</v>
      </c>
      <c r="BI229">
        <v>7</v>
      </c>
      <c r="BJ229" t="s">
        <v>4143</v>
      </c>
      <c r="BK229" t="s">
        <v>99</v>
      </c>
      <c r="BL229" t="s">
        <v>4144</v>
      </c>
      <c r="BM229" t="s">
        <v>4800</v>
      </c>
      <c r="BN229">
        <v>24266040</v>
      </c>
      <c r="BO229" t="s">
        <v>4801</v>
      </c>
      <c r="BP229" t="s">
        <v>74</v>
      </c>
      <c r="BQ229" t="s">
        <v>74</v>
      </c>
      <c r="BR229" t="s">
        <v>103</v>
      </c>
      <c r="BS229" t="s">
        <v>4802</v>
      </c>
      <c r="BT229" t="str">
        <f>HYPERLINK("https%3A%2F%2Fwww.webofscience.com%2Fwos%2Fwoscc%2Ffull-record%2FWOS:000330325400006","View Full Record in Web of Science")</f>
        <v>View Full Record in Web of Science</v>
      </c>
    </row>
    <row r="230" spans="1:72" x14ac:dyDescent="0.15">
      <c r="A230" t="s">
        <v>72</v>
      </c>
      <c r="B230" t="s">
        <v>4803</v>
      </c>
      <c r="C230" t="s">
        <v>74</v>
      </c>
      <c r="D230" t="s">
        <v>74</v>
      </c>
      <c r="E230" t="s">
        <v>74</v>
      </c>
      <c r="F230" t="s">
        <v>4804</v>
      </c>
      <c r="G230" t="s">
        <v>74</v>
      </c>
      <c r="H230" t="s">
        <v>74</v>
      </c>
      <c r="I230" t="s">
        <v>4805</v>
      </c>
      <c r="J230" t="s">
        <v>4806</v>
      </c>
      <c r="K230" t="s">
        <v>74</v>
      </c>
      <c r="L230" t="s">
        <v>74</v>
      </c>
      <c r="M230" t="s">
        <v>78</v>
      </c>
      <c r="N230" t="s">
        <v>79</v>
      </c>
      <c r="O230" t="s">
        <v>74</v>
      </c>
      <c r="P230" t="s">
        <v>74</v>
      </c>
      <c r="Q230" t="s">
        <v>74</v>
      </c>
      <c r="R230" t="s">
        <v>74</v>
      </c>
      <c r="S230" t="s">
        <v>74</v>
      </c>
      <c r="T230" t="s">
        <v>4807</v>
      </c>
      <c r="U230" t="s">
        <v>4808</v>
      </c>
      <c r="V230" t="s">
        <v>4809</v>
      </c>
      <c r="W230" t="s">
        <v>4810</v>
      </c>
      <c r="X230" t="s">
        <v>4811</v>
      </c>
      <c r="Y230" t="s">
        <v>4812</v>
      </c>
      <c r="Z230" t="s">
        <v>4813</v>
      </c>
      <c r="AA230" t="s">
        <v>4814</v>
      </c>
      <c r="AB230" t="s">
        <v>4815</v>
      </c>
      <c r="AC230" t="s">
        <v>4816</v>
      </c>
      <c r="AD230" t="s">
        <v>4817</v>
      </c>
      <c r="AE230" t="s">
        <v>4818</v>
      </c>
      <c r="AF230" t="s">
        <v>74</v>
      </c>
      <c r="AG230">
        <v>38</v>
      </c>
      <c r="AH230">
        <v>5</v>
      </c>
      <c r="AI230">
        <v>5</v>
      </c>
      <c r="AJ230">
        <v>0</v>
      </c>
      <c r="AK230">
        <v>23</v>
      </c>
      <c r="AL230" t="s">
        <v>582</v>
      </c>
      <c r="AM230" t="s">
        <v>305</v>
      </c>
      <c r="AN230" t="s">
        <v>583</v>
      </c>
      <c r="AO230" t="s">
        <v>4819</v>
      </c>
      <c r="AP230" t="s">
        <v>4820</v>
      </c>
      <c r="AQ230" t="s">
        <v>74</v>
      </c>
      <c r="AR230" t="s">
        <v>4806</v>
      </c>
      <c r="AS230" t="s">
        <v>4821</v>
      </c>
      <c r="AT230" t="s">
        <v>4822</v>
      </c>
      <c r="AU230">
        <v>2013</v>
      </c>
      <c r="AV230">
        <v>416</v>
      </c>
      <c r="AW230" t="s">
        <v>74</v>
      </c>
      <c r="AX230" t="s">
        <v>74</v>
      </c>
      <c r="AY230" t="s">
        <v>74</v>
      </c>
      <c r="AZ230" t="s">
        <v>74</v>
      </c>
      <c r="BA230" t="s">
        <v>74</v>
      </c>
      <c r="BB230">
        <v>280</v>
      </c>
      <c r="BC230">
        <v>288</v>
      </c>
      <c r="BD230" t="s">
        <v>74</v>
      </c>
      <c r="BE230" t="s">
        <v>4823</v>
      </c>
      <c r="BF230" t="str">
        <f>HYPERLINK("http://dx.doi.org/10.1016/j.aquaculture.2013.09.038","http://dx.doi.org/10.1016/j.aquaculture.2013.09.038")</f>
        <v>http://dx.doi.org/10.1016/j.aquaculture.2013.09.038</v>
      </c>
      <c r="BG230" t="s">
        <v>74</v>
      </c>
      <c r="BH230" t="s">
        <v>74</v>
      </c>
      <c r="BI230">
        <v>9</v>
      </c>
      <c r="BJ230" t="s">
        <v>4824</v>
      </c>
      <c r="BK230" t="s">
        <v>99</v>
      </c>
      <c r="BL230" t="s">
        <v>4824</v>
      </c>
      <c r="BM230" t="s">
        <v>4825</v>
      </c>
      <c r="BN230" t="s">
        <v>74</v>
      </c>
      <c r="BO230" t="s">
        <v>74</v>
      </c>
      <c r="BP230" t="s">
        <v>74</v>
      </c>
      <c r="BQ230" t="s">
        <v>74</v>
      </c>
      <c r="BR230" t="s">
        <v>103</v>
      </c>
      <c r="BS230" t="s">
        <v>4826</v>
      </c>
      <c r="BT230" t="str">
        <f>HYPERLINK("https%3A%2F%2Fwww.webofscience.com%2Fwos%2Fwoscc%2Ffull-record%2FWOS:000326823000040","View Full Record in Web of Science")</f>
        <v>View Full Record in Web of Science</v>
      </c>
    </row>
    <row r="231" spans="1:72" x14ac:dyDescent="0.15">
      <c r="A231" t="s">
        <v>72</v>
      </c>
      <c r="B231" t="s">
        <v>4827</v>
      </c>
      <c r="C231" t="s">
        <v>74</v>
      </c>
      <c r="D231" t="s">
        <v>74</v>
      </c>
      <c r="E231" t="s">
        <v>74</v>
      </c>
      <c r="F231" t="s">
        <v>4828</v>
      </c>
      <c r="G231" t="s">
        <v>74</v>
      </c>
      <c r="H231" t="s">
        <v>74</v>
      </c>
      <c r="I231" t="s">
        <v>4829</v>
      </c>
      <c r="J231" t="s">
        <v>4267</v>
      </c>
      <c r="K231" t="s">
        <v>74</v>
      </c>
      <c r="L231" t="s">
        <v>74</v>
      </c>
      <c r="M231" t="s">
        <v>78</v>
      </c>
      <c r="N231" t="s">
        <v>79</v>
      </c>
      <c r="O231" t="s">
        <v>74</v>
      </c>
      <c r="P231" t="s">
        <v>74</v>
      </c>
      <c r="Q231" t="s">
        <v>74</v>
      </c>
      <c r="R231" t="s">
        <v>74</v>
      </c>
      <c r="S231" t="s">
        <v>74</v>
      </c>
      <c r="T231" t="s">
        <v>74</v>
      </c>
      <c r="U231" t="s">
        <v>4830</v>
      </c>
      <c r="V231" t="s">
        <v>4831</v>
      </c>
      <c r="W231" t="s">
        <v>4832</v>
      </c>
      <c r="X231" t="s">
        <v>4833</v>
      </c>
      <c r="Y231" t="s">
        <v>4834</v>
      </c>
      <c r="Z231" t="s">
        <v>4835</v>
      </c>
      <c r="AA231" t="s">
        <v>4836</v>
      </c>
      <c r="AB231" t="s">
        <v>4837</v>
      </c>
      <c r="AC231" t="s">
        <v>4838</v>
      </c>
      <c r="AD231" t="s">
        <v>4839</v>
      </c>
      <c r="AE231" t="s">
        <v>4840</v>
      </c>
      <c r="AF231" t="s">
        <v>74</v>
      </c>
      <c r="AG231">
        <v>28</v>
      </c>
      <c r="AH231">
        <v>3</v>
      </c>
      <c r="AI231">
        <v>3</v>
      </c>
      <c r="AJ231">
        <v>2</v>
      </c>
      <c r="AK231">
        <v>43</v>
      </c>
      <c r="AL231" t="s">
        <v>4279</v>
      </c>
      <c r="AM231" t="s">
        <v>808</v>
      </c>
      <c r="AN231" t="s">
        <v>4280</v>
      </c>
      <c r="AO231" t="s">
        <v>4281</v>
      </c>
      <c r="AP231" t="s">
        <v>4282</v>
      </c>
      <c r="AQ231" t="s">
        <v>74</v>
      </c>
      <c r="AR231" t="s">
        <v>4283</v>
      </c>
      <c r="AS231" t="s">
        <v>4284</v>
      </c>
      <c r="AT231" t="s">
        <v>4841</v>
      </c>
      <c r="AU231">
        <v>2013</v>
      </c>
      <c r="AV231">
        <v>47</v>
      </c>
      <c r="AW231">
        <v>23</v>
      </c>
      <c r="AX231" t="s">
        <v>74</v>
      </c>
      <c r="AY231" t="s">
        <v>74</v>
      </c>
      <c r="AZ231" t="s">
        <v>74</v>
      </c>
      <c r="BA231" t="s">
        <v>74</v>
      </c>
      <c r="BB231">
        <v>13258</v>
      </c>
      <c r="BC231">
        <v>13265</v>
      </c>
      <c r="BD231" t="s">
        <v>74</v>
      </c>
      <c r="BE231" t="s">
        <v>4842</v>
      </c>
      <c r="BF231" t="str">
        <f>HYPERLINK("http://dx.doi.org/10.1021/es402814u","http://dx.doi.org/10.1021/es402814u")</f>
        <v>http://dx.doi.org/10.1021/es402814u</v>
      </c>
      <c r="BG231" t="s">
        <v>74</v>
      </c>
      <c r="BH231" t="s">
        <v>74</v>
      </c>
      <c r="BI231">
        <v>8</v>
      </c>
      <c r="BJ231" t="s">
        <v>4286</v>
      </c>
      <c r="BK231" t="s">
        <v>99</v>
      </c>
      <c r="BL231" t="s">
        <v>4287</v>
      </c>
      <c r="BM231" t="s">
        <v>4843</v>
      </c>
      <c r="BN231">
        <v>24261917</v>
      </c>
      <c r="BO231" t="s">
        <v>74</v>
      </c>
      <c r="BP231" t="s">
        <v>74</v>
      </c>
      <c r="BQ231" t="s">
        <v>74</v>
      </c>
      <c r="BR231" t="s">
        <v>103</v>
      </c>
      <c r="BS231" t="s">
        <v>4844</v>
      </c>
      <c r="BT231" t="str">
        <f>HYPERLINK("https%3A%2F%2Fwww.webofscience.com%2Fwos%2Fwoscc%2Ffull-record%2FWOS:000327999400011","View Full Record in Web of Science")</f>
        <v>View Full Record in Web of Science</v>
      </c>
    </row>
    <row r="232" spans="1:72" x14ac:dyDescent="0.15">
      <c r="A232" t="s">
        <v>72</v>
      </c>
      <c r="B232" t="s">
        <v>4845</v>
      </c>
      <c r="C232" t="s">
        <v>74</v>
      </c>
      <c r="D232" t="s">
        <v>74</v>
      </c>
      <c r="E232" t="s">
        <v>74</v>
      </c>
      <c r="F232" t="s">
        <v>4846</v>
      </c>
      <c r="G232" t="s">
        <v>74</v>
      </c>
      <c r="H232" t="s">
        <v>74</v>
      </c>
      <c r="I232" t="s">
        <v>4847</v>
      </c>
      <c r="J232" t="s">
        <v>4072</v>
      </c>
      <c r="K232" t="s">
        <v>74</v>
      </c>
      <c r="L232" t="s">
        <v>74</v>
      </c>
      <c r="M232" t="s">
        <v>78</v>
      </c>
      <c r="N232" t="s">
        <v>79</v>
      </c>
      <c r="O232" t="s">
        <v>74</v>
      </c>
      <c r="P232" t="s">
        <v>74</v>
      </c>
      <c r="Q232" t="s">
        <v>74</v>
      </c>
      <c r="R232" t="s">
        <v>74</v>
      </c>
      <c r="S232" t="s">
        <v>74</v>
      </c>
      <c r="T232" t="s">
        <v>74</v>
      </c>
      <c r="U232" t="s">
        <v>4848</v>
      </c>
      <c r="V232" t="s">
        <v>4849</v>
      </c>
      <c r="W232" t="s">
        <v>4850</v>
      </c>
      <c r="X232" t="s">
        <v>4851</v>
      </c>
      <c r="Y232" t="s">
        <v>4852</v>
      </c>
      <c r="Z232" t="s">
        <v>4853</v>
      </c>
      <c r="AA232" t="s">
        <v>4854</v>
      </c>
      <c r="AB232" t="s">
        <v>4855</v>
      </c>
      <c r="AC232" t="s">
        <v>4856</v>
      </c>
      <c r="AD232" t="s">
        <v>4857</v>
      </c>
      <c r="AE232" t="s">
        <v>4858</v>
      </c>
      <c r="AF232" t="s">
        <v>74</v>
      </c>
      <c r="AG232">
        <v>61</v>
      </c>
      <c r="AH232">
        <v>150</v>
      </c>
      <c r="AI232">
        <v>165</v>
      </c>
      <c r="AJ232">
        <v>3</v>
      </c>
      <c r="AK232">
        <v>55</v>
      </c>
      <c r="AL232" t="s">
        <v>4084</v>
      </c>
      <c r="AM232" t="s">
        <v>4085</v>
      </c>
      <c r="AN232" t="s">
        <v>4086</v>
      </c>
      <c r="AO232" t="s">
        <v>4087</v>
      </c>
      <c r="AP232" t="s">
        <v>74</v>
      </c>
      <c r="AQ232" t="s">
        <v>74</v>
      </c>
      <c r="AR232" t="s">
        <v>4072</v>
      </c>
      <c r="AS232" t="s">
        <v>4088</v>
      </c>
      <c r="AT232" t="s">
        <v>4841</v>
      </c>
      <c r="AU232">
        <v>2013</v>
      </c>
      <c r="AV232">
        <v>8</v>
      </c>
      <c r="AW232">
        <v>12</v>
      </c>
      <c r="AX232" t="s">
        <v>74</v>
      </c>
      <c r="AY232" t="s">
        <v>74</v>
      </c>
      <c r="AZ232" t="s">
        <v>74</v>
      </c>
      <c r="BA232" t="s">
        <v>74</v>
      </c>
      <c r="BB232" t="s">
        <v>74</v>
      </c>
      <c r="BC232" t="s">
        <v>74</v>
      </c>
      <c r="BD232" t="s">
        <v>4859</v>
      </c>
      <c r="BE232" t="s">
        <v>4860</v>
      </c>
      <c r="BF232" t="str">
        <f>HYPERLINK("http://dx.doi.org/10.1371/journal.pone.0077917","http://dx.doi.org/10.1371/journal.pone.0077917")</f>
        <v>http://dx.doi.org/10.1371/journal.pone.0077917</v>
      </c>
      <c r="BG232" t="s">
        <v>74</v>
      </c>
      <c r="BH232" t="s">
        <v>74</v>
      </c>
      <c r="BI232">
        <v>17</v>
      </c>
      <c r="BJ232" t="s">
        <v>2652</v>
      </c>
      <c r="BK232" t="s">
        <v>99</v>
      </c>
      <c r="BL232" t="s">
        <v>2653</v>
      </c>
      <c r="BM232" t="s">
        <v>4861</v>
      </c>
      <c r="BN232">
        <v>24312442</v>
      </c>
      <c r="BO232" t="s">
        <v>4862</v>
      </c>
      <c r="BP232" t="s">
        <v>74</v>
      </c>
      <c r="BQ232" t="s">
        <v>74</v>
      </c>
      <c r="BR232" t="s">
        <v>103</v>
      </c>
      <c r="BS232" t="s">
        <v>4863</v>
      </c>
      <c r="BT232" t="str">
        <f>HYPERLINK("https%3A%2F%2Fwww.webofscience.com%2Fwos%2Fwoscc%2Ffull-record%2FWOS:000327947800002","View Full Record in Web of Science")</f>
        <v>View Full Record in Web of Science</v>
      </c>
    </row>
    <row r="233" spans="1:72" x14ac:dyDescent="0.15">
      <c r="A233" t="s">
        <v>72</v>
      </c>
      <c r="B233" t="s">
        <v>4864</v>
      </c>
      <c r="C233" t="s">
        <v>74</v>
      </c>
      <c r="D233" t="s">
        <v>74</v>
      </c>
      <c r="E233" t="s">
        <v>74</v>
      </c>
      <c r="F233" t="s">
        <v>4865</v>
      </c>
      <c r="G233" t="s">
        <v>74</v>
      </c>
      <c r="H233" t="s">
        <v>74</v>
      </c>
      <c r="I233" t="s">
        <v>4866</v>
      </c>
      <c r="J233" t="s">
        <v>4072</v>
      </c>
      <c r="K233" t="s">
        <v>74</v>
      </c>
      <c r="L233" t="s">
        <v>74</v>
      </c>
      <c r="M233" t="s">
        <v>78</v>
      </c>
      <c r="N233" t="s">
        <v>79</v>
      </c>
      <c r="O233" t="s">
        <v>74</v>
      </c>
      <c r="P233" t="s">
        <v>74</v>
      </c>
      <c r="Q233" t="s">
        <v>74</v>
      </c>
      <c r="R233" t="s">
        <v>74</v>
      </c>
      <c r="S233" t="s">
        <v>74</v>
      </c>
      <c r="T233" t="s">
        <v>74</v>
      </c>
      <c r="U233" t="s">
        <v>4867</v>
      </c>
      <c r="V233" t="s">
        <v>4868</v>
      </c>
      <c r="W233" t="s">
        <v>4869</v>
      </c>
      <c r="X233" t="s">
        <v>4870</v>
      </c>
      <c r="Y233" t="s">
        <v>4871</v>
      </c>
      <c r="Z233" t="s">
        <v>4872</v>
      </c>
      <c r="AA233" t="s">
        <v>4873</v>
      </c>
      <c r="AB233" t="s">
        <v>4874</v>
      </c>
      <c r="AC233" t="s">
        <v>4875</v>
      </c>
      <c r="AD233" t="s">
        <v>4876</v>
      </c>
      <c r="AE233" t="s">
        <v>4877</v>
      </c>
      <c r="AF233" t="s">
        <v>74</v>
      </c>
      <c r="AG233">
        <v>38</v>
      </c>
      <c r="AH233">
        <v>16</v>
      </c>
      <c r="AI233">
        <v>16</v>
      </c>
      <c r="AJ233">
        <v>1</v>
      </c>
      <c r="AK233">
        <v>34</v>
      </c>
      <c r="AL233" t="s">
        <v>4084</v>
      </c>
      <c r="AM233" t="s">
        <v>4085</v>
      </c>
      <c r="AN233" t="s">
        <v>4086</v>
      </c>
      <c r="AO233" t="s">
        <v>4087</v>
      </c>
      <c r="AP233" t="s">
        <v>74</v>
      </c>
      <c r="AQ233" t="s">
        <v>74</v>
      </c>
      <c r="AR233" t="s">
        <v>4072</v>
      </c>
      <c r="AS233" t="s">
        <v>4088</v>
      </c>
      <c r="AT233" t="s">
        <v>4841</v>
      </c>
      <c r="AU233">
        <v>2013</v>
      </c>
      <c r="AV233">
        <v>8</v>
      </c>
      <c r="AW233">
        <v>12</v>
      </c>
      <c r="AX233" t="s">
        <v>74</v>
      </c>
      <c r="AY233" t="s">
        <v>74</v>
      </c>
      <c r="AZ233" t="s">
        <v>74</v>
      </c>
      <c r="BA233" t="s">
        <v>74</v>
      </c>
      <c r="BB233" t="s">
        <v>74</v>
      </c>
      <c r="BC233" t="s">
        <v>74</v>
      </c>
      <c r="BD233" t="s">
        <v>4878</v>
      </c>
      <c r="BE233" t="s">
        <v>4879</v>
      </c>
      <c r="BF233" t="str">
        <f>HYPERLINK("http://dx.doi.org/10.1371/journal.pone.0082410","http://dx.doi.org/10.1371/journal.pone.0082410")</f>
        <v>http://dx.doi.org/10.1371/journal.pone.0082410</v>
      </c>
      <c r="BG233" t="s">
        <v>74</v>
      </c>
      <c r="BH233" t="s">
        <v>74</v>
      </c>
      <c r="BI233">
        <v>10</v>
      </c>
      <c r="BJ233" t="s">
        <v>2652</v>
      </c>
      <c r="BK233" t="s">
        <v>99</v>
      </c>
      <c r="BL233" t="s">
        <v>2653</v>
      </c>
      <c r="BM233" t="s">
        <v>4861</v>
      </c>
      <c r="BN233">
        <v>24312660</v>
      </c>
      <c r="BO233" t="s">
        <v>3000</v>
      </c>
      <c r="BP233" t="s">
        <v>74</v>
      </c>
      <c r="BQ233" t="s">
        <v>74</v>
      </c>
      <c r="BR233" t="s">
        <v>103</v>
      </c>
      <c r="BS233" t="s">
        <v>4880</v>
      </c>
      <c r="BT233" t="str">
        <f>HYPERLINK("https%3A%2F%2Fwww.webofscience.com%2Fwos%2Fwoscc%2Ffull-record%2FWOS:000327947800100","View Full Record in Web of Science")</f>
        <v>View Full Record in Web of Science</v>
      </c>
    </row>
    <row r="234" spans="1:72" x14ac:dyDescent="0.15">
      <c r="A234" t="s">
        <v>72</v>
      </c>
      <c r="B234" t="s">
        <v>4881</v>
      </c>
      <c r="C234" t="s">
        <v>74</v>
      </c>
      <c r="D234" t="s">
        <v>74</v>
      </c>
      <c r="E234" t="s">
        <v>74</v>
      </c>
      <c r="F234" t="s">
        <v>4882</v>
      </c>
      <c r="G234" t="s">
        <v>74</v>
      </c>
      <c r="H234" t="s">
        <v>74</v>
      </c>
      <c r="I234" t="s">
        <v>4883</v>
      </c>
      <c r="J234" t="s">
        <v>4884</v>
      </c>
      <c r="K234" t="s">
        <v>74</v>
      </c>
      <c r="L234" t="s">
        <v>74</v>
      </c>
      <c r="M234" t="s">
        <v>78</v>
      </c>
      <c r="N234" t="s">
        <v>79</v>
      </c>
      <c r="O234" t="s">
        <v>74</v>
      </c>
      <c r="P234" t="s">
        <v>74</v>
      </c>
      <c r="Q234" t="s">
        <v>74</v>
      </c>
      <c r="R234" t="s">
        <v>74</v>
      </c>
      <c r="S234" t="s">
        <v>74</v>
      </c>
      <c r="T234" t="s">
        <v>4885</v>
      </c>
      <c r="U234" t="s">
        <v>4886</v>
      </c>
      <c r="V234" t="s">
        <v>4887</v>
      </c>
      <c r="W234" t="s">
        <v>4888</v>
      </c>
      <c r="X234" t="s">
        <v>4889</v>
      </c>
      <c r="Y234" t="s">
        <v>4890</v>
      </c>
      <c r="Z234" t="s">
        <v>4891</v>
      </c>
      <c r="AA234" t="s">
        <v>4892</v>
      </c>
      <c r="AB234" t="s">
        <v>4893</v>
      </c>
      <c r="AC234" t="s">
        <v>4894</v>
      </c>
      <c r="AD234" t="s">
        <v>4895</v>
      </c>
      <c r="AE234" t="s">
        <v>4896</v>
      </c>
      <c r="AF234" t="s">
        <v>74</v>
      </c>
      <c r="AG234">
        <v>106</v>
      </c>
      <c r="AH234">
        <v>32</v>
      </c>
      <c r="AI234">
        <v>33</v>
      </c>
      <c r="AJ234">
        <v>1</v>
      </c>
      <c r="AK234">
        <v>36</v>
      </c>
      <c r="AL234" t="s">
        <v>1067</v>
      </c>
      <c r="AM234" t="s">
        <v>1068</v>
      </c>
      <c r="AN234" t="s">
        <v>1163</v>
      </c>
      <c r="AO234" t="s">
        <v>4897</v>
      </c>
      <c r="AP234" t="s">
        <v>4898</v>
      </c>
      <c r="AQ234" t="s">
        <v>74</v>
      </c>
      <c r="AR234" t="s">
        <v>4899</v>
      </c>
      <c r="AS234" t="s">
        <v>4900</v>
      </c>
      <c r="AT234" t="s">
        <v>4901</v>
      </c>
      <c r="AU234">
        <v>2013</v>
      </c>
      <c r="AV234">
        <v>43</v>
      </c>
      <c r="AW234">
        <v>6</v>
      </c>
      <c r="AX234" t="s">
        <v>74</v>
      </c>
      <c r="AY234" t="s">
        <v>74</v>
      </c>
      <c r="AZ234" t="s">
        <v>74</v>
      </c>
      <c r="BA234" t="s">
        <v>74</v>
      </c>
      <c r="BB234">
        <v>501</v>
      </c>
      <c r="BC234">
        <v>526</v>
      </c>
      <c r="BD234" t="s">
        <v>74</v>
      </c>
      <c r="BE234" t="s">
        <v>4902</v>
      </c>
      <c r="BF234" t="str">
        <f>HYPERLINK("http://dx.doi.org/10.1007/s11084-013-9348-z","http://dx.doi.org/10.1007/s11084-013-9348-z")</f>
        <v>http://dx.doi.org/10.1007/s11084-013-9348-z</v>
      </c>
      <c r="BG234" t="s">
        <v>74</v>
      </c>
      <c r="BH234" t="s">
        <v>74</v>
      </c>
      <c r="BI234">
        <v>26</v>
      </c>
      <c r="BJ234" t="s">
        <v>1546</v>
      </c>
      <c r="BK234" t="s">
        <v>99</v>
      </c>
      <c r="BL234" t="s">
        <v>1547</v>
      </c>
      <c r="BM234" t="s">
        <v>4903</v>
      </c>
      <c r="BN234">
        <v>24362711</v>
      </c>
      <c r="BO234" t="s">
        <v>74</v>
      </c>
      <c r="BP234" t="s">
        <v>74</v>
      </c>
      <c r="BQ234" t="s">
        <v>74</v>
      </c>
      <c r="BR234" t="s">
        <v>103</v>
      </c>
      <c r="BS234" t="s">
        <v>4904</v>
      </c>
      <c r="BT234" t="str">
        <f>HYPERLINK("https%3A%2F%2Fwww.webofscience.com%2Fwos%2Fwoscc%2Ffull-record%2FWOS:000339947500004","View Full Record in Web of Science")</f>
        <v>View Full Record in Web of Science</v>
      </c>
    </row>
    <row r="235" spans="1:72" x14ac:dyDescent="0.15">
      <c r="A235" t="s">
        <v>72</v>
      </c>
      <c r="B235" t="s">
        <v>4905</v>
      </c>
      <c r="C235" t="s">
        <v>74</v>
      </c>
      <c r="D235" t="s">
        <v>74</v>
      </c>
      <c r="E235" t="s">
        <v>74</v>
      </c>
      <c r="F235" t="s">
        <v>4906</v>
      </c>
      <c r="G235" t="s">
        <v>74</v>
      </c>
      <c r="H235" t="s">
        <v>74</v>
      </c>
      <c r="I235" t="s">
        <v>4907</v>
      </c>
      <c r="J235" t="s">
        <v>4908</v>
      </c>
      <c r="K235" t="s">
        <v>74</v>
      </c>
      <c r="L235" t="s">
        <v>74</v>
      </c>
      <c r="M235" t="s">
        <v>78</v>
      </c>
      <c r="N235" t="s">
        <v>79</v>
      </c>
      <c r="O235" t="s">
        <v>74</v>
      </c>
      <c r="P235" t="s">
        <v>74</v>
      </c>
      <c r="Q235" t="s">
        <v>74</v>
      </c>
      <c r="R235" t="s">
        <v>74</v>
      </c>
      <c r="S235" t="s">
        <v>74</v>
      </c>
      <c r="T235" t="s">
        <v>74</v>
      </c>
      <c r="U235" t="s">
        <v>74</v>
      </c>
      <c r="V235" t="s">
        <v>74</v>
      </c>
      <c r="W235" t="s">
        <v>4909</v>
      </c>
      <c r="X235" t="s">
        <v>4910</v>
      </c>
      <c r="Y235" t="s">
        <v>4911</v>
      </c>
      <c r="Z235" t="s">
        <v>4912</v>
      </c>
      <c r="AA235" t="s">
        <v>4913</v>
      </c>
      <c r="AB235" t="s">
        <v>4914</v>
      </c>
      <c r="AC235" t="s">
        <v>74</v>
      </c>
      <c r="AD235" t="s">
        <v>74</v>
      </c>
      <c r="AE235" t="s">
        <v>74</v>
      </c>
      <c r="AF235" t="s">
        <v>74</v>
      </c>
      <c r="AG235">
        <v>32</v>
      </c>
      <c r="AH235">
        <v>1</v>
      </c>
      <c r="AI235">
        <v>1</v>
      </c>
      <c r="AJ235">
        <v>0</v>
      </c>
      <c r="AK235">
        <v>0</v>
      </c>
      <c r="AL235" t="s">
        <v>276</v>
      </c>
      <c r="AM235" t="s">
        <v>277</v>
      </c>
      <c r="AN235" t="s">
        <v>278</v>
      </c>
      <c r="AO235" t="s">
        <v>4915</v>
      </c>
      <c r="AP235" t="s">
        <v>4916</v>
      </c>
      <c r="AQ235" t="s">
        <v>74</v>
      </c>
      <c r="AR235" t="s">
        <v>4917</v>
      </c>
      <c r="AS235" t="s">
        <v>4918</v>
      </c>
      <c r="AT235" t="s">
        <v>4919</v>
      </c>
      <c r="AU235">
        <v>2013</v>
      </c>
      <c r="AV235">
        <v>18</v>
      </c>
      <c r="AW235">
        <v>6</v>
      </c>
      <c r="AX235" t="s">
        <v>74</v>
      </c>
      <c r="AY235" t="s">
        <v>74</v>
      </c>
      <c r="AZ235" t="s">
        <v>283</v>
      </c>
      <c r="BA235" t="s">
        <v>74</v>
      </c>
      <c r="BB235">
        <v>18</v>
      </c>
      <c r="BC235">
        <v>28</v>
      </c>
      <c r="BD235" t="s">
        <v>74</v>
      </c>
      <c r="BE235" t="s">
        <v>4920</v>
      </c>
      <c r="BF235" t="str">
        <f>HYPERLINK("http://dx.doi.org/10.1080/13528165.2013.908051","http://dx.doi.org/10.1080/13528165.2013.908051")</f>
        <v>http://dx.doi.org/10.1080/13528165.2013.908051</v>
      </c>
      <c r="BG235" t="s">
        <v>74</v>
      </c>
      <c r="BH235" t="s">
        <v>74</v>
      </c>
      <c r="BI235">
        <v>11</v>
      </c>
      <c r="BJ235" t="s">
        <v>4921</v>
      </c>
      <c r="BK235" t="s">
        <v>4922</v>
      </c>
      <c r="BL235" t="s">
        <v>4921</v>
      </c>
      <c r="BM235" t="s">
        <v>4923</v>
      </c>
      <c r="BN235" t="s">
        <v>74</v>
      </c>
      <c r="BO235" t="s">
        <v>74</v>
      </c>
      <c r="BP235" t="s">
        <v>74</v>
      </c>
      <c r="BQ235" t="s">
        <v>74</v>
      </c>
      <c r="BR235" t="s">
        <v>103</v>
      </c>
      <c r="BS235" t="s">
        <v>4924</v>
      </c>
      <c r="BT235" t="str">
        <f>HYPERLINK("https%3A%2F%2Fwww.webofscience.com%2Fwos%2Fwoscc%2Ffull-record%2FWOS:000335213600003","View Full Record in Web of Science")</f>
        <v>View Full Record in Web of Science</v>
      </c>
    </row>
    <row r="236" spans="1:72" x14ac:dyDescent="0.15">
      <c r="A236" t="s">
        <v>72</v>
      </c>
      <c r="B236" t="s">
        <v>4925</v>
      </c>
      <c r="C236" t="s">
        <v>74</v>
      </c>
      <c r="D236" t="s">
        <v>74</v>
      </c>
      <c r="E236" t="s">
        <v>74</v>
      </c>
      <c r="F236" t="s">
        <v>4926</v>
      </c>
      <c r="G236" t="s">
        <v>74</v>
      </c>
      <c r="H236" t="s">
        <v>74</v>
      </c>
      <c r="I236" t="s">
        <v>4927</v>
      </c>
      <c r="J236" t="s">
        <v>4908</v>
      </c>
      <c r="K236" t="s">
        <v>74</v>
      </c>
      <c r="L236" t="s">
        <v>74</v>
      </c>
      <c r="M236" t="s">
        <v>78</v>
      </c>
      <c r="N236" t="s">
        <v>79</v>
      </c>
      <c r="O236" t="s">
        <v>74</v>
      </c>
      <c r="P236" t="s">
        <v>74</v>
      </c>
      <c r="Q236" t="s">
        <v>74</v>
      </c>
      <c r="R236" t="s">
        <v>74</v>
      </c>
      <c r="S236" t="s">
        <v>74</v>
      </c>
      <c r="T236" t="s">
        <v>74</v>
      </c>
      <c r="U236" t="s">
        <v>74</v>
      </c>
      <c r="V236" t="s">
        <v>74</v>
      </c>
      <c r="W236" t="s">
        <v>74</v>
      </c>
      <c r="X236" t="s">
        <v>74</v>
      </c>
      <c r="Y236" t="s">
        <v>74</v>
      </c>
      <c r="Z236" t="s">
        <v>4928</v>
      </c>
      <c r="AA236" t="s">
        <v>74</v>
      </c>
      <c r="AB236" t="s">
        <v>74</v>
      </c>
      <c r="AC236" t="s">
        <v>74</v>
      </c>
      <c r="AD236" t="s">
        <v>74</v>
      </c>
      <c r="AE236" t="s">
        <v>74</v>
      </c>
      <c r="AF236" t="s">
        <v>74</v>
      </c>
      <c r="AG236">
        <v>2</v>
      </c>
      <c r="AH236">
        <v>0</v>
      </c>
      <c r="AI236">
        <v>0</v>
      </c>
      <c r="AJ236">
        <v>0</v>
      </c>
      <c r="AK236">
        <v>1</v>
      </c>
      <c r="AL236" t="s">
        <v>276</v>
      </c>
      <c r="AM236" t="s">
        <v>277</v>
      </c>
      <c r="AN236" t="s">
        <v>278</v>
      </c>
      <c r="AO236" t="s">
        <v>4915</v>
      </c>
      <c r="AP236" t="s">
        <v>4916</v>
      </c>
      <c r="AQ236" t="s">
        <v>74</v>
      </c>
      <c r="AR236" t="s">
        <v>4917</v>
      </c>
      <c r="AS236" t="s">
        <v>4918</v>
      </c>
      <c r="AT236" t="s">
        <v>4919</v>
      </c>
      <c r="AU236">
        <v>2013</v>
      </c>
      <c r="AV236">
        <v>18</v>
      </c>
      <c r="AW236">
        <v>6</v>
      </c>
      <c r="AX236" t="s">
        <v>74</v>
      </c>
      <c r="AY236" t="s">
        <v>74</v>
      </c>
      <c r="AZ236" t="s">
        <v>283</v>
      </c>
      <c r="BA236" t="s">
        <v>74</v>
      </c>
      <c r="BB236">
        <v>71</v>
      </c>
      <c r="BC236">
        <v>80</v>
      </c>
      <c r="BD236" t="s">
        <v>74</v>
      </c>
      <c r="BE236" t="s">
        <v>4929</v>
      </c>
      <c r="BF236" t="str">
        <f>HYPERLINK("http://dx.doi.org/10.1080/13528165.2013.908059","http://dx.doi.org/10.1080/13528165.2013.908059")</f>
        <v>http://dx.doi.org/10.1080/13528165.2013.908059</v>
      </c>
      <c r="BG236" t="s">
        <v>74</v>
      </c>
      <c r="BH236" t="s">
        <v>74</v>
      </c>
      <c r="BI236">
        <v>10</v>
      </c>
      <c r="BJ236" t="s">
        <v>4921</v>
      </c>
      <c r="BK236" t="s">
        <v>4922</v>
      </c>
      <c r="BL236" t="s">
        <v>4921</v>
      </c>
      <c r="BM236" t="s">
        <v>4923</v>
      </c>
      <c r="BN236" t="s">
        <v>74</v>
      </c>
      <c r="BO236" t="s">
        <v>74</v>
      </c>
      <c r="BP236" t="s">
        <v>74</v>
      </c>
      <c r="BQ236" t="s">
        <v>74</v>
      </c>
      <c r="BR236" t="s">
        <v>103</v>
      </c>
      <c r="BS236" t="s">
        <v>4930</v>
      </c>
      <c r="BT236" t="str">
        <f>HYPERLINK("https%3A%2F%2Fwww.webofscience.com%2Fwos%2Fwoscc%2Ffull-record%2FWOS:000335213600010","View Full Record in Web of Science")</f>
        <v>View Full Record in Web of Science</v>
      </c>
    </row>
    <row r="237" spans="1:72" x14ac:dyDescent="0.15">
      <c r="A237" t="s">
        <v>72</v>
      </c>
      <c r="B237" t="s">
        <v>4931</v>
      </c>
      <c r="C237" t="s">
        <v>74</v>
      </c>
      <c r="D237" t="s">
        <v>74</v>
      </c>
      <c r="E237" t="s">
        <v>74</v>
      </c>
      <c r="F237" t="s">
        <v>4932</v>
      </c>
      <c r="G237" t="s">
        <v>74</v>
      </c>
      <c r="H237" t="s">
        <v>74</v>
      </c>
      <c r="I237" t="s">
        <v>4933</v>
      </c>
      <c r="J237" t="s">
        <v>4934</v>
      </c>
      <c r="K237" t="s">
        <v>74</v>
      </c>
      <c r="L237" t="s">
        <v>74</v>
      </c>
      <c r="M237" t="s">
        <v>78</v>
      </c>
      <c r="N237" t="s">
        <v>79</v>
      </c>
      <c r="O237" t="s">
        <v>74</v>
      </c>
      <c r="P237" t="s">
        <v>74</v>
      </c>
      <c r="Q237" t="s">
        <v>74</v>
      </c>
      <c r="R237" t="s">
        <v>74</v>
      </c>
      <c r="S237" t="s">
        <v>74</v>
      </c>
      <c r="T237" t="s">
        <v>74</v>
      </c>
      <c r="U237" t="s">
        <v>4935</v>
      </c>
      <c r="V237" t="s">
        <v>4936</v>
      </c>
      <c r="W237" t="s">
        <v>4937</v>
      </c>
      <c r="X237" t="s">
        <v>4938</v>
      </c>
      <c r="Y237" t="s">
        <v>4939</v>
      </c>
      <c r="Z237" t="s">
        <v>4940</v>
      </c>
      <c r="AA237" t="s">
        <v>4941</v>
      </c>
      <c r="AB237" t="s">
        <v>4942</v>
      </c>
      <c r="AC237" t="s">
        <v>4943</v>
      </c>
      <c r="AD237" t="s">
        <v>4944</v>
      </c>
      <c r="AE237" t="s">
        <v>74</v>
      </c>
      <c r="AF237" t="s">
        <v>74</v>
      </c>
      <c r="AG237">
        <v>62</v>
      </c>
      <c r="AH237">
        <v>22</v>
      </c>
      <c r="AI237">
        <v>23</v>
      </c>
      <c r="AJ237">
        <v>2</v>
      </c>
      <c r="AK237">
        <v>29</v>
      </c>
      <c r="AL237" t="s">
        <v>4945</v>
      </c>
      <c r="AM237" t="s">
        <v>4946</v>
      </c>
      <c r="AN237" t="s">
        <v>4947</v>
      </c>
      <c r="AO237" t="s">
        <v>4948</v>
      </c>
      <c r="AP237" t="s">
        <v>74</v>
      </c>
      <c r="AQ237" t="s">
        <v>74</v>
      </c>
      <c r="AR237" t="s">
        <v>4934</v>
      </c>
      <c r="AS237" t="s">
        <v>1613</v>
      </c>
      <c r="AT237" t="s">
        <v>4901</v>
      </c>
      <c r="AU237">
        <v>2013</v>
      </c>
      <c r="AV237">
        <v>26</v>
      </c>
      <c r="AW237">
        <v>4</v>
      </c>
      <c r="AX237" t="s">
        <v>74</v>
      </c>
      <c r="AY237" t="s">
        <v>74</v>
      </c>
      <c r="AZ237" t="s">
        <v>74</v>
      </c>
      <c r="BA237" t="s">
        <v>74</v>
      </c>
      <c r="BB237">
        <v>22</v>
      </c>
      <c r="BC237">
        <v>33</v>
      </c>
      <c r="BD237" t="s">
        <v>74</v>
      </c>
      <c r="BE237" t="s">
        <v>4949</v>
      </c>
      <c r="BF237" t="str">
        <f>HYPERLINK("http://dx.doi.org/10.5670/oceanog.2013.73","http://dx.doi.org/10.5670/oceanog.2013.73")</f>
        <v>http://dx.doi.org/10.5670/oceanog.2013.73</v>
      </c>
      <c r="BG237" t="s">
        <v>74</v>
      </c>
      <c r="BH237" t="s">
        <v>74</v>
      </c>
      <c r="BI237">
        <v>12</v>
      </c>
      <c r="BJ237" t="s">
        <v>1613</v>
      </c>
      <c r="BK237" t="s">
        <v>99</v>
      </c>
      <c r="BL237" t="s">
        <v>1613</v>
      </c>
      <c r="BM237" t="s">
        <v>4950</v>
      </c>
      <c r="BN237" t="s">
        <v>74</v>
      </c>
      <c r="BO237" t="s">
        <v>4951</v>
      </c>
      <c r="BP237" t="s">
        <v>74</v>
      </c>
      <c r="BQ237" t="s">
        <v>74</v>
      </c>
      <c r="BR237" t="s">
        <v>103</v>
      </c>
      <c r="BS237" t="s">
        <v>4952</v>
      </c>
      <c r="BT237" t="str">
        <f>HYPERLINK("https%3A%2F%2Fwww.webofscience.com%2Fwos%2Fwoscc%2Ffull-record%2FWOS:000332749800005","View Full Record in Web of Science")</f>
        <v>View Full Record in Web of Science</v>
      </c>
    </row>
    <row r="238" spans="1:72" x14ac:dyDescent="0.15">
      <c r="A238" t="s">
        <v>72</v>
      </c>
      <c r="B238" t="s">
        <v>4953</v>
      </c>
      <c r="C238" t="s">
        <v>74</v>
      </c>
      <c r="D238" t="s">
        <v>74</v>
      </c>
      <c r="E238" t="s">
        <v>74</v>
      </c>
      <c r="F238" t="s">
        <v>4954</v>
      </c>
      <c r="G238" t="s">
        <v>74</v>
      </c>
      <c r="H238" t="s">
        <v>74</v>
      </c>
      <c r="I238" t="s">
        <v>4955</v>
      </c>
      <c r="J238" t="s">
        <v>4956</v>
      </c>
      <c r="K238" t="s">
        <v>74</v>
      </c>
      <c r="L238" t="s">
        <v>74</v>
      </c>
      <c r="M238" t="s">
        <v>78</v>
      </c>
      <c r="N238" t="s">
        <v>79</v>
      </c>
      <c r="O238" t="s">
        <v>74</v>
      </c>
      <c r="P238" t="s">
        <v>74</v>
      </c>
      <c r="Q238" t="s">
        <v>74</v>
      </c>
      <c r="R238" t="s">
        <v>74</v>
      </c>
      <c r="S238" t="s">
        <v>74</v>
      </c>
      <c r="T238" t="s">
        <v>4957</v>
      </c>
      <c r="U238" t="s">
        <v>4958</v>
      </c>
      <c r="V238" t="s">
        <v>4959</v>
      </c>
      <c r="W238" t="s">
        <v>4960</v>
      </c>
      <c r="X238" t="s">
        <v>4961</v>
      </c>
      <c r="Y238" t="s">
        <v>4962</v>
      </c>
      <c r="Z238" t="s">
        <v>4963</v>
      </c>
      <c r="AA238" t="s">
        <v>74</v>
      </c>
      <c r="AB238" t="s">
        <v>74</v>
      </c>
      <c r="AC238" t="s">
        <v>4964</v>
      </c>
      <c r="AD238" t="s">
        <v>4965</v>
      </c>
      <c r="AE238" t="s">
        <v>4966</v>
      </c>
      <c r="AF238" t="s">
        <v>74</v>
      </c>
      <c r="AG238">
        <v>15</v>
      </c>
      <c r="AH238">
        <v>8</v>
      </c>
      <c r="AI238">
        <v>10</v>
      </c>
      <c r="AJ238">
        <v>4</v>
      </c>
      <c r="AK238">
        <v>21</v>
      </c>
      <c r="AL238" t="s">
        <v>4967</v>
      </c>
      <c r="AM238" t="s">
        <v>4968</v>
      </c>
      <c r="AN238" t="s">
        <v>4969</v>
      </c>
      <c r="AO238" t="s">
        <v>4970</v>
      </c>
      <c r="AP238" t="s">
        <v>74</v>
      </c>
      <c r="AQ238" t="s">
        <v>74</v>
      </c>
      <c r="AR238" t="s">
        <v>4971</v>
      </c>
      <c r="AS238" t="s">
        <v>4972</v>
      </c>
      <c r="AT238" t="s">
        <v>4901</v>
      </c>
      <c r="AU238">
        <v>2013</v>
      </c>
      <c r="AV238">
        <v>58</v>
      </c>
      <c r="AW238">
        <v>4</v>
      </c>
      <c r="AX238" t="s">
        <v>74</v>
      </c>
      <c r="AY238" t="s">
        <v>74</v>
      </c>
      <c r="AZ238" t="s">
        <v>74</v>
      </c>
      <c r="BA238" t="s">
        <v>74</v>
      </c>
      <c r="BB238">
        <v>2025</v>
      </c>
      <c r="BC238">
        <v>2026</v>
      </c>
      <c r="BD238" t="s">
        <v>74</v>
      </c>
      <c r="BE238" t="s">
        <v>4973</v>
      </c>
      <c r="BF238" t="str">
        <f>HYPERLINK("http://dx.doi.org/10.4067/S0717-97072013000400026","http://dx.doi.org/10.4067/S0717-97072013000400026")</f>
        <v>http://dx.doi.org/10.4067/S0717-97072013000400026</v>
      </c>
      <c r="BG238" t="s">
        <v>74</v>
      </c>
      <c r="BH238" t="s">
        <v>74</v>
      </c>
      <c r="BI238">
        <v>2</v>
      </c>
      <c r="BJ238" t="s">
        <v>4974</v>
      </c>
      <c r="BK238" t="s">
        <v>99</v>
      </c>
      <c r="BL238" t="s">
        <v>4975</v>
      </c>
      <c r="BM238" t="s">
        <v>4976</v>
      </c>
      <c r="BN238" t="s">
        <v>74</v>
      </c>
      <c r="BO238" t="s">
        <v>119</v>
      </c>
      <c r="BP238" t="s">
        <v>74</v>
      </c>
      <c r="BQ238" t="s">
        <v>74</v>
      </c>
      <c r="BR238" t="s">
        <v>103</v>
      </c>
      <c r="BS238" t="s">
        <v>4977</v>
      </c>
      <c r="BT238" t="str">
        <f>HYPERLINK("https%3A%2F%2Fwww.webofscience.com%2Fwos%2Fwoscc%2Ffull-record%2FWOS:000331238800022","View Full Record in Web of Science")</f>
        <v>View Full Record in Web of Science</v>
      </c>
    </row>
    <row r="239" spans="1:72" x14ac:dyDescent="0.15">
      <c r="A239" t="s">
        <v>72</v>
      </c>
      <c r="B239" t="s">
        <v>4978</v>
      </c>
      <c r="C239" t="s">
        <v>74</v>
      </c>
      <c r="D239" t="s">
        <v>74</v>
      </c>
      <c r="E239" t="s">
        <v>74</v>
      </c>
      <c r="F239" t="s">
        <v>4979</v>
      </c>
      <c r="G239" t="s">
        <v>74</v>
      </c>
      <c r="H239" t="s">
        <v>74</v>
      </c>
      <c r="I239" t="s">
        <v>4980</v>
      </c>
      <c r="J239" t="s">
        <v>4981</v>
      </c>
      <c r="K239" t="s">
        <v>74</v>
      </c>
      <c r="L239" t="s">
        <v>74</v>
      </c>
      <c r="M239" t="s">
        <v>78</v>
      </c>
      <c r="N239" t="s">
        <v>79</v>
      </c>
      <c r="O239" t="s">
        <v>74</v>
      </c>
      <c r="P239" t="s">
        <v>74</v>
      </c>
      <c r="Q239" t="s">
        <v>74</v>
      </c>
      <c r="R239" t="s">
        <v>74</v>
      </c>
      <c r="S239" t="s">
        <v>74</v>
      </c>
      <c r="T239" t="s">
        <v>4982</v>
      </c>
      <c r="U239" t="s">
        <v>4983</v>
      </c>
      <c r="V239" t="s">
        <v>4984</v>
      </c>
      <c r="W239" t="s">
        <v>4985</v>
      </c>
      <c r="X239" t="s">
        <v>4986</v>
      </c>
      <c r="Y239" t="s">
        <v>4987</v>
      </c>
      <c r="Z239" t="s">
        <v>4988</v>
      </c>
      <c r="AA239" t="s">
        <v>4989</v>
      </c>
      <c r="AB239" t="s">
        <v>4990</v>
      </c>
      <c r="AC239" t="s">
        <v>4991</v>
      </c>
      <c r="AD239" t="s">
        <v>4992</v>
      </c>
      <c r="AE239" t="s">
        <v>4993</v>
      </c>
      <c r="AF239" t="s">
        <v>74</v>
      </c>
      <c r="AG239">
        <v>8</v>
      </c>
      <c r="AH239">
        <v>9</v>
      </c>
      <c r="AI239">
        <v>9</v>
      </c>
      <c r="AJ239">
        <v>0</v>
      </c>
      <c r="AK239">
        <v>11</v>
      </c>
      <c r="AL239" t="s">
        <v>920</v>
      </c>
      <c r="AM239" t="s">
        <v>921</v>
      </c>
      <c r="AN239" t="s">
        <v>922</v>
      </c>
      <c r="AO239" t="s">
        <v>4994</v>
      </c>
      <c r="AP239" t="s">
        <v>4995</v>
      </c>
      <c r="AQ239" t="s">
        <v>74</v>
      </c>
      <c r="AR239" t="s">
        <v>4996</v>
      </c>
      <c r="AS239" t="s">
        <v>4997</v>
      </c>
      <c r="AT239" t="s">
        <v>4901</v>
      </c>
      <c r="AU239">
        <v>2013</v>
      </c>
      <c r="AV239">
        <v>49</v>
      </c>
      <c r="AW239">
        <v>9</v>
      </c>
      <c r="AX239" t="s">
        <v>74</v>
      </c>
      <c r="AY239" t="s">
        <v>74</v>
      </c>
      <c r="AZ239" t="s">
        <v>74</v>
      </c>
      <c r="BA239" t="s">
        <v>74</v>
      </c>
      <c r="BB239">
        <v>879</v>
      </c>
      <c r="BC239">
        <v>885</v>
      </c>
      <c r="BD239" t="s">
        <v>74</v>
      </c>
      <c r="BE239" t="s">
        <v>4998</v>
      </c>
      <c r="BF239" t="str">
        <f>HYPERLINK("http://dx.doi.org/10.1134/S000143381309017X","http://dx.doi.org/10.1134/S000143381309017X")</f>
        <v>http://dx.doi.org/10.1134/S000143381309017X</v>
      </c>
      <c r="BG239" t="s">
        <v>74</v>
      </c>
      <c r="BH239" t="s">
        <v>74</v>
      </c>
      <c r="BI239">
        <v>7</v>
      </c>
      <c r="BJ239" t="s">
        <v>2863</v>
      </c>
      <c r="BK239" t="s">
        <v>99</v>
      </c>
      <c r="BL239" t="s">
        <v>2863</v>
      </c>
      <c r="BM239" t="s">
        <v>4999</v>
      </c>
      <c r="BN239" t="s">
        <v>74</v>
      </c>
      <c r="BO239" t="s">
        <v>74</v>
      </c>
      <c r="BP239" t="s">
        <v>74</v>
      </c>
      <c r="BQ239" t="s">
        <v>74</v>
      </c>
      <c r="BR239" t="s">
        <v>103</v>
      </c>
      <c r="BS239" t="s">
        <v>5000</v>
      </c>
      <c r="BT239" t="str">
        <f>HYPERLINK("https%3A%2F%2Fwww.webofscience.com%2Fwos%2Fwoscc%2Ffull-record%2FWOS:000330973100002","View Full Record in Web of Science")</f>
        <v>View Full Record in Web of Science</v>
      </c>
    </row>
    <row r="240" spans="1:72" x14ac:dyDescent="0.15">
      <c r="A240" t="s">
        <v>72</v>
      </c>
      <c r="B240" t="s">
        <v>5001</v>
      </c>
      <c r="C240" t="s">
        <v>74</v>
      </c>
      <c r="D240" t="s">
        <v>74</v>
      </c>
      <c r="E240" t="s">
        <v>74</v>
      </c>
      <c r="F240" t="s">
        <v>5002</v>
      </c>
      <c r="G240" t="s">
        <v>74</v>
      </c>
      <c r="H240" t="s">
        <v>74</v>
      </c>
      <c r="I240" t="s">
        <v>5003</v>
      </c>
      <c r="J240" t="s">
        <v>5004</v>
      </c>
      <c r="K240" t="s">
        <v>74</v>
      </c>
      <c r="L240" t="s">
        <v>74</v>
      </c>
      <c r="M240" t="s">
        <v>78</v>
      </c>
      <c r="N240" t="s">
        <v>79</v>
      </c>
      <c r="O240" t="s">
        <v>74</v>
      </c>
      <c r="P240" t="s">
        <v>74</v>
      </c>
      <c r="Q240" t="s">
        <v>74</v>
      </c>
      <c r="R240" t="s">
        <v>74</v>
      </c>
      <c r="S240" t="s">
        <v>74</v>
      </c>
      <c r="T240" t="s">
        <v>5005</v>
      </c>
      <c r="U240" t="s">
        <v>5006</v>
      </c>
      <c r="V240" t="s">
        <v>5007</v>
      </c>
      <c r="W240" t="s">
        <v>5008</v>
      </c>
      <c r="X240" t="s">
        <v>5009</v>
      </c>
      <c r="Y240" t="s">
        <v>5010</v>
      </c>
      <c r="Z240" t="s">
        <v>5011</v>
      </c>
      <c r="AA240" t="s">
        <v>5012</v>
      </c>
      <c r="AB240" t="s">
        <v>74</v>
      </c>
      <c r="AC240" t="s">
        <v>5013</v>
      </c>
      <c r="AD240" t="s">
        <v>5014</v>
      </c>
      <c r="AE240" t="s">
        <v>5015</v>
      </c>
      <c r="AF240" t="s">
        <v>74</v>
      </c>
      <c r="AG240">
        <v>39</v>
      </c>
      <c r="AH240">
        <v>12</v>
      </c>
      <c r="AI240">
        <v>15</v>
      </c>
      <c r="AJ240">
        <v>3</v>
      </c>
      <c r="AK240">
        <v>53</v>
      </c>
      <c r="AL240" t="s">
        <v>5016</v>
      </c>
      <c r="AM240" t="s">
        <v>5017</v>
      </c>
      <c r="AN240" t="s">
        <v>5018</v>
      </c>
      <c r="AO240" t="s">
        <v>5019</v>
      </c>
      <c r="AP240" t="s">
        <v>74</v>
      </c>
      <c r="AQ240" t="s">
        <v>74</v>
      </c>
      <c r="AR240" t="s">
        <v>5020</v>
      </c>
      <c r="AS240" t="s">
        <v>5021</v>
      </c>
      <c r="AT240" t="s">
        <v>4901</v>
      </c>
      <c r="AU240">
        <v>2013</v>
      </c>
      <c r="AV240">
        <v>4</v>
      </c>
      <c r="AW240">
        <v>4</v>
      </c>
      <c r="AX240" t="s">
        <v>74</v>
      </c>
      <c r="AY240" t="s">
        <v>74</v>
      </c>
      <c r="AZ240" t="s">
        <v>74</v>
      </c>
      <c r="BA240" t="s">
        <v>74</v>
      </c>
      <c r="BB240">
        <v>337</v>
      </c>
      <c r="BC240">
        <v>348</v>
      </c>
      <c r="BD240" t="s">
        <v>74</v>
      </c>
      <c r="BE240" t="s">
        <v>5022</v>
      </c>
      <c r="BF240" t="str">
        <f>HYPERLINK("http://dx.doi.org/10.3390/atmos4040337","http://dx.doi.org/10.3390/atmos4040337")</f>
        <v>http://dx.doi.org/10.3390/atmos4040337</v>
      </c>
      <c r="BG240" t="s">
        <v>74</v>
      </c>
      <c r="BH240" t="s">
        <v>74</v>
      </c>
      <c r="BI240">
        <v>12</v>
      </c>
      <c r="BJ240" t="s">
        <v>5023</v>
      </c>
      <c r="BK240" t="s">
        <v>99</v>
      </c>
      <c r="BL240" t="s">
        <v>3933</v>
      </c>
      <c r="BM240" t="s">
        <v>5024</v>
      </c>
      <c r="BN240" t="s">
        <v>74</v>
      </c>
      <c r="BO240" t="s">
        <v>138</v>
      </c>
      <c r="BP240" t="s">
        <v>74</v>
      </c>
      <c r="BQ240" t="s">
        <v>74</v>
      </c>
      <c r="BR240" t="s">
        <v>103</v>
      </c>
      <c r="BS240" t="s">
        <v>5025</v>
      </c>
      <c r="BT240" t="str">
        <f>HYPERLINK("https%3A%2F%2Fwww.webofscience.com%2Fwos%2Fwoscc%2Ffull-record%2FWOS:000330519600002","View Full Record in Web of Science")</f>
        <v>View Full Record in Web of Science</v>
      </c>
    </row>
    <row r="241" spans="1:72" x14ac:dyDescent="0.15">
      <c r="A241" t="s">
        <v>72</v>
      </c>
      <c r="B241" t="s">
        <v>5026</v>
      </c>
      <c r="C241" t="s">
        <v>74</v>
      </c>
      <c r="D241" t="s">
        <v>74</v>
      </c>
      <c r="E241" t="s">
        <v>74</v>
      </c>
      <c r="F241" t="s">
        <v>5027</v>
      </c>
      <c r="G241" t="s">
        <v>74</v>
      </c>
      <c r="H241" t="s">
        <v>74</v>
      </c>
      <c r="I241" t="s">
        <v>5028</v>
      </c>
      <c r="J241" t="s">
        <v>5029</v>
      </c>
      <c r="K241" t="s">
        <v>74</v>
      </c>
      <c r="L241" t="s">
        <v>74</v>
      </c>
      <c r="M241" t="s">
        <v>78</v>
      </c>
      <c r="N241" t="s">
        <v>79</v>
      </c>
      <c r="O241" t="s">
        <v>74</v>
      </c>
      <c r="P241" t="s">
        <v>74</v>
      </c>
      <c r="Q241" t="s">
        <v>74</v>
      </c>
      <c r="R241" t="s">
        <v>74</v>
      </c>
      <c r="S241" t="s">
        <v>74</v>
      </c>
      <c r="T241" t="s">
        <v>74</v>
      </c>
      <c r="U241" t="s">
        <v>5030</v>
      </c>
      <c r="V241" t="s">
        <v>5031</v>
      </c>
      <c r="W241" t="s">
        <v>5032</v>
      </c>
      <c r="X241" t="s">
        <v>5033</v>
      </c>
      <c r="Y241" t="s">
        <v>5034</v>
      </c>
      <c r="Z241" t="s">
        <v>5035</v>
      </c>
      <c r="AA241" t="s">
        <v>5036</v>
      </c>
      <c r="AB241" t="s">
        <v>5037</v>
      </c>
      <c r="AC241" t="s">
        <v>5038</v>
      </c>
      <c r="AD241" t="s">
        <v>5039</v>
      </c>
      <c r="AE241" t="s">
        <v>5040</v>
      </c>
      <c r="AF241" t="s">
        <v>74</v>
      </c>
      <c r="AG241">
        <v>74</v>
      </c>
      <c r="AH241">
        <v>21</v>
      </c>
      <c r="AI241">
        <v>23</v>
      </c>
      <c r="AJ241">
        <v>1</v>
      </c>
      <c r="AK241">
        <v>10</v>
      </c>
      <c r="AL241" t="s">
        <v>1495</v>
      </c>
      <c r="AM241" t="s">
        <v>1496</v>
      </c>
      <c r="AN241" t="s">
        <v>1497</v>
      </c>
      <c r="AO241" t="s">
        <v>5041</v>
      </c>
      <c r="AP241" t="s">
        <v>5042</v>
      </c>
      <c r="AQ241" t="s">
        <v>74</v>
      </c>
      <c r="AR241" t="s">
        <v>5043</v>
      </c>
      <c r="AS241" t="s">
        <v>5044</v>
      </c>
      <c r="AT241" t="s">
        <v>4901</v>
      </c>
      <c r="AU241">
        <v>2013</v>
      </c>
      <c r="AV241">
        <v>70</v>
      </c>
      <c r="AW241">
        <v>12</v>
      </c>
      <c r="AX241" t="s">
        <v>74</v>
      </c>
      <c r="AY241" t="s">
        <v>74</v>
      </c>
      <c r="AZ241" t="s">
        <v>74</v>
      </c>
      <c r="BA241" t="s">
        <v>74</v>
      </c>
      <c r="BB241">
        <v>3959</v>
      </c>
      <c r="BC241">
        <v>3976</v>
      </c>
      <c r="BD241" t="s">
        <v>74</v>
      </c>
      <c r="BE241" t="s">
        <v>5045</v>
      </c>
      <c r="BF241" t="str">
        <f>HYPERLINK("http://dx.doi.org/10.1175/JAS-D-13-071.1","http://dx.doi.org/10.1175/JAS-D-13-071.1")</f>
        <v>http://dx.doi.org/10.1175/JAS-D-13-071.1</v>
      </c>
      <c r="BG241" t="s">
        <v>74</v>
      </c>
      <c r="BH241" t="s">
        <v>74</v>
      </c>
      <c r="BI241">
        <v>18</v>
      </c>
      <c r="BJ241" t="s">
        <v>1503</v>
      </c>
      <c r="BK241" t="s">
        <v>99</v>
      </c>
      <c r="BL241" t="s">
        <v>1503</v>
      </c>
      <c r="BM241" t="s">
        <v>5046</v>
      </c>
      <c r="BN241" t="s">
        <v>74</v>
      </c>
      <c r="BO241" t="s">
        <v>475</v>
      </c>
      <c r="BP241" t="s">
        <v>74</v>
      </c>
      <c r="BQ241" t="s">
        <v>74</v>
      </c>
      <c r="BR241" t="s">
        <v>103</v>
      </c>
      <c r="BS241" t="s">
        <v>5047</v>
      </c>
      <c r="BT241" t="str">
        <f>HYPERLINK("https%3A%2F%2Fwww.webofscience.com%2Fwos%2Fwoscc%2Ffull-record%2FWOS:000330540800008","View Full Record in Web of Science")</f>
        <v>View Full Record in Web of Science</v>
      </c>
    </row>
    <row r="242" spans="1:72" x14ac:dyDescent="0.15">
      <c r="A242" t="s">
        <v>72</v>
      </c>
      <c r="B242" t="s">
        <v>5048</v>
      </c>
      <c r="C242" t="s">
        <v>74</v>
      </c>
      <c r="D242" t="s">
        <v>74</v>
      </c>
      <c r="E242" t="s">
        <v>74</v>
      </c>
      <c r="F242" t="s">
        <v>5049</v>
      </c>
      <c r="G242" t="s">
        <v>74</v>
      </c>
      <c r="H242" t="s">
        <v>74</v>
      </c>
      <c r="I242" t="s">
        <v>5050</v>
      </c>
      <c r="J242" t="s">
        <v>5051</v>
      </c>
      <c r="K242" t="s">
        <v>74</v>
      </c>
      <c r="L242" t="s">
        <v>74</v>
      </c>
      <c r="M242" t="s">
        <v>78</v>
      </c>
      <c r="N242" t="s">
        <v>79</v>
      </c>
      <c r="O242" t="s">
        <v>74</v>
      </c>
      <c r="P242" t="s">
        <v>74</v>
      </c>
      <c r="Q242" t="s">
        <v>74</v>
      </c>
      <c r="R242" t="s">
        <v>74</v>
      </c>
      <c r="S242" t="s">
        <v>74</v>
      </c>
      <c r="T242" t="s">
        <v>5052</v>
      </c>
      <c r="U242" t="s">
        <v>5053</v>
      </c>
      <c r="V242" t="s">
        <v>5054</v>
      </c>
      <c r="W242" t="s">
        <v>5055</v>
      </c>
      <c r="X242" t="s">
        <v>111</v>
      </c>
      <c r="Y242" t="s">
        <v>5056</v>
      </c>
      <c r="Z242" t="s">
        <v>5057</v>
      </c>
      <c r="AA242" t="s">
        <v>5058</v>
      </c>
      <c r="AB242" t="s">
        <v>5059</v>
      </c>
      <c r="AC242" t="s">
        <v>5060</v>
      </c>
      <c r="AD242" t="s">
        <v>5061</v>
      </c>
      <c r="AE242" t="s">
        <v>5062</v>
      </c>
      <c r="AF242" t="s">
        <v>74</v>
      </c>
      <c r="AG242">
        <v>38</v>
      </c>
      <c r="AH242">
        <v>20</v>
      </c>
      <c r="AI242">
        <v>20</v>
      </c>
      <c r="AJ242">
        <v>1</v>
      </c>
      <c r="AK242">
        <v>27</v>
      </c>
      <c r="AL242" t="s">
        <v>5063</v>
      </c>
      <c r="AM242" t="s">
        <v>5017</v>
      </c>
      <c r="AN242" t="s">
        <v>5018</v>
      </c>
      <c r="AO242" t="s">
        <v>74</v>
      </c>
      <c r="AP242" t="s">
        <v>5064</v>
      </c>
      <c r="AQ242" t="s">
        <v>74</v>
      </c>
      <c r="AR242" t="s">
        <v>5065</v>
      </c>
      <c r="AS242" t="s">
        <v>5066</v>
      </c>
      <c r="AT242" t="s">
        <v>4901</v>
      </c>
      <c r="AU242">
        <v>2013</v>
      </c>
      <c r="AV242">
        <v>5</v>
      </c>
      <c r="AW242">
        <v>12</v>
      </c>
      <c r="AX242" t="s">
        <v>74</v>
      </c>
      <c r="AY242" t="s">
        <v>74</v>
      </c>
      <c r="AZ242" t="s">
        <v>74</v>
      </c>
      <c r="BA242" t="s">
        <v>74</v>
      </c>
      <c r="BB242">
        <v>6305</v>
      </c>
      <c r="BC242">
        <v>6322</v>
      </c>
      <c r="BD242" t="s">
        <v>74</v>
      </c>
      <c r="BE242" t="s">
        <v>5067</v>
      </c>
      <c r="BF242" t="str">
        <f>HYPERLINK("http://dx.doi.org/10.3390/rs5126305","http://dx.doi.org/10.3390/rs5126305")</f>
        <v>http://dx.doi.org/10.3390/rs5126305</v>
      </c>
      <c r="BG242" t="s">
        <v>74</v>
      </c>
      <c r="BH242" t="s">
        <v>74</v>
      </c>
      <c r="BI242">
        <v>18</v>
      </c>
      <c r="BJ242" t="s">
        <v>5068</v>
      </c>
      <c r="BK242" t="s">
        <v>99</v>
      </c>
      <c r="BL242" t="s">
        <v>5069</v>
      </c>
      <c r="BM242" t="s">
        <v>5070</v>
      </c>
      <c r="BN242" t="s">
        <v>74</v>
      </c>
      <c r="BO242" t="s">
        <v>138</v>
      </c>
      <c r="BP242" t="s">
        <v>74</v>
      </c>
      <c r="BQ242" t="s">
        <v>74</v>
      </c>
      <c r="BR242" t="s">
        <v>103</v>
      </c>
      <c r="BS242" t="s">
        <v>5071</v>
      </c>
      <c r="BT242" t="str">
        <f>HYPERLINK("https%3A%2F%2Fwww.webofscience.com%2Fwos%2Fwoscc%2Ffull-record%2FWOS:000330318900008","View Full Record in Web of Science")</f>
        <v>View Full Record in Web of Science</v>
      </c>
    </row>
    <row r="243" spans="1:72" x14ac:dyDescent="0.15">
      <c r="A243" t="s">
        <v>72</v>
      </c>
      <c r="B243" t="s">
        <v>5072</v>
      </c>
      <c r="C243" t="s">
        <v>74</v>
      </c>
      <c r="D243" t="s">
        <v>74</v>
      </c>
      <c r="E243" t="s">
        <v>74</v>
      </c>
      <c r="F243" t="s">
        <v>5073</v>
      </c>
      <c r="G243" t="s">
        <v>74</v>
      </c>
      <c r="H243" t="s">
        <v>74</v>
      </c>
      <c r="I243" t="s">
        <v>5074</v>
      </c>
      <c r="J243" t="s">
        <v>1595</v>
      </c>
      <c r="K243" t="s">
        <v>74</v>
      </c>
      <c r="L243" t="s">
        <v>74</v>
      </c>
      <c r="M243" t="s">
        <v>78</v>
      </c>
      <c r="N243" t="s">
        <v>79</v>
      </c>
      <c r="O243" t="s">
        <v>74</v>
      </c>
      <c r="P243" t="s">
        <v>74</v>
      </c>
      <c r="Q243" t="s">
        <v>74</v>
      </c>
      <c r="R243" t="s">
        <v>74</v>
      </c>
      <c r="S243" t="s">
        <v>74</v>
      </c>
      <c r="T243" t="s">
        <v>5075</v>
      </c>
      <c r="U243" t="s">
        <v>5076</v>
      </c>
      <c r="V243" t="s">
        <v>5077</v>
      </c>
      <c r="W243" t="s">
        <v>5078</v>
      </c>
      <c r="X243" t="s">
        <v>5079</v>
      </c>
      <c r="Y243" t="s">
        <v>5080</v>
      </c>
      <c r="Z243" t="s">
        <v>5081</v>
      </c>
      <c r="AA243" t="s">
        <v>74</v>
      </c>
      <c r="AB243" t="s">
        <v>5082</v>
      </c>
      <c r="AC243" t="s">
        <v>5083</v>
      </c>
      <c r="AD243" t="s">
        <v>5084</v>
      </c>
      <c r="AE243" t="s">
        <v>5085</v>
      </c>
      <c r="AF243" t="s">
        <v>74</v>
      </c>
      <c r="AG243">
        <v>67</v>
      </c>
      <c r="AH243">
        <v>46</v>
      </c>
      <c r="AI243">
        <v>48</v>
      </c>
      <c r="AJ243">
        <v>0</v>
      </c>
      <c r="AK243">
        <v>16</v>
      </c>
      <c r="AL243" t="s">
        <v>1606</v>
      </c>
      <c r="AM243" t="s">
        <v>808</v>
      </c>
      <c r="AN243" t="s">
        <v>1607</v>
      </c>
      <c r="AO243" t="s">
        <v>1608</v>
      </c>
      <c r="AP243" t="s">
        <v>1609</v>
      </c>
      <c r="AQ243" t="s">
        <v>74</v>
      </c>
      <c r="AR243" t="s">
        <v>1610</v>
      </c>
      <c r="AS243" t="s">
        <v>1611</v>
      </c>
      <c r="AT243" t="s">
        <v>4901</v>
      </c>
      <c r="AU243">
        <v>2013</v>
      </c>
      <c r="AV243">
        <v>118</v>
      </c>
      <c r="AW243">
        <v>12</v>
      </c>
      <c r="AX243" t="s">
        <v>74</v>
      </c>
      <c r="AY243" t="s">
        <v>74</v>
      </c>
      <c r="AZ243" t="s">
        <v>74</v>
      </c>
      <c r="BA243" t="s">
        <v>74</v>
      </c>
      <c r="BB243">
        <v>6511</v>
      </c>
      <c r="BC243">
        <v>6524</v>
      </c>
      <c r="BD243" t="s">
        <v>74</v>
      </c>
      <c r="BE243" t="s">
        <v>5086</v>
      </c>
      <c r="BF243" t="str">
        <f>HYPERLINK("http://dx.doi.org/10.1002/2013JC009048","http://dx.doi.org/10.1002/2013JC009048")</f>
        <v>http://dx.doi.org/10.1002/2013JC009048</v>
      </c>
      <c r="BG243" t="s">
        <v>74</v>
      </c>
      <c r="BH243" t="s">
        <v>74</v>
      </c>
      <c r="BI243">
        <v>14</v>
      </c>
      <c r="BJ243" t="s">
        <v>1613</v>
      </c>
      <c r="BK243" t="s">
        <v>99</v>
      </c>
      <c r="BL243" t="s">
        <v>1613</v>
      </c>
      <c r="BM243" t="s">
        <v>5087</v>
      </c>
      <c r="BN243" t="s">
        <v>74</v>
      </c>
      <c r="BO243" t="s">
        <v>831</v>
      </c>
      <c r="BP243" t="s">
        <v>74</v>
      </c>
      <c r="BQ243" t="s">
        <v>74</v>
      </c>
      <c r="BR243" t="s">
        <v>103</v>
      </c>
      <c r="BS243" t="s">
        <v>5088</v>
      </c>
      <c r="BT243" t="str">
        <f>HYPERLINK("https%3A%2F%2Fwww.webofscience.com%2Fwos%2Fwoscc%2Ffull-record%2FWOS:000329926200013","View Full Record in Web of Science")</f>
        <v>View Full Record in Web of Science</v>
      </c>
    </row>
    <row r="244" spans="1:72" x14ac:dyDescent="0.15">
      <c r="A244" t="s">
        <v>72</v>
      </c>
      <c r="B244" t="s">
        <v>5089</v>
      </c>
      <c r="C244" t="s">
        <v>74</v>
      </c>
      <c r="D244" t="s">
        <v>74</v>
      </c>
      <c r="E244" t="s">
        <v>74</v>
      </c>
      <c r="F244" t="s">
        <v>5090</v>
      </c>
      <c r="G244" t="s">
        <v>74</v>
      </c>
      <c r="H244" t="s">
        <v>74</v>
      </c>
      <c r="I244" t="s">
        <v>5091</v>
      </c>
      <c r="J244" t="s">
        <v>1595</v>
      </c>
      <c r="K244" t="s">
        <v>74</v>
      </c>
      <c r="L244" t="s">
        <v>74</v>
      </c>
      <c r="M244" t="s">
        <v>78</v>
      </c>
      <c r="N244" t="s">
        <v>79</v>
      </c>
      <c r="O244" t="s">
        <v>74</v>
      </c>
      <c r="P244" t="s">
        <v>74</v>
      </c>
      <c r="Q244" t="s">
        <v>74</v>
      </c>
      <c r="R244" t="s">
        <v>74</v>
      </c>
      <c r="S244" t="s">
        <v>74</v>
      </c>
      <c r="T244" t="s">
        <v>5092</v>
      </c>
      <c r="U244" t="s">
        <v>5093</v>
      </c>
      <c r="V244" t="s">
        <v>5094</v>
      </c>
      <c r="W244" t="s">
        <v>5095</v>
      </c>
      <c r="X244" t="s">
        <v>5096</v>
      </c>
      <c r="Y244" t="s">
        <v>5097</v>
      </c>
      <c r="Z244" t="s">
        <v>5098</v>
      </c>
      <c r="AA244" t="s">
        <v>74</v>
      </c>
      <c r="AB244" t="s">
        <v>5099</v>
      </c>
      <c r="AC244" t="s">
        <v>74</v>
      </c>
      <c r="AD244" t="s">
        <v>74</v>
      </c>
      <c r="AE244" t="s">
        <v>74</v>
      </c>
      <c r="AF244" t="s">
        <v>74</v>
      </c>
      <c r="AG244">
        <v>27</v>
      </c>
      <c r="AH244">
        <v>12</v>
      </c>
      <c r="AI244">
        <v>12</v>
      </c>
      <c r="AJ244">
        <v>0</v>
      </c>
      <c r="AK244">
        <v>6</v>
      </c>
      <c r="AL244" t="s">
        <v>1606</v>
      </c>
      <c r="AM244" t="s">
        <v>808</v>
      </c>
      <c r="AN244" t="s">
        <v>1607</v>
      </c>
      <c r="AO244" t="s">
        <v>1608</v>
      </c>
      <c r="AP244" t="s">
        <v>1609</v>
      </c>
      <c r="AQ244" t="s">
        <v>74</v>
      </c>
      <c r="AR244" t="s">
        <v>1610</v>
      </c>
      <c r="AS244" t="s">
        <v>1611</v>
      </c>
      <c r="AT244" t="s">
        <v>4901</v>
      </c>
      <c r="AU244">
        <v>2013</v>
      </c>
      <c r="AV244">
        <v>118</v>
      </c>
      <c r="AW244">
        <v>12</v>
      </c>
      <c r="AX244" t="s">
        <v>74</v>
      </c>
      <c r="AY244" t="s">
        <v>74</v>
      </c>
      <c r="AZ244" t="s">
        <v>74</v>
      </c>
      <c r="BA244" t="s">
        <v>74</v>
      </c>
      <c r="BB244">
        <v>7107</v>
      </c>
      <c r="BC244">
        <v>7116</v>
      </c>
      <c r="BD244" t="s">
        <v>74</v>
      </c>
      <c r="BE244" t="s">
        <v>5100</v>
      </c>
      <c r="BF244" t="str">
        <f>HYPERLINK("http://dx.doi.org/10.1002/2013JC009128","http://dx.doi.org/10.1002/2013JC009128")</f>
        <v>http://dx.doi.org/10.1002/2013JC009128</v>
      </c>
      <c r="BG244" t="s">
        <v>74</v>
      </c>
      <c r="BH244" t="s">
        <v>74</v>
      </c>
      <c r="BI244">
        <v>10</v>
      </c>
      <c r="BJ244" t="s">
        <v>1613</v>
      </c>
      <c r="BK244" t="s">
        <v>99</v>
      </c>
      <c r="BL244" t="s">
        <v>1613</v>
      </c>
      <c r="BM244" t="s">
        <v>5087</v>
      </c>
      <c r="BN244" t="s">
        <v>74</v>
      </c>
      <c r="BO244" t="s">
        <v>1648</v>
      </c>
      <c r="BP244" t="s">
        <v>74</v>
      </c>
      <c r="BQ244" t="s">
        <v>74</v>
      </c>
      <c r="BR244" t="s">
        <v>103</v>
      </c>
      <c r="BS244" t="s">
        <v>5101</v>
      </c>
      <c r="BT244" t="str">
        <f>HYPERLINK("https%3A%2F%2Fwww.webofscience.com%2Fwos%2Fwoscc%2Ffull-record%2FWOS:000329926200052","View Full Record in Web of Science")</f>
        <v>View Full Record in Web of Science</v>
      </c>
    </row>
    <row r="245" spans="1:72" x14ac:dyDescent="0.15">
      <c r="A245" t="s">
        <v>72</v>
      </c>
      <c r="B245" t="s">
        <v>5102</v>
      </c>
      <c r="C245" t="s">
        <v>74</v>
      </c>
      <c r="D245" t="s">
        <v>74</v>
      </c>
      <c r="E245" t="s">
        <v>74</v>
      </c>
      <c r="F245" t="s">
        <v>5103</v>
      </c>
      <c r="G245" t="s">
        <v>74</v>
      </c>
      <c r="H245" t="s">
        <v>74</v>
      </c>
      <c r="I245" t="s">
        <v>5104</v>
      </c>
      <c r="J245" t="s">
        <v>5105</v>
      </c>
      <c r="K245" t="s">
        <v>74</v>
      </c>
      <c r="L245" t="s">
        <v>74</v>
      </c>
      <c r="M245" t="s">
        <v>78</v>
      </c>
      <c r="N245" t="s">
        <v>79</v>
      </c>
      <c r="O245" t="s">
        <v>74</v>
      </c>
      <c r="P245" t="s">
        <v>74</v>
      </c>
      <c r="Q245" t="s">
        <v>74</v>
      </c>
      <c r="R245" t="s">
        <v>74</v>
      </c>
      <c r="S245" t="s">
        <v>74</v>
      </c>
      <c r="T245" t="s">
        <v>74</v>
      </c>
      <c r="U245" t="s">
        <v>5106</v>
      </c>
      <c r="V245" t="s">
        <v>5107</v>
      </c>
      <c r="W245" t="s">
        <v>5108</v>
      </c>
      <c r="X245" t="s">
        <v>5109</v>
      </c>
      <c r="Y245" t="s">
        <v>5110</v>
      </c>
      <c r="Z245" t="s">
        <v>5111</v>
      </c>
      <c r="AA245" t="s">
        <v>74</v>
      </c>
      <c r="AB245" t="s">
        <v>5112</v>
      </c>
      <c r="AC245" t="s">
        <v>5113</v>
      </c>
      <c r="AD245" t="s">
        <v>5113</v>
      </c>
      <c r="AE245" t="s">
        <v>5114</v>
      </c>
      <c r="AF245" t="s">
        <v>74</v>
      </c>
      <c r="AG245">
        <v>47</v>
      </c>
      <c r="AH245">
        <v>8</v>
      </c>
      <c r="AI245">
        <v>9</v>
      </c>
      <c r="AJ245">
        <v>0</v>
      </c>
      <c r="AK245">
        <v>10</v>
      </c>
      <c r="AL245" t="s">
        <v>5115</v>
      </c>
      <c r="AM245" t="s">
        <v>5116</v>
      </c>
      <c r="AN245" t="s">
        <v>5117</v>
      </c>
      <c r="AO245" t="s">
        <v>5118</v>
      </c>
      <c r="AP245" t="s">
        <v>5119</v>
      </c>
      <c r="AQ245" t="s">
        <v>74</v>
      </c>
      <c r="AR245" t="s">
        <v>5120</v>
      </c>
      <c r="AS245" t="s">
        <v>5121</v>
      </c>
      <c r="AT245" t="s">
        <v>4901</v>
      </c>
      <c r="AU245">
        <v>2013</v>
      </c>
      <c r="AV245">
        <v>225</v>
      </c>
      <c r="AW245">
        <v>3</v>
      </c>
      <c r="AX245" t="s">
        <v>74</v>
      </c>
      <c r="AY245" t="s">
        <v>74</v>
      </c>
      <c r="AZ245" t="s">
        <v>74</v>
      </c>
      <c r="BA245" t="s">
        <v>74</v>
      </c>
      <c r="BB245">
        <v>125</v>
      </c>
      <c r="BC245">
        <v>136</v>
      </c>
      <c r="BD245" t="s">
        <v>74</v>
      </c>
      <c r="BE245" t="s">
        <v>5122</v>
      </c>
      <c r="BF245" t="str">
        <f>HYPERLINK("http://dx.doi.org/10.1086/BBLv225n3p125","http://dx.doi.org/10.1086/BBLv225n3p125")</f>
        <v>http://dx.doi.org/10.1086/BBLv225n3p125</v>
      </c>
      <c r="BG245" t="s">
        <v>74</v>
      </c>
      <c r="BH245" t="s">
        <v>74</v>
      </c>
      <c r="BI245">
        <v>12</v>
      </c>
      <c r="BJ245" t="s">
        <v>5123</v>
      </c>
      <c r="BK245" t="s">
        <v>99</v>
      </c>
      <c r="BL245" t="s">
        <v>5124</v>
      </c>
      <c r="BM245" t="s">
        <v>5125</v>
      </c>
      <c r="BN245">
        <v>24445439</v>
      </c>
      <c r="BO245" t="s">
        <v>74</v>
      </c>
      <c r="BP245" t="s">
        <v>74</v>
      </c>
      <c r="BQ245" t="s">
        <v>74</v>
      </c>
      <c r="BR245" t="s">
        <v>103</v>
      </c>
      <c r="BS245" t="s">
        <v>5126</v>
      </c>
      <c r="BT245" t="str">
        <f>HYPERLINK("https%3A%2F%2Fwww.webofscience.com%2Fwos%2Fwoscc%2Ffull-record%2FWOS:000330040500001","View Full Record in Web of Science")</f>
        <v>View Full Record in Web of Science</v>
      </c>
    </row>
    <row r="246" spans="1:72" x14ac:dyDescent="0.15">
      <c r="A246" t="s">
        <v>72</v>
      </c>
      <c r="B246" t="s">
        <v>5127</v>
      </c>
      <c r="C246" t="s">
        <v>74</v>
      </c>
      <c r="D246" t="s">
        <v>74</v>
      </c>
      <c r="E246" t="s">
        <v>74</v>
      </c>
      <c r="F246" t="s">
        <v>5128</v>
      </c>
      <c r="G246" t="s">
        <v>74</v>
      </c>
      <c r="H246" t="s">
        <v>74</v>
      </c>
      <c r="I246" t="s">
        <v>5129</v>
      </c>
      <c r="J246" t="s">
        <v>5105</v>
      </c>
      <c r="K246" t="s">
        <v>74</v>
      </c>
      <c r="L246" t="s">
        <v>74</v>
      </c>
      <c r="M246" t="s">
        <v>78</v>
      </c>
      <c r="N246" t="s">
        <v>79</v>
      </c>
      <c r="O246" t="s">
        <v>74</v>
      </c>
      <c r="P246" t="s">
        <v>74</v>
      </c>
      <c r="Q246" t="s">
        <v>74</v>
      </c>
      <c r="R246" t="s">
        <v>74</v>
      </c>
      <c r="S246" t="s">
        <v>74</v>
      </c>
      <c r="T246" t="s">
        <v>74</v>
      </c>
      <c r="U246" t="s">
        <v>5130</v>
      </c>
      <c r="V246" t="s">
        <v>5131</v>
      </c>
      <c r="W246" t="s">
        <v>5132</v>
      </c>
      <c r="X246" t="s">
        <v>5133</v>
      </c>
      <c r="Y246" t="s">
        <v>5134</v>
      </c>
      <c r="Z246" t="s">
        <v>5135</v>
      </c>
      <c r="AA246" t="s">
        <v>5136</v>
      </c>
      <c r="AB246" t="s">
        <v>5137</v>
      </c>
      <c r="AC246" t="s">
        <v>5138</v>
      </c>
      <c r="AD246" t="s">
        <v>5139</v>
      </c>
      <c r="AE246" t="s">
        <v>5140</v>
      </c>
      <c r="AF246" t="s">
        <v>74</v>
      </c>
      <c r="AG246">
        <v>47</v>
      </c>
      <c r="AH246">
        <v>25</v>
      </c>
      <c r="AI246">
        <v>27</v>
      </c>
      <c r="AJ246">
        <v>0</v>
      </c>
      <c r="AK246">
        <v>8</v>
      </c>
      <c r="AL246" t="s">
        <v>5115</v>
      </c>
      <c r="AM246" t="s">
        <v>5116</v>
      </c>
      <c r="AN246" t="s">
        <v>5117</v>
      </c>
      <c r="AO246" t="s">
        <v>5118</v>
      </c>
      <c r="AP246" t="s">
        <v>5119</v>
      </c>
      <c r="AQ246" t="s">
        <v>74</v>
      </c>
      <c r="AR246" t="s">
        <v>5120</v>
      </c>
      <c r="AS246" t="s">
        <v>5121</v>
      </c>
      <c r="AT246" t="s">
        <v>4901</v>
      </c>
      <c r="AU246">
        <v>2013</v>
      </c>
      <c r="AV246">
        <v>225</v>
      </c>
      <c r="AW246">
        <v>3</v>
      </c>
      <c r="AX246" t="s">
        <v>74</v>
      </c>
      <c r="AY246" t="s">
        <v>74</v>
      </c>
      <c r="AZ246" t="s">
        <v>74</v>
      </c>
      <c r="BA246" t="s">
        <v>74</v>
      </c>
      <c r="BB246">
        <v>194</v>
      </c>
      <c r="BC246">
        <v>204</v>
      </c>
      <c r="BD246" t="s">
        <v>74</v>
      </c>
      <c r="BE246" t="s">
        <v>5141</v>
      </c>
      <c r="BF246" t="str">
        <f>HYPERLINK("http://dx.doi.org/10.1086/BBLv225n3p194","http://dx.doi.org/10.1086/BBLv225n3p194")</f>
        <v>http://dx.doi.org/10.1086/BBLv225n3p194</v>
      </c>
      <c r="BG246" t="s">
        <v>74</v>
      </c>
      <c r="BH246" t="s">
        <v>74</v>
      </c>
      <c r="BI246">
        <v>11</v>
      </c>
      <c r="BJ246" t="s">
        <v>5123</v>
      </c>
      <c r="BK246" t="s">
        <v>99</v>
      </c>
      <c r="BL246" t="s">
        <v>5124</v>
      </c>
      <c r="BM246" t="s">
        <v>5125</v>
      </c>
      <c r="BN246">
        <v>24445445</v>
      </c>
      <c r="BO246" t="s">
        <v>74</v>
      </c>
      <c r="BP246" t="s">
        <v>74</v>
      </c>
      <c r="BQ246" t="s">
        <v>74</v>
      </c>
      <c r="BR246" t="s">
        <v>103</v>
      </c>
      <c r="BS246" t="s">
        <v>5142</v>
      </c>
      <c r="BT246" t="str">
        <f>HYPERLINK("https%3A%2F%2Fwww.webofscience.com%2Fwos%2Fwoscc%2Ffull-record%2FWOS:000330040500007","View Full Record in Web of Science")</f>
        <v>View Full Record in Web of Science</v>
      </c>
    </row>
    <row r="247" spans="1:72" x14ac:dyDescent="0.15">
      <c r="A247" t="s">
        <v>72</v>
      </c>
      <c r="B247" t="s">
        <v>5143</v>
      </c>
      <c r="C247" t="s">
        <v>74</v>
      </c>
      <c r="D247" t="s">
        <v>74</v>
      </c>
      <c r="E247" t="s">
        <v>74</v>
      </c>
      <c r="F247" t="s">
        <v>5144</v>
      </c>
      <c r="G247" t="s">
        <v>74</v>
      </c>
      <c r="H247" t="s">
        <v>74</v>
      </c>
      <c r="I247" t="s">
        <v>5145</v>
      </c>
      <c r="J247" t="s">
        <v>5146</v>
      </c>
      <c r="K247" t="s">
        <v>74</v>
      </c>
      <c r="L247" t="s">
        <v>74</v>
      </c>
      <c r="M247" t="s">
        <v>78</v>
      </c>
      <c r="N247" t="s">
        <v>79</v>
      </c>
      <c r="O247" t="s">
        <v>74</v>
      </c>
      <c r="P247" t="s">
        <v>74</v>
      </c>
      <c r="Q247" t="s">
        <v>74</v>
      </c>
      <c r="R247" t="s">
        <v>74</v>
      </c>
      <c r="S247" t="s">
        <v>74</v>
      </c>
      <c r="T247" t="s">
        <v>5147</v>
      </c>
      <c r="U247" t="s">
        <v>5148</v>
      </c>
      <c r="V247" t="s">
        <v>5149</v>
      </c>
      <c r="W247" t="s">
        <v>5150</v>
      </c>
      <c r="X247" t="s">
        <v>5151</v>
      </c>
      <c r="Y247" t="s">
        <v>5152</v>
      </c>
      <c r="Z247" t="s">
        <v>5153</v>
      </c>
      <c r="AA247" t="s">
        <v>5154</v>
      </c>
      <c r="AB247" t="s">
        <v>5155</v>
      </c>
      <c r="AC247" t="s">
        <v>5156</v>
      </c>
      <c r="AD247" t="s">
        <v>5156</v>
      </c>
      <c r="AE247" t="s">
        <v>5157</v>
      </c>
      <c r="AF247" t="s">
        <v>74</v>
      </c>
      <c r="AG247">
        <v>15</v>
      </c>
      <c r="AH247">
        <v>11</v>
      </c>
      <c r="AI247">
        <v>12</v>
      </c>
      <c r="AJ247">
        <v>0</v>
      </c>
      <c r="AK247">
        <v>52</v>
      </c>
      <c r="AL247" t="s">
        <v>276</v>
      </c>
      <c r="AM247" t="s">
        <v>277</v>
      </c>
      <c r="AN247" t="s">
        <v>278</v>
      </c>
      <c r="AO247" t="s">
        <v>5158</v>
      </c>
      <c r="AP247" t="s">
        <v>5159</v>
      </c>
      <c r="AQ247" t="s">
        <v>74</v>
      </c>
      <c r="AR247" t="s">
        <v>5160</v>
      </c>
      <c r="AS247" t="s">
        <v>5161</v>
      </c>
      <c r="AT247" t="s">
        <v>4901</v>
      </c>
      <c r="AU247">
        <v>2013</v>
      </c>
      <c r="AV247">
        <v>77</v>
      </c>
      <c r="AW247">
        <v>12</v>
      </c>
      <c r="AX247" t="s">
        <v>74</v>
      </c>
      <c r="AY247" t="s">
        <v>74</v>
      </c>
      <c r="AZ247" t="s">
        <v>74</v>
      </c>
      <c r="BA247" t="s">
        <v>74</v>
      </c>
      <c r="BB247">
        <v>2483</v>
      </c>
      <c r="BC247">
        <v>2485</v>
      </c>
      <c r="BD247" t="s">
        <v>74</v>
      </c>
      <c r="BE247" t="s">
        <v>5162</v>
      </c>
      <c r="BF247" t="str">
        <f>HYPERLINK("http://dx.doi.org/10.1271/bbb.130497","http://dx.doi.org/10.1271/bbb.130497")</f>
        <v>http://dx.doi.org/10.1271/bbb.130497</v>
      </c>
      <c r="BG247" t="s">
        <v>74</v>
      </c>
      <c r="BH247" t="s">
        <v>74</v>
      </c>
      <c r="BI247">
        <v>3</v>
      </c>
      <c r="BJ247" t="s">
        <v>5163</v>
      </c>
      <c r="BK247" t="s">
        <v>99</v>
      </c>
      <c r="BL247" t="s">
        <v>5164</v>
      </c>
      <c r="BM247" t="s">
        <v>5165</v>
      </c>
      <c r="BN247">
        <v>24317050</v>
      </c>
      <c r="BO247" t="s">
        <v>74</v>
      </c>
      <c r="BP247" t="s">
        <v>74</v>
      </c>
      <c r="BQ247" t="s">
        <v>74</v>
      </c>
      <c r="BR247" t="s">
        <v>103</v>
      </c>
      <c r="BS247" t="s">
        <v>5166</v>
      </c>
      <c r="BT247" t="str">
        <f>HYPERLINK("https%3A%2F%2Fwww.webofscience.com%2Fwos%2Fwoscc%2Ffull-record%2FWOS:000330086500023","View Full Record in Web of Science")</f>
        <v>View Full Record in Web of Science</v>
      </c>
    </row>
    <row r="248" spans="1:72" x14ac:dyDescent="0.15">
      <c r="A248" t="s">
        <v>72</v>
      </c>
      <c r="B248" t="s">
        <v>5167</v>
      </c>
      <c r="C248" t="s">
        <v>74</v>
      </c>
      <c r="D248" t="s">
        <v>74</v>
      </c>
      <c r="E248" t="s">
        <v>74</v>
      </c>
      <c r="F248" t="s">
        <v>5168</v>
      </c>
      <c r="G248" t="s">
        <v>74</v>
      </c>
      <c r="H248" t="s">
        <v>74</v>
      </c>
      <c r="I248" t="s">
        <v>5169</v>
      </c>
      <c r="J248" t="s">
        <v>5170</v>
      </c>
      <c r="K248" t="s">
        <v>74</v>
      </c>
      <c r="L248" t="s">
        <v>74</v>
      </c>
      <c r="M248" t="s">
        <v>78</v>
      </c>
      <c r="N248" t="s">
        <v>79</v>
      </c>
      <c r="O248" t="s">
        <v>74</v>
      </c>
      <c r="P248" t="s">
        <v>74</v>
      </c>
      <c r="Q248" t="s">
        <v>74</v>
      </c>
      <c r="R248" t="s">
        <v>74</v>
      </c>
      <c r="S248" t="s">
        <v>74</v>
      </c>
      <c r="T248" t="s">
        <v>5171</v>
      </c>
      <c r="U248" t="s">
        <v>5172</v>
      </c>
      <c r="V248" t="s">
        <v>5173</v>
      </c>
      <c r="W248" t="s">
        <v>5174</v>
      </c>
      <c r="X248" t="s">
        <v>5175</v>
      </c>
      <c r="Y248" t="s">
        <v>5176</v>
      </c>
      <c r="Z248" t="s">
        <v>5177</v>
      </c>
      <c r="AA248" t="s">
        <v>74</v>
      </c>
      <c r="AB248" t="s">
        <v>74</v>
      </c>
      <c r="AC248" t="s">
        <v>5178</v>
      </c>
      <c r="AD248" t="s">
        <v>5179</v>
      </c>
      <c r="AE248" t="s">
        <v>5180</v>
      </c>
      <c r="AF248" t="s">
        <v>74</v>
      </c>
      <c r="AG248">
        <v>93</v>
      </c>
      <c r="AH248">
        <v>27</v>
      </c>
      <c r="AI248">
        <v>33</v>
      </c>
      <c r="AJ248">
        <v>6</v>
      </c>
      <c r="AK248">
        <v>59</v>
      </c>
      <c r="AL248" t="s">
        <v>1606</v>
      </c>
      <c r="AM248" t="s">
        <v>808</v>
      </c>
      <c r="AN248" t="s">
        <v>1607</v>
      </c>
      <c r="AO248" t="s">
        <v>5181</v>
      </c>
      <c r="AP248" t="s">
        <v>5182</v>
      </c>
      <c r="AQ248" t="s">
        <v>74</v>
      </c>
      <c r="AR248" t="s">
        <v>5183</v>
      </c>
      <c r="AS248" t="s">
        <v>5184</v>
      </c>
      <c r="AT248" t="s">
        <v>4901</v>
      </c>
      <c r="AU248">
        <v>2013</v>
      </c>
      <c r="AV248">
        <v>118</v>
      </c>
      <c r="AW248">
        <v>4</v>
      </c>
      <c r="AX248" t="s">
        <v>74</v>
      </c>
      <c r="AY248" t="s">
        <v>74</v>
      </c>
      <c r="AZ248" t="s">
        <v>74</v>
      </c>
      <c r="BA248" t="s">
        <v>74</v>
      </c>
      <c r="BB248">
        <v>1773</v>
      </c>
      <c r="BC248">
        <v>1792</v>
      </c>
      <c r="BD248" t="s">
        <v>74</v>
      </c>
      <c r="BE248" t="s">
        <v>5185</v>
      </c>
      <c r="BF248" t="str">
        <f>HYPERLINK("http://dx.doi.org/10.1002/2013JG002398","http://dx.doi.org/10.1002/2013JG002398")</f>
        <v>http://dx.doi.org/10.1002/2013JG002398</v>
      </c>
      <c r="BG248" t="s">
        <v>74</v>
      </c>
      <c r="BH248" t="s">
        <v>74</v>
      </c>
      <c r="BI248">
        <v>20</v>
      </c>
      <c r="BJ248" t="s">
        <v>5186</v>
      </c>
      <c r="BK248" t="s">
        <v>99</v>
      </c>
      <c r="BL248" t="s">
        <v>5187</v>
      </c>
      <c r="BM248" t="s">
        <v>5188</v>
      </c>
      <c r="BN248" t="s">
        <v>74</v>
      </c>
      <c r="BO248" t="s">
        <v>475</v>
      </c>
      <c r="BP248" t="s">
        <v>74</v>
      </c>
      <c r="BQ248" t="s">
        <v>74</v>
      </c>
      <c r="BR248" t="s">
        <v>103</v>
      </c>
      <c r="BS248" t="s">
        <v>5189</v>
      </c>
      <c r="BT248" t="str">
        <f>HYPERLINK("https%3A%2F%2Fwww.webofscience.com%2Fwos%2Fwoscc%2Ffull-record%2FWOS:000329871400035","View Full Record in Web of Science")</f>
        <v>View Full Record in Web of Science</v>
      </c>
    </row>
    <row r="249" spans="1:72" x14ac:dyDescent="0.15">
      <c r="A249" t="s">
        <v>72</v>
      </c>
      <c r="B249" t="s">
        <v>5190</v>
      </c>
      <c r="C249" t="s">
        <v>74</v>
      </c>
      <c r="D249" t="s">
        <v>74</v>
      </c>
      <c r="E249" t="s">
        <v>74</v>
      </c>
      <c r="F249" t="s">
        <v>5191</v>
      </c>
      <c r="G249" t="s">
        <v>74</v>
      </c>
      <c r="H249" t="s">
        <v>74</v>
      </c>
      <c r="I249" t="s">
        <v>5192</v>
      </c>
      <c r="J249" t="s">
        <v>5193</v>
      </c>
      <c r="K249" t="s">
        <v>74</v>
      </c>
      <c r="L249" t="s">
        <v>74</v>
      </c>
      <c r="M249" t="s">
        <v>78</v>
      </c>
      <c r="N249" t="s">
        <v>79</v>
      </c>
      <c r="O249" t="s">
        <v>74</v>
      </c>
      <c r="P249" t="s">
        <v>74</v>
      </c>
      <c r="Q249" t="s">
        <v>74</v>
      </c>
      <c r="R249" t="s">
        <v>74</v>
      </c>
      <c r="S249" t="s">
        <v>74</v>
      </c>
      <c r="T249" t="s">
        <v>5194</v>
      </c>
      <c r="U249" t="s">
        <v>5195</v>
      </c>
      <c r="V249" t="s">
        <v>5196</v>
      </c>
      <c r="W249" t="s">
        <v>5197</v>
      </c>
      <c r="X249" t="s">
        <v>5198</v>
      </c>
      <c r="Y249" t="s">
        <v>5199</v>
      </c>
      <c r="Z249" t="s">
        <v>5200</v>
      </c>
      <c r="AA249" t="s">
        <v>74</v>
      </c>
      <c r="AB249" t="s">
        <v>5201</v>
      </c>
      <c r="AC249" t="s">
        <v>5202</v>
      </c>
      <c r="AD249" t="s">
        <v>5203</v>
      </c>
      <c r="AE249" t="s">
        <v>5204</v>
      </c>
      <c r="AF249" t="s">
        <v>74</v>
      </c>
      <c r="AG249">
        <v>94</v>
      </c>
      <c r="AH249">
        <v>32</v>
      </c>
      <c r="AI249">
        <v>34</v>
      </c>
      <c r="AJ249">
        <v>1</v>
      </c>
      <c r="AK249">
        <v>29</v>
      </c>
      <c r="AL249" t="s">
        <v>1606</v>
      </c>
      <c r="AM249" t="s">
        <v>808</v>
      </c>
      <c r="AN249" t="s">
        <v>1607</v>
      </c>
      <c r="AO249" t="s">
        <v>5205</v>
      </c>
      <c r="AP249" t="s">
        <v>5206</v>
      </c>
      <c r="AQ249" t="s">
        <v>74</v>
      </c>
      <c r="AR249" t="s">
        <v>5207</v>
      </c>
      <c r="AS249" t="s">
        <v>5208</v>
      </c>
      <c r="AT249" t="s">
        <v>4901</v>
      </c>
      <c r="AU249">
        <v>2013</v>
      </c>
      <c r="AV249">
        <v>118</v>
      </c>
      <c r="AW249">
        <v>4</v>
      </c>
      <c r="AX249" t="s">
        <v>74</v>
      </c>
      <c r="AY249" t="s">
        <v>74</v>
      </c>
      <c r="AZ249" t="s">
        <v>74</v>
      </c>
      <c r="BA249" t="s">
        <v>74</v>
      </c>
      <c r="BB249">
        <v>2072</v>
      </c>
      <c r="BC249">
        <v>2088</v>
      </c>
      <c r="BD249" t="s">
        <v>74</v>
      </c>
      <c r="BE249" t="s">
        <v>5209</v>
      </c>
      <c r="BF249" t="str">
        <f>HYPERLINK("http://dx.doi.org/10.1002/jgrf.20145","http://dx.doi.org/10.1002/jgrf.20145")</f>
        <v>http://dx.doi.org/10.1002/jgrf.20145</v>
      </c>
      <c r="BG249" t="s">
        <v>74</v>
      </c>
      <c r="BH249" t="s">
        <v>74</v>
      </c>
      <c r="BI249">
        <v>17</v>
      </c>
      <c r="BJ249" t="s">
        <v>337</v>
      </c>
      <c r="BK249" t="s">
        <v>99</v>
      </c>
      <c r="BL249" t="s">
        <v>338</v>
      </c>
      <c r="BM249" t="s">
        <v>5210</v>
      </c>
      <c r="BN249" t="s">
        <v>74</v>
      </c>
      <c r="BO249" t="s">
        <v>475</v>
      </c>
      <c r="BP249" t="s">
        <v>74</v>
      </c>
      <c r="BQ249" t="s">
        <v>74</v>
      </c>
      <c r="BR249" t="s">
        <v>103</v>
      </c>
      <c r="BS249" t="s">
        <v>5211</v>
      </c>
      <c r="BT249" t="str">
        <f>HYPERLINK("https%3A%2F%2Fwww.webofscience.com%2Fwos%2Fwoscc%2Ffull-record%2FWOS:000329873500005","View Full Record in Web of Science")</f>
        <v>View Full Record in Web of Science</v>
      </c>
    </row>
    <row r="250" spans="1:72" x14ac:dyDescent="0.15">
      <c r="A250" t="s">
        <v>72</v>
      </c>
      <c r="B250" t="s">
        <v>5212</v>
      </c>
      <c r="C250" t="s">
        <v>74</v>
      </c>
      <c r="D250" t="s">
        <v>74</v>
      </c>
      <c r="E250" t="s">
        <v>74</v>
      </c>
      <c r="F250" t="s">
        <v>5213</v>
      </c>
      <c r="G250" t="s">
        <v>74</v>
      </c>
      <c r="H250" t="s">
        <v>74</v>
      </c>
      <c r="I250" t="s">
        <v>5214</v>
      </c>
      <c r="J250" t="s">
        <v>5193</v>
      </c>
      <c r="K250" t="s">
        <v>74</v>
      </c>
      <c r="L250" t="s">
        <v>74</v>
      </c>
      <c r="M250" t="s">
        <v>78</v>
      </c>
      <c r="N250" t="s">
        <v>79</v>
      </c>
      <c r="O250" t="s">
        <v>74</v>
      </c>
      <c r="P250" t="s">
        <v>74</v>
      </c>
      <c r="Q250" t="s">
        <v>74</v>
      </c>
      <c r="R250" t="s">
        <v>74</v>
      </c>
      <c r="S250" t="s">
        <v>74</v>
      </c>
      <c r="T250" t="s">
        <v>5215</v>
      </c>
      <c r="U250" t="s">
        <v>5216</v>
      </c>
      <c r="V250" t="s">
        <v>5217</v>
      </c>
      <c r="W250" t="s">
        <v>5218</v>
      </c>
      <c r="X250" t="s">
        <v>5219</v>
      </c>
      <c r="Y250" t="s">
        <v>5220</v>
      </c>
      <c r="Z250" t="s">
        <v>5221</v>
      </c>
      <c r="AA250" t="s">
        <v>5222</v>
      </c>
      <c r="AB250" t="s">
        <v>5223</v>
      </c>
      <c r="AC250" t="s">
        <v>5224</v>
      </c>
      <c r="AD250" t="s">
        <v>5225</v>
      </c>
      <c r="AE250" t="s">
        <v>5226</v>
      </c>
      <c r="AF250" t="s">
        <v>74</v>
      </c>
      <c r="AG250">
        <v>67</v>
      </c>
      <c r="AH250">
        <v>10</v>
      </c>
      <c r="AI250">
        <v>10</v>
      </c>
      <c r="AJ250">
        <v>1</v>
      </c>
      <c r="AK250">
        <v>19</v>
      </c>
      <c r="AL250" t="s">
        <v>1606</v>
      </c>
      <c r="AM250" t="s">
        <v>808</v>
      </c>
      <c r="AN250" t="s">
        <v>1607</v>
      </c>
      <c r="AO250" t="s">
        <v>5205</v>
      </c>
      <c r="AP250" t="s">
        <v>5206</v>
      </c>
      <c r="AQ250" t="s">
        <v>74</v>
      </c>
      <c r="AR250" t="s">
        <v>5207</v>
      </c>
      <c r="AS250" t="s">
        <v>5208</v>
      </c>
      <c r="AT250" t="s">
        <v>4901</v>
      </c>
      <c r="AU250">
        <v>2013</v>
      </c>
      <c r="AV250">
        <v>118</v>
      </c>
      <c r="AW250">
        <v>4</v>
      </c>
      <c r="AX250" t="s">
        <v>74</v>
      </c>
      <c r="AY250" t="s">
        <v>74</v>
      </c>
      <c r="AZ250" t="s">
        <v>74</v>
      </c>
      <c r="BA250" t="s">
        <v>74</v>
      </c>
      <c r="BB250">
        <v>2343</v>
      </c>
      <c r="BC250">
        <v>2353</v>
      </c>
      <c r="BD250" t="s">
        <v>74</v>
      </c>
      <c r="BE250" t="s">
        <v>5227</v>
      </c>
      <c r="BF250" t="str">
        <f>HYPERLINK("http://dx.doi.org/10.1002/2013JF002844","http://dx.doi.org/10.1002/2013JF002844")</f>
        <v>http://dx.doi.org/10.1002/2013JF002844</v>
      </c>
      <c r="BG250" t="s">
        <v>74</v>
      </c>
      <c r="BH250" t="s">
        <v>74</v>
      </c>
      <c r="BI250">
        <v>11</v>
      </c>
      <c r="BJ250" t="s">
        <v>337</v>
      </c>
      <c r="BK250" t="s">
        <v>99</v>
      </c>
      <c r="BL250" t="s">
        <v>338</v>
      </c>
      <c r="BM250" t="s">
        <v>5210</v>
      </c>
      <c r="BN250" t="s">
        <v>74</v>
      </c>
      <c r="BO250" t="s">
        <v>831</v>
      </c>
      <c r="BP250" t="s">
        <v>74</v>
      </c>
      <c r="BQ250" t="s">
        <v>74</v>
      </c>
      <c r="BR250" t="s">
        <v>103</v>
      </c>
      <c r="BS250" t="s">
        <v>5228</v>
      </c>
      <c r="BT250" t="str">
        <f>HYPERLINK("https%3A%2F%2Fwww.webofscience.com%2Fwos%2Fwoscc%2Ffull-record%2FWOS:000329873500021","View Full Record in Web of Science")</f>
        <v>View Full Record in Web of Science</v>
      </c>
    </row>
    <row r="251" spans="1:72" x14ac:dyDescent="0.15">
      <c r="A251" t="s">
        <v>72</v>
      </c>
      <c r="B251" t="s">
        <v>5229</v>
      </c>
      <c r="C251" t="s">
        <v>74</v>
      </c>
      <c r="D251" t="s">
        <v>74</v>
      </c>
      <c r="E251" t="s">
        <v>74</v>
      </c>
      <c r="F251" t="s">
        <v>5230</v>
      </c>
      <c r="G251" t="s">
        <v>74</v>
      </c>
      <c r="H251" t="s">
        <v>74</v>
      </c>
      <c r="I251" t="s">
        <v>5231</v>
      </c>
      <c r="J251" t="s">
        <v>5193</v>
      </c>
      <c r="K251" t="s">
        <v>74</v>
      </c>
      <c r="L251" t="s">
        <v>74</v>
      </c>
      <c r="M251" t="s">
        <v>78</v>
      </c>
      <c r="N251" t="s">
        <v>79</v>
      </c>
      <c r="O251" t="s">
        <v>74</v>
      </c>
      <c r="P251" t="s">
        <v>74</v>
      </c>
      <c r="Q251" t="s">
        <v>74</v>
      </c>
      <c r="R251" t="s">
        <v>74</v>
      </c>
      <c r="S251" t="s">
        <v>74</v>
      </c>
      <c r="T251" t="s">
        <v>5232</v>
      </c>
      <c r="U251" t="s">
        <v>5233</v>
      </c>
      <c r="V251" t="s">
        <v>5234</v>
      </c>
      <c r="W251" t="s">
        <v>5235</v>
      </c>
      <c r="X251" t="s">
        <v>5236</v>
      </c>
      <c r="Y251" t="s">
        <v>5237</v>
      </c>
      <c r="Z251" t="s">
        <v>5238</v>
      </c>
      <c r="AA251" t="s">
        <v>5239</v>
      </c>
      <c r="AB251" t="s">
        <v>5240</v>
      </c>
      <c r="AC251" t="s">
        <v>5241</v>
      </c>
      <c r="AD251" t="s">
        <v>5242</v>
      </c>
      <c r="AE251" t="s">
        <v>5243</v>
      </c>
      <c r="AF251" t="s">
        <v>74</v>
      </c>
      <c r="AG251">
        <v>57</v>
      </c>
      <c r="AH251">
        <v>42</v>
      </c>
      <c r="AI251">
        <v>46</v>
      </c>
      <c r="AJ251">
        <v>2</v>
      </c>
      <c r="AK251">
        <v>28</v>
      </c>
      <c r="AL251" t="s">
        <v>1606</v>
      </c>
      <c r="AM251" t="s">
        <v>808</v>
      </c>
      <c r="AN251" t="s">
        <v>1607</v>
      </c>
      <c r="AO251" t="s">
        <v>5205</v>
      </c>
      <c r="AP251" t="s">
        <v>5206</v>
      </c>
      <c r="AQ251" t="s">
        <v>74</v>
      </c>
      <c r="AR251" t="s">
        <v>5207</v>
      </c>
      <c r="AS251" t="s">
        <v>5208</v>
      </c>
      <c r="AT251" t="s">
        <v>4901</v>
      </c>
      <c r="AU251">
        <v>2013</v>
      </c>
      <c r="AV251">
        <v>118</v>
      </c>
      <c r="AW251">
        <v>4</v>
      </c>
      <c r="AX251" t="s">
        <v>74</v>
      </c>
      <c r="AY251" t="s">
        <v>74</v>
      </c>
      <c r="AZ251" t="s">
        <v>74</v>
      </c>
      <c r="BA251" t="s">
        <v>74</v>
      </c>
      <c r="BB251">
        <v>2354</v>
      </c>
      <c r="BC251">
        <v>2364</v>
      </c>
      <c r="BD251" t="s">
        <v>74</v>
      </c>
      <c r="BE251" t="s">
        <v>5244</v>
      </c>
      <c r="BF251" t="str">
        <f>HYPERLINK("http://dx.doi.org/10.1002/2013JF002742","http://dx.doi.org/10.1002/2013JF002742")</f>
        <v>http://dx.doi.org/10.1002/2013JF002742</v>
      </c>
      <c r="BG251" t="s">
        <v>74</v>
      </c>
      <c r="BH251" t="s">
        <v>74</v>
      </c>
      <c r="BI251">
        <v>11</v>
      </c>
      <c r="BJ251" t="s">
        <v>337</v>
      </c>
      <c r="BK251" t="s">
        <v>99</v>
      </c>
      <c r="BL251" t="s">
        <v>338</v>
      </c>
      <c r="BM251" t="s">
        <v>5210</v>
      </c>
      <c r="BN251" t="s">
        <v>74</v>
      </c>
      <c r="BO251" t="s">
        <v>1381</v>
      </c>
      <c r="BP251" t="s">
        <v>74</v>
      </c>
      <c r="BQ251" t="s">
        <v>74</v>
      </c>
      <c r="BR251" t="s">
        <v>103</v>
      </c>
      <c r="BS251" t="s">
        <v>5245</v>
      </c>
      <c r="BT251" t="str">
        <f>HYPERLINK("https%3A%2F%2Fwww.webofscience.com%2Fwos%2Fwoscc%2Ffull-record%2FWOS:000329873500022","View Full Record in Web of Science")</f>
        <v>View Full Record in Web of Science</v>
      </c>
    </row>
    <row r="252" spans="1:72" x14ac:dyDescent="0.15">
      <c r="A252" t="s">
        <v>72</v>
      </c>
      <c r="B252" t="s">
        <v>5246</v>
      </c>
      <c r="C252" t="s">
        <v>74</v>
      </c>
      <c r="D252" t="s">
        <v>74</v>
      </c>
      <c r="E252" t="s">
        <v>74</v>
      </c>
      <c r="F252" t="s">
        <v>5247</v>
      </c>
      <c r="G252" t="s">
        <v>74</v>
      </c>
      <c r="H252" t="s">
        <v>74</v>
      </c>
      <c r="I252" t="s">
        <v>5248</v>
      </c>
      <c r="J252" t="s">
        <v>5249</v>
      </c>
      <c r="K252" t="s">
        <v>74</v>
      </c>
      <c r="L252" t="s">
        <v>74</v>
      </c>
      <c r="M252" t="s">
        <v>78</v>
      </c>
      <c r="N252" t="s">
        <v>79</v>
      </c>
      <c r="O252" t="s">
        <v>74</v>
      </c>
      <c r="P252" t="s">
        <v>74</v>
      </c>
      <c r="Q252" t="s">
        <v>74</v>
      </c>
      <c r="R252" t="s">
        <v>74</v>
      </c>
      <c r="S252" t="s">
        <v>74</v>
      </c>
      <c r="T252" t="s">
        <v>5250</v>
      </c>
      <c r="U252" t="s">
        <v>5251</v>
      </c>
      <c r="V252" t="s">
        <v>5252</v>
      </c>
      <c r="W252" t="s">
        <v>5253</v>
      </c>
      <c r="X252" t="s">
        <v>5254</v>
      </c>
      <c r="Y252" t="s">
        <v>5255</v>
      </c>
      <c r="Z252" t="s">
        <v>5256</v>
      </c>
      <c r="AA252" t="s">
        <v>74</v>
      </c>
      <c r="AB252" t="s">
        <v>74</v>
      </c>
      <c r="AC252" t="s">
        <v>5257</v>
      </c>
      <c r="AD252" t="s">
        <v>5258</v>
      </c>
      <c r="AE252" t="s">
        <v>5259</v>
      </c>
      <c r="AF252" t="s">
        <v>74</v>
      </c>
      <c r="AG252">
        <v>68</v>
      </c>
      <c r="AH252">
        <v>0</v>
      </c>
      <c r="AI252">
        <v>1</v>
      </c>
      <c r="AJ252">
        <v>1</v>
      </c>
      <c r="AK252">
        <v>9</v>
      </c>
      <c r="AL252" t="s">
        <v>5249</v>
      </c>
      <c r="AM252" t="s">
        <v>5260</v>
      </c>
      <c r="AN252" t="s">
        <v>5261</v>
      </c>
      <c r="AO252" t="s">
        <v>5262</v>
      </c>
      <c r="AP252" t="s">
        <v>74</v>
      </c>
      <c r="AQ252" t="s">
        <v>74</v>
      </c>
      <c r="AR252" t="s">
        <v>5249</v>
      </c>
      <c r="AS252" t="s">
        <v>5263</v>
      </c>
      <c r="AT252" t="s">
        <v>4901</v>
      </c>
      <c r="AU252">
        <v>2013</v>
      </c>
      <c r="AV252">
        <v>38</v>
      </c>
      <c r="AW252">
        <v>2</v>
      </c>
      <c r="AX252" t="s">
        <v>74</v>
      </c>
      <c r="AY252" t="s">
        <v>74</v>
      </c>
      <c r="AZ252" t="s">
        <v>74</v>
      </c>
      <c r="BA252" t="s">
        <v>74</v>
      </c>
      <c r="BB252">
        <v>175</v>
      </c>
      <c r="BC252">
        <v>203</v>
      </c>
      <c r="BD252" t="s">
        <v>74</v>
      </c>
      <c r="BE252" t="s">
        <v>5264</v>
      </c>
      <c r="BF252" t="str">
        <f>HYPERLINK("http://dx.doi.org/10.4454/ofioliti.v38i2.425","http://dx.doi.org/10.4454/ofioliti.v38i2.425")</f>
        <v>http://dx.doi.org/10.4454/ofioliti.v38i2.425</v>
      </c>
      <c r="BG252" t="s">
        <v>74</v>
      </c>
      <c r="BH252" t="s">
        <v>74</v>
      </c>
      <c r="BI252">
        <v>29</v>
      </c>
      <c r="BJ252" t="s">
        <v>338</v>
      </c>
      <c r="BK252" t="s">
        <v>99</v>
      </c>
      <c r="BL252" t="s">
        <v>338</v>
      </c>
      <c r="BM252" t="s">
        <v>5265</v>
      </c>
      <c r="BN252" t="s">
        <v>74</v>
      </c>
      <c r="BO252" t="s">
        <v>74</v>
      </c>
      <c r="BP252" t="s">
        <v>74</v>
      </c>
      <c r="BQ252" t="s">
        <v>74</v>
      </c>
      <c r="BR252" t="s">
        <v>103</v>
      </c>
      <c r="BS252" t="s">
        <v>5266</v>
      </c>
      <c r="BT252" t="str">
        <f>HYPERLINK("https%3A%2F%2Fwww.webofscience.com%2Fwos%2Fwoscc%2Ffull-record%2FWOS:000329950500004","View Full Record in Web of Science")</f>
        <v>View Full Record in Web of Science</v>
      </c>
    </row>
    <row r="253" spans="1:72" x14ac:dyDescent="0.15">
      <c r="A253" t="s">
        <v>72</v>
      </c>
      <c r="B253" t="s">
        <v>5267</v>
      </c>
      <c r="C253" t="s">
        <v>74</v>
      </c>
      <c r="D253" t="s">
        <v>74</v>
      </c>
      <c r="E253" t="s">
        <v>74</v>
      </c>
      <c r="F253" t="s">
        <v>5268</v>
      </c>
      <c r="G253" t="s">
        <v>74</v>
      </c>
      <c r="H253" t="s">
        <v>74</v>
      </c>
      <c r="I253" t="s">
        <v>5269</v>
      </c>
      <c r="J253" t="s">
        <v>3065</v>
      </c>
      <c r="K253" t="s">
        <v>74</v>
      </c>
      <c r="L253" t="s">
        <v>74</v>
      </c>
      <c r="M253" t="s">
        <v>78</v>
      </c>
      <c r="N253" t="s">
        <v>79</v>
      </c>
      <c r="O253" t="s">
        <v>74</v>
      </c>
      <c r="P253" t="s">
        <v>74</v>
      </c>
      <c r="Q253" t="s">
        <v>74</v>
      </c>
      <c r="R253" t="s">
        <v>74</v>
      </c>
      <c r="S253" t="s">
        <v>74</v>
      </c>
      <c r="T253" t="s">
        <v>5270</v>
      </c>
      <c r="U253" t="s">
        <v>5271</v>
      </c>
      <c r="V253" t="s">
        <v>5272</v>
      </c>
      <c r="W253" t="s">
        <v>5273</v>
      </c>
      <c r="X253" t="s">
        <v>5274</v>
      </c>
      <c r="Y253" t="s">
        <v>5275</v>
      </c>
      <c r="Z253" t="s">
        <v>5276</v>
      </c>
      <c r="AA253" t="s">
        <v>5277</v>
      </c>
      <c r="AB253" t="s">
        <v>5278</v>
      </c>
      <c r="AC253" t="s">
        <v>5279</v>
      </c>
      <c r="AD253" t="s">
        <v>5280</v>
      </c>
      <c r="AE253" t="s">
        <v>5281</v>
      </c>
      <c r="AF253" t="s">
        <v>74</v>
      </c>
      <c r="AG253">
        <v>69</v>
      </c>
      <c r="AH253">
        <v>31</v>
      </c>
      <c r="AI253">
        <v>31</v>
      </c>
      <c r="AJ253">
        <v>1</v>
      </c>
      <c r="AK253">
        <v>42</v>
      </c>
      <c r="AL253" t="s">
        <v>1606</v>
      </c>
      <c r="AM253" t="s">
        <v>808</v>
      </c>
      <c r="AN253" t="s">
        <v>1607</v>
      </c>
      <c r="AO253" t="s">
        <v>3077</v>
      </c>
      <c r="AP253" t="s">
        <v>3078</v>
      </c>
      <c r="AQ253" t="s">
        <v>74</v>
      </c>
      <c r="AR253" t="s">
        <v>3065</v>
      </c>
      <c r="AS253" t="s">
        <v>3079</v>
      </c>
      <c r="AT253" t="s">
        <v>4901</v>
      </c>
      <c r="AU253">
        <v>2013</v>
      </c>
      <c r="AV253">
        <v>28</v>
      </c>
      <c r="AW253">
        <v>4</v>
      </c>
      <c r="AX253" t="s">
        <v>74</v>
      </c>
      <c r="AY253" t="s">
        <v>74</v>
      </c>
      <c r="AZ253" t="s">
        <v>74</v>
      </c>
      <c r="BA253" t="s">
        <v>74</v>
      </c>
      <c r="BB253">
        <v>607</v>
      </c>
      <c r="BC253">
        <v>618</v>
      </c>
      <c r="BD253" t="s">
        <v>74</v>
      </c>
      <c r="BE253" t="s">
        <v>5282</v>
      </c>
      <c r="BF253" t="str">
        <f>HYPERLINK("http://dx.doi.org/10.1002/palo.20047","http://dx.doi.org/10.1002/palo.20047")</f>
        <v>http://dx.doi.org/10.1002/palo.20047</v>
      </c>
      <c r="BG253" t="s">
        <v>74</v>
      </c>
      <c r="BH253" t="s">
        <v>74</v>
      </c>
      <c r="BI253">
        <v>12</v>
      </c>
      <c r="BJ253" t="s">
        <v>3081</v>
      </c>
      <c r="BK253" t="s">
        <v>99</v>
      </c>
      <c r="BL253" t="s">
        <v>3082</v>
      </c>
      <c r="BM253" t="s">
        <v>5283</v>
      </c>
      <c r="BN253" t="s">
        <v>74</v>
      </c>
      <c r="BO253" t="s">
        <v>831</v>
      </c>
      <c r="BP253" t="s">
        <v>74</v>
      </c>
      <c r="BQ253" t="s">
        <v>74</v>
      </c>
      <c r="BR253" t="s">
        <v>103</v>
      </c>
      <c r="BS253" t="s">
        <v>5284</v>
      </c>
      <c r="BT253" t="str">
        <f>HYPERLINK("https%3A%2F%2Fwww.webofscience.com%2Fwos%2Fwoscc%2Ffull-record%2FWOS:000329862600001","View Full Record in Web of Science")</f>
        <v>View Full Record in Web of Science</v>
      </c>
    </row>
    <row r="254" spans="1:72" x14ac:dyDescent="0.15">
      <c r="A254" t="s">
        <v>72</v>
      </c>
      <c r="B254" t="s">
        <v>5285</v>
      </c>
      <c r="C254" t="s">
        <v>74</v>
      </c>
      <c r="D254" t="s">
        <v>74</v>
      </c>
      <c r="E254" t="s">
        <v>74</v>
      </c>
      <c r="F254" t="s">
        <v>5286</v>
      </c>
      <c r="G254" t="s">
        <v>74</v>
      </c>
      <c r="H254" t="s">
        <v>74</v>
      </c>
      <c r="I254" t="s">
        <v>5287</v>
      </c>
      <c r="J254" t="s">
        <v>5288</v>
      </c>
      <c r="K254" t="s">
        <v>74</v>
      </c>
      <c r="L254" t="s">
        <v>74</v>
      </c>
      <c r="M254" t="s">
        <v>78</v>
      </c>
      <c r="N254" t="s">
        <v>79</v>
      </c>
      <c r="O254" t="s">
        <v>74</v>
      </c>
      <c r="P254" t="s">
        <v>74</v>
      </c>
      <c r="Q254" t="s">
        <v>74</v>
      </c>
      <c r="R254" t="s">
        <v>74</v>
      </c>
      <c r="S254" t="s">
        <v>74</v>
      </c>
      <c r="T254" t="s">
        <v>5289</v>
      </c>
      <c r="U254" t="s">
        <v>5290</v>
      </c>
      <c r="V254" t="s">
        <v>5291</v>
      </c>
      <c r="W254" t="s">
        <v>5292</v>
      </c>
      <c r="X254" t="s">
        <v>5293</v>
      </c>
      <c r="Y254" t="s">
        <v>5294</v>
      </c>
      <c r="Z254" t="s">
        <v>5295</v>
      </c>
      <c r="AA254" t="s">
        <v>2048</v>
      </c>
      <c r="AB254" t="s">
        <v>5296</v>
      </c>
      <c r="AC254" t="s">
        <v>5297</v>
      </c>
      <c r="AD254" t="s">
        <v>74</v>
      </c>
      <c r="AE254" t="s">
        <v>5298</v>
      </c>
      <c r="AF254" t="s">
        <v>74</v>
      </c>
      <c r="AG254">
        <v>49</v>
      </c>
      <c r="AH254">
        <v>7</v>
      </c>
      <c r="AI254">
        <v>7</v>
      </c>
      <c r="AJ254">
        <v>0</v>
      </c>
      <c r="AK254">
        <v>3</v>
      </c>
      <c r="AL254" t="s">
        <v>5299</v>
      </c>
      <c r="AM254" t="s">
        <v>4060</v>
      </c>
      <c r="AN254" t="s">
        <v>5300</v>
      </c>
      <c r="AO254" t="s">
        <v>5301</v>
      </c>
      <c r="AP254" t="s">
        <v>5302</v>
      </c>
      <c r="AQ254" t="s">
        <v>74</v>
      </c>
      <c r="AR254" t="s">
        <v>5303</v>
      </c>
      <c r="AS254" t="s">
        <v>5304</v>
      </c>
      <c r="AT254" t="s">
        <v>4901</v>
      </c>
      <c r="AU254">
        <v>2013</v>
      </c>
      <c r="AV254">
        <v>58</v>
      </c>
      <c r="AW254">
        <v>4</v>
      </c>
      <c r="AX254" t="s">
        <v>74</v>
      </c>
      <c r="AY254" t="s">
        <v>74</v>
      </c>
      <c r="AZ254" t="s">
        <v>74</v>
      </c>
      <c r="BA254" t="s">
        <v>74</v>
      </c>
      <c r="BB254">
        <v>777</v>
      </c>
      <c r="BC254">
        <v>783</v>
      </c>
      <c r="BD254" t="s">
        <v>74</v>
      </c>
      <c r="BE254" t="s">
        <v>5305</v>
      </c>
      <c r="BF254" t="str">
        <f>HYPERLINK("http://dx.doi.org/10.4202/app.2011.0186","http://dx.doi.org/10.4202/app.2011.0186")</f>
        <v>http://dx.doi.org/10.4202/app.2011.0186</v>
      </c>
      <c r="BG254" t="s">
        <v>74</v>
      </c>
      <c r="BH254" t="s">
        <v>74</v>
      </c>
      <c r="BI254">
        <v>7</v>
      </c>
      <c r="BJ254" t="s">
        <v>2061</v>
      </c>
      <c r="BK254" t="s">
        <v>99</v>
      </c>
      <c r="BL254" t="s">
        <v>2061</v>
      </c>
      <c r="BM254" t="s">
        <v>5306</v>
      </c>
      <c r="BN254" t="s">
        <v>74</v>
      </c>
      <c r="BO254" t="s">
        <v>616</v>
      </c>
      <c r="BP254" t="s">
        <v>74</v>
      </c>
      <c r="BQ254" t="s">
        <v>74</v>
      </c>
      <c r="BR254" t="s">
        <v>103</v>
      </c>
      <c r="BS254" t="s">
        <v>5307</v>
      </c>
      <c r="BT254" t="str">
        <f>HYPERLINK("https%3A%2F%2Fwww.webofscience.com%2Fwos%2Fwoscc%2Ffull-record%2FWOS:000329551900009","View Full Record in Web of Science")</f>
        <v>View Full Record in Web of Science</v>
      </c>
    </row>
    <row r="255" spans="1:72" x14ac:dyDescent="0.15">
      <c r="A255" t="s">
        <v>72</v>
      </c>
      <c r="B255" t="s">
        <v>5308</v>
      </c>
      <c r="C255" t="s">
        <v>74</v>
      </c>
      <c r="D255" t="s">
        <v>74</v>
      </c>
      <c r="E255" t="s">
        <v>74</v>
      </c>
      <c r="F255" t="s">
        <v>5309</v>
      </c>
      <c r="G255" t="s">
        <v>74</v>
      </c>
      <c r="H255" t="s">
        <v>74</v>
      </c>
      <c r="I255" t="s">
        <v>5310</v>
      </c>
      <c r="J255" t="s">
        <v>5311</v>
      </c>
      <c r="K255" t="s">
        <v>74</v>
      </c>
      <c r="L255" t="s">
        <v>74</v>
      </c>
      <c r="M255" t="s">
        <v>78</v>
      </c>
      <c r="N255" t="s">
        <v>79</v>
      </c>
      <c r="O255" t="s">
        <v>74</v>
      </c>
      <c r="P255" t="s">
        <v>74</v>
      </c>
      <c r="Q255" t="s">
        <v>74</v>
      </c>
      <c r="R255" t="s">
        <v>74</v>
      </c>
      <c r="S255" t="s">
        <v>74</v>
      </c>
      <c r="T255" t="s">
        <v>5312</v>
      </c>
      <c r="U255" t="s">
        <v>5313</v>
      </c>
      <c r="V255" t="s">
        <v>5314</v>
      </c>
      <c r="W255" t="s">
        <v>5315</v>
      </c>
      <c r="X255" t="s">
        <v>5316</v>
      </c>
      <c r="Y255" t="s">
        <v>5317</v>
      </c>
      <c r="Z255" t="s">
        <v>74</v>
      </c>
      <c r="AA255" t="s">
        <v>74</v>
      </c>
      <c r="AB255" t="s">
        <v>5318</v>
      </c>
      <c r="AC255" t="s">
        <v>5319</v>
      </c>
      <c r="AD255" t="s">
        <v>5319</v>
      </c>
      <c r="AE255" t="s">
        <v>5320</v>
      </c>
      <c r="AF255" t="s">
        <v>74</v>
      </c>
      <c r="AG255">
        <v>59</v>
      </c>
      <c r="AH255">
        <v>8</v>
      </c>
      <c r="AI255">
        <v>8</v>
      </c>
      <c r="AJ255">
        <v>1</v>
      </c>
      <c r="AK255">
        <v>63</v>
      </c>
      <c r="AL255" t="s">
        <v>5321</v>
      </c>
      <c r="AM255" t="s">
        <v>5322</v>
      </c>
      <c r="AN255" t="s">
        <v>5323</v>
      </c>
      <c r="AO255" t="s">
        <v>5324</v>
      </c>
      <c r="AP255" t="s">
        <v>74</v>
      </c>
      <c r="AQ255" t="s">
        <v>74</v>
      </c>
      <c r="AR255" t="s">
        <v>5325</v>
      </c>
      <c r="AS255" t="s">
        <v>5326</v>
      </c>
      <c r="AT255" t="s">
        <v>4901</v>
      </c>
      <c r="AU255">
        <v>2013</v>
      </c>
      <c r="AV255">
        <v>8</v>
      </c>
      <c r="AW255">
        <v>2</v>
      </c>
      <c r="AX255" t="s">
        <v>74</v>
      </c>
      <c r="AY255" t="s">
        <v>74</v>
      </c>
      <c r="AZ255" t="s">
        <v>74</v>
      </c>
      <c r="BA255" t="s">
        <v>74</v>
      </c>
      <c r="BB255" t="s">
        <v>74</v>
      </c>
      <c r="BC255" t="s">
        <v>74</v>
      </c>
      <c r="BD255">
        <v>13</v>
      </c>
      <c r="BE255" t="s">
        <v>5327</v>
      </c>
      <c r="BF255" t="str">
        <f>HYPERLINK("http://dx.doi.org/10.5751/ACE-00617-080213","http://dx.doi.org/10.5751/ACE-00617-080213")</f>
        <v>http://dx.doi.org/10.5751/ACE-00617-080213</v>
      </c>
      <c r="BG255" t="s">
        <v>74</v>
      </c>
      <c r="BH255" t="s">
        <v>74</v>
      </c>
      <c r="BI255">
        <v>10</v>
      </c>
      <c r="BJ255" t="s">
        <v>5328</v>
      </c>
      <c r="BK255" t="s">
        <v>99</v>
      </c>
      <c r="BL255" t="s">
        <v>5329</v>
      </c>
      <c r="BM255" t="s">
        <v>5330</v>
      </c>
      <c r="BN255" t="s">
        <v>74</v>
      </c>
      <c r="BO255" t="s">
        <v>699</v>
      </c>
      <c r="BP255" t="s">
        <v>74</v>
      </c>
      <c r="BQ255" t="s">
        <v>74</v>
      </c>
      <c r="BR255" t="s">
        <v>103</v>
      </c>
      <c r="BS255" t="s">
        <v>5331</v>
      </c>
      <c r="BT255" t="str">
        <f>HYPERLINK("https%3A%2F%2Fwww.webofscience.com%2Fwos%2Fwoscc%2Ffull-record%2FWOS:000329315700017","View Full Record in Web of Science")</f>
        <v>View Full Record in Web of Science</v>
      </c>
    </row>
    <row r="256" spans="1:72" x14ac:dyDescent="0.15">
      <c r="A256" t="s">
        <v>72</v>
      </c>
      <c r="B256" t="s">
        <v>5332</v>
      </c>
      <c r="C256" t="s">
        <v>74</v>
      </c>
      <c r="D256" t="s">
        <v>74</v>
      </c>
      <c r="E256" t="s">
        <v>74</v>
      </c>
      <c r="F256" t="s">
        <v>5333</v>
      </c>
      <c r="G256" t="s">
        <v>74</v>
      </c>
      <c r="H256" t="s">
        <v>74</v>
      </c>
      <c r="I256" t="s">
        <v>5334</v>
      </c>
      <c r="J256" t="s">
        <v>5335</v>
      </c>
      <c r="K256" t="s">
        <v>74</v>
      </c>
      <c r="L256" t="s">
        <v>74</v>
      </c>
      <c r="M256" t="s">
        <v>78</v>
      </c>
      <c r="N256" t="s">
        <v>79</v>
      </c>
      <c r="O256" t="s">
        <v>74</v>
      </c>
      <c r="P256" t="s">
        <v>74</v>
      </c>
      <c r="Q256" t="s">
        <v>74</v>
      </c>
      <c r="R256" t="s">
        <v>74</v>
      </c>
      <c r="S256" t="s">
        <v>74</v>
      </c>
      <c r="T256" t="s">
        <v>5336</v>
      </c>
      <c r="U256" t="s">
        <v>5337</v>
      </c>
      <c r="V256" t="s">
        <v>5338</v>
      </c>
      <c r="W256" t="s">
        <v>5339</v>
      </c>
      <c r="X256" t="s">
        <v>5340</v>
      </c>
      <c r="Y256" t="s">
        <v>5341</v>
      </c>
      <c r="Z256" t="s">
        <v>5342</v>
      </c>
      <c r="AA256" t="s">
        <v>5343</v>
      </c>
      <c r="AB256" t="s">
        <v>5344</v>
      </c>
      <c r="AC256" t="s">
        <v>5345</v>
      </c>
      <c r="AD256" t="s">
        <v>5346</v>
      </c>
      <c r="AE256" t="s">
        <v>5347</v>
      </c>
      <c r="AF256" t="s">
        <v>74</v>
      </c>
      <c r="AG256">
        <v>13</v>
      </c>
      <c r="AH256">
        <v>10</v>
      </c>
      <c r="AI256">
        <v>12</v>
      </c>
      <c r="AJ256">
        <v>0</v>
      </c>
      <c r="AK256">
        <v>10</v>
      </c>
      <c r="AL256" t="s">
        <v>872</v>
      </c>
      <c r="AM256" t="s">
        <v>252</v>
      </c>
      <c r="AN256" t="s">
        <v>873</v>
      </c>
      <c r="AO256" t="s">
        <v>5348</v>
      </c>
      <c r="AP256" t="s">
        <v>5349</v>
      </c>
      <c r="AQ256" t="s">
        <v>74</v>
      </c>
      <c r="AR256" t="s">
        <v>5350</v>
      </c>
      <c r="AS256" t="s">
        <v>5351</v>
      </c>
      <c r="AT256" t="s">
        <v>4901</v>
      </c>
      <c r="AU256">
        <v>2013</v>
      </c>
      <c r="AV256">
        <v>51</v>
      </c>
      <c r="AW256" t="s">
        <v>74</v>
      </c>
      <c r="AX256" t="s">
        <v>74</v>
      </c>
      <c r="AY256" t="s">
        <v>74</v>
      </c>
      <c r="AZ256" t="s">
        <v>74</v>
      </c>
      <c r="BA256" t="s">
        <v>74</v>
      </c>
      <c r="BB256">
        <v>45</v>
      </c>
      <c r="BC256">
        <v>49</v>
      </c>
      <c r="BD256" t="s">
        <v>74</v>
      </c>
      <c r="BE256" t="s">
        <v>5352</v>
      </c>
      <c r="BF256" t="str">
        <f>HYPERLINK("http://dx.doi.org/10.1016/j.bse.2013.08.012","http://dx.doi.org/10.1016/j.bse.2013.08.012")</f>
        <v>http://dx.doi.org/10.1016/j.bse.2013.08.012</v>
      </c>
      <c r="BG256" t="s">
        <v>74</v>
      </c>
      <c r="BH256" t="s">
        <v>74</v>
      </c>
      <c r="BI256">
        <v>5</v>
      </c>
      <c r="BJ256" t="s">
        <v>5353</v>
      </c>
      <c r="BK256" t="s">
        <v>99</v>
      </c>
      <c r="BL256" t="s">
        <v>5354</v>
      </c>
      <c r="BM256" t="s">
        <v>5355</v>
      </c>
      <c r="BN256" t="s">
        <v>74</v>
      </c>
      <c r="BO256" t="s">
        <v>74</v>
      </c>
      <c r="BP256" t="s">
        <v>74</v>
      </c>
      <c r="BQ256" t="s">
        <v>74</v>
      </c>
      <c r="BR256" t="s">
        <v>103</v>
      </c>
      <c r="BS256" t="s">
        <v>5356</v>
      </c>
      <c r="BT256" t="str">
        <f>HYPERLINK("https%3A%2F%2Fwww.webofscience.com%2Fwos%2Fwoscc%2Ffull-record%2FWOS:000329421000008","View Full Record in Web of Science")</f>
        <v>View Full Record in Web of Science</v>
      </c>
    </row>
    <row r="257" spans="1:72" x14ac:dyDescent="0.15">
      <c r="A257" t="s">
        <v>72</v>
      </c>
      <c r="B257" t="s">
        <v>5357</v>
      </c>
      <c r="C257" t="s">
        <v>74</v>
      </c>
      <c r="D257" t="s">
        <v>74</v>
      </c>
      <c r="E257" t="s">
        <v>74</v>
      </c>
      <c r="F257" t="s">
        <v>5358</v>
      </c>
      <c r="G257" t="s">
        <v>74</v>
      </c>
      <c r="H257" t="s">
        <v>74</v>
      </c>
      <c r="I257" t="s">
        <v>5359</v>
      </c>
      <c r="J257" t="s">
        <v>5360</v>
      </c>
      <c r="K257" t="s">
        <v>74</v>
      </c>
      <c r="L257" t="s">
        <v>74</v>
      </c>
      <c r="M257" t="s">
        <v>78</v>
      </c>
      <c r="N257" t="s">
        <v>79</v>
      </c>
      <c r="O257" t="s">
        <v>74</v>
      </c>
      <c r="P257" t="s">
        <v>74</v>
      </c>
      <c r="Q257" t="s">
        <v>74</v>
      </c>
      <c r="R257" t="s">
        <v>74</v>
      </c>
      <c r="S257" t="s">
        <v>74</v>
      </c>
      <c r="T257" t="s">
        <v>5361</v>
      </c>
      <c r="U257" t="s">
        <v>5362</v>
      </c>
      <c r="V257" t="s">
        <v>5363</v>
      </c>
      <c r="W257" t="s">
        <v>5364</v>
      </c>
      <c r="X257" t="s">
        <v>5365</v>
      </c>
      <c r="Y257" t="s">
        <v>5366</v>
      </c>
      <c r="Z257" t="s">
        <v>5367</v>
      </c>
      <c r="AA257" t="s">
        <v>5368</v>
      </c>
      <c r="AB257" t="s">
        <v>5369</v>
      </c>
      <c r="AC257" t="s">
        <v>5370</v>
      </c>
      <c r="AD257" t="s">
        <v>5371</v>
      </c>
      <c r="AE257" t="s">
        <v>5372</v>
      </c>
      <c r="AF257" t="s">
        <v>74</v>
      </c>
      <c r="AG257">
        <v>26</v>
      </c>
      <c r="AH257">
        <v>43</v>
      </c>
      <c r="AI257">
        <v>44</v>
      </c>
      <c r="AJ257">
        <v>3</v>
      </c>
      <c r="AK257">
        <v>34</v>
      </c>
      <c r="AL257" t="s">
        <v>1606</v>
      </c>
      <c r="AM257" t="s">
        <v>808</v>
      </c>
      <c r="AN257" t="s">
        <v>1607</v>
      </c>
      <c r="AO257" t="s">
        <v>5373</v>
      </c>
      <c r="AP257" t="s">
        <v>5374</v>
      </c>
      <c r="AQ257" t="s">
        <v>74</v>
      </c>
      <c r="AR257" t="s">
        <v>5375</v>
      </c>
      <c r="AS257" t="s">
        <v>5376</v>
      </c>
      <c r="AT257" t="s">
        <v>4901</v>
      </c>
      <c r="AU257">
        <v>2013</v>
      </c>
      <c r="AV257">
        <v>27</v>
      </c>
      <c r="AW257">
        <v>4</v>
      </c>
      <c r="AX257" t="s">
        <v>74</v>
      </c>
      <c r="AY257" t="s">
        <v>74</v>
      </c>
      <c r="AZ257" t="s">
        <v>74</v>
      </c>
      <c r="BA257" t="s">
        <v>74</v>
      </c>
      <c r="BB257">
        <v>1129</v>
      </c>
      <c r="BC257">
        <v>1138</v>
      </c>
      <c r="BD257" t="s">
        <v>74</v>
      </c>
      <c r="BE257" t="s">
        <v>5377</v>
      </c>
      <c r="BF257" t="str">
        <f>HYPERLINK("http://dx.doi.org/10.1002/2013GB004682","http://dx.doi.org/10.1002/2013GB004682")</f>
        <v>http://dx.doi.org/10.1002/2013GB004682</v>
      </c>
      <c r="BG257" t="s">
        <v>74</v>
      </c>
      <c r="BH257" t="s">
        <v>74</v>
      </c>
      <c r="BI257">
        <v>10</v>
      </c>
      <c r="BJ257" t="s">
        <v>5378</v>
      </c>
      <c r="BK257" t="s">
        <v>99</v>
      </c>
      <c r="BL257" t="s">
        <v>5379</v>
      </c>
      <c r="BM257" t="s">
        <v>5380</v>
      </c>
      <c r="BN257" t="s">
        <v>74</v>
      </c>
      <c r="BO257" t="s">
        <v>475</v>
      </c>
      <c r="BP257" t="s">
        <v>74</v>
      </c>
      <c r="BQ257" t="s">
        <v>74</v>
      </c>
      <c r="BR257" t="s">
        <v>103</v>
      </c>
      <c r="BS257" t="s">
        <v>5381</v>
      </c>
      <c r="BT257" t="str">
        <f>HYPERLINK("https%3A%2F%2Fwww.webofscience.com%2Fwos%2Fwoscc%2Ffull-record%2FWOS:000329686900013","View Full Record in Web of Science")</f>
        <v>View Full Record in Web of Science</v>
      </c>
    </row>
    <row r="258" spans="1:72" x14ac:dyDescent="0.15">
      <c r="A258" t="s">
        <v>72</v>
      </c>
      <c r="B258" t="s">
        <v>5382</v>
      </c>
      <c r="C258" t="s">
        <v>74</v>
      </c>
      <c r="D258" t="s">
        <v>74</v>
      </c>
      <c r="E258" t="s">
        <v>74</v>
      </c>
      <c r="F258" t="s">
        <v>5383</v>
      </c>
      <c r="G258" t="s">
        <v>74</v>
      </c>
      <c r="H258" t="s">
        <v>74</v>
      </c>
      <c r="I258" t="s">
        <v>5384</v>
      </c>
      <c r="J258" t="s">
        <v>5385</v>
      </c>
      <c r="K258" t="s">
        <v>74</v>
      </c>
      <c r="L258" t="s">
        <v>74</v>
      </c>
      <c r="M258" t="s">
        <v>78</v>
      </c>
      <c r="N258" t="s">
        <v>79</v>
      </c>
      <c r="O258" t="s">
        <v>74</v>
      </c>
      <c r="P258" t="s">
        <v>74</v>
      </c>
      <c r="Q258" t="s">
        <v>74</v>
      </c>
      <c r="R258" t="s">
        <v>74</v>
      </c>
      <c r="S258" t="s">
        <v>74</v>
      </c>
      <c r="T258" t="s">
        <v>5386</v>
      </c>
      <c r="U258" t="s">
        <v>5387</v>
      </c>
      <c r="V258" t="s">
        <v>5388</v>
      </c>
      <c r="W258" t="s">
        <v>5389</v>
      </c>
      <c r="X258" t="s">
        <v>5390</v>
      </c>
      <c r="Y258" t="s">
        <v>5391</v>
      </c>
      <c r="Z258" t="s">
        <v>5392</v>
      </c>
      <c r="AA258" t="s">
        <v>5393</v>
      </c>
      <c r="AB258" t="s">
        <v>5394</v>
      </c>
      <c r="AC258" t="s">
        <v>5395</v>
      </c>
      <c r="AD258" t="s">
        <v>5396</v>
      </c>
      <c r="AE258" t="s">
        <v>5397</v>
      </c>
      <c r="AF258" t="s">
        <v>74</v>
      </c>
      <c r="AG258">
        <v>34</v>
      </c>
      <c r="AH258">
        <v>7</v>
      </c>
      <c r="AI258">
        <v>8</v>
      </c>
      <c r="AJ258">
        <v>0</v>
      </c>
      <c r="AK258">
        <v>10</v>
      </c>
      <c r="AL258" t="s">
        <v>5398</v>
      </c>
      <c r="AM258" t="s">
        <v>5399</v>
      </c>
      <c r="AN258" t="s">
        <v>5400</v>
      </c>
      <c r="AO258" t="s">
        <v>5401</v>
      </c>
      <c r="AP258" t="s">
        <v>5402</v>
      </c>
      <c r="AQ258" t="s">
        <v>74</v>
      </c>
      <c r="AR258" t="s">
        <v>5385</v>
      </c>
      <c r="AS258" t="s">
        <v>5403</v>
      </c>
      <c r="AT258" t="s">
        <v>4901</v>
      </c>
      <c r="AU258">
        <v>2013</v>
      </c>
      <c r="AV258">
        <v>32</v>
      </c>
      <c r="AW258">
        <v>2</v>
      </c>
      <c r="AX258" t="s">
        <v>74</v>
      </c>
      <c r="AY258" t="s">
        <v>74</v>
      </c>
      <c r="AZ258" t="s">
        <v>74</v>
      </c>
      <c r="BA258" t="s">
        <v>74</v>
      </c>
      <c r="BB258">
        <v>253</v>
      </c>
      <c r="BC258">
        <v>267</v>
      </c>
      <c r="BD258" t="s">
        <v>74</v>
      </c>
      <c r="BE258" t="s">
        <v>74</v>
      </c>
      <c r="BF258" t="s">
        <v>74</v>
      </c>
      <c r="BG258" t="s">
        <v>74</v>
      </c>
      <c r="BH258" t="s">
        <v>74</v>
      </c>
      <c r="BI258">
        <v>15</v>
      </c>
      <c r="BJ258" t="s">
        <v>5404</v>
      </c>
      <c r="BK258" t="s">
        <v>99</v>
      </c>
      <c r="BL258" t="s">
        <v>285</v>
      </c>
      <c r="BM258" t="s">
        <v>5405</v>
      </c>
      <c r="BN258" t="s">
        <v>74</v>
      </c>
      <c r="BO258" t="s">
        <v>74</v>
      </c>
      <c r="BP258" t="s">
        <v>74</v>
      </c>
      <c r="BQ258" t="s">
        <v>74</v>
      </c>
      <c r="BR258" t="s">
        <v>103</v>
      </c>
      <c r="BS258" t="s">
        <v>5406</v>
      </c>
      <c r="BT258" t="str">
        <f>HYPERLINK("https%3A%2F%2Fwww.webofscience.com%2Fwos%2Fwoscc%2Ffull-record%2FWOS:000329534000008","View Full Record in Web of Science")</f>
        <v>View Full Record in Web of Science</v>
      </c>
    </row>
    <row r="259" spans="1:72" x14ac:dyDescent="0.15">
      <c r="A259" t="s">
        <v>72</v>
      </c>
      <c r="B259" t="s">
        <v>5407</v>
      </c>
      <c r="C259" t="s">
        <v>74</v>
      </c>
      <c r="D259" t="s">
        <v>74</v>
      </c>
      <c r="E259" t="s">
        <v>74</v>
      </c>
      <c r="F259" t="s">
        <v>5408</v>
      </c>
      <c r="G259" t="s">
        <v>74</v>
      </c>
      <c r="H259" t="s">
        <v>74</v>
      </c>
      <c r="I259" t="s">
        <v>5409</v>
      </c>
      <c r="J259" t="s">
        <v>5410</v>
      </c>
      <c r="K259" t="s">
        <v>74</v>
      </c>
      <c r="L259" t="s">
        <v>74</v>
      </c>
      <c r="M259" t="s">
        <v>78</v>
      </c>
      <c r="N259" t="s">
        <v>79</v>
      </c>
      <c r="O259" t="s">
        <v>74</v>
      </c>
      <c r="P259" t="s">
        <v>74</v>
      </c>
      <c r="Q259" t="s">
        <v>74</v>
      </c>
      <c r="R259" t="s">
        <v>74</v>
      </c>
      <c r="S259" t="s">
        <v>74</v>
      </c>
      <c r="T259" t="s">
        <v>5411</v>
      </c>
      <c r="U259" t="s">
        <v>5412</v>
      </c>
      <c r="V259" t="s">
        <v>5413</v>
      </c>
      <c r="W259" t="s">
        <v>5414</v>
      </c>
      <c r="X259" t="s">
        <v>5415</v>
      </c>
      <c r="Y259" t="s">
        <v>5416</v>
      </c>
      <c r="Z259" t="s">
        <v>5417</v>
      </c>
      <c r="AA259" t="s">
        <v>74</v>
      </c>
      <c r="AB259" t="s">
        <v>74</v>
      </c>
      <c r="AC259" t="s">
        <v>5418</v>
      </c>
      <c r="AD259" t="s">
        <v>5418</v>
      </c>
      <c r="AE259" t="s">
        <v>5419</v>
      </c>
      <c r="AF259" t="s">
        <v>74</v>
      </c>
      <c r="AG259">
        <v>38</v>
      </c>
      <c r="AH259">
        <v>10</v>
      </c>
      <c r="AI259">
        <v>11</v>
      </c>
      <c r="AJ259">
        <v>0</v>
      </c>
      <c r="AK259">
        <v>35</v>
      </c>
      <c r="AL259" t="s">
        <v>5420</v>
      </c>
      <c r="AM259" t="s">
        <v>5421</v>
      </c>
      <c r="AN259" t="s">
        <v>5422</v>
      </c>
      <c r="AO259" t="s">
        <v>5423</v>
      </c>
      <c r="AP259" t="s">
        <v>5424</v>
      </c>
      <c r="AQ259" t="s">
        <v>74</v>
      </c>
      <c r="AR259" t="s">
        <v>5410</v>
      </c>
      <c r="AS259" t="s">
        <v>5425</v>
      </c>
      <c r="AT259" t="s">
        <v>5426</v>
      </c>
      <c r="AU259">
        <v>2013</v>
      </c>
      <c r="AV259">
        <v>116</v>
      </c>
      <c r="AW259">
        <v>4</v>
      </c>
      <c r="AX259" t="s">
        <v>74</v>
      </c>
      <c r="AY259" t="s">
        <v>74</v>
      </c>
      <c r="AZ259" t="s">
        <v>74</v>
      </c>
      <c r="BA259" t="s">
        <v>74</v>
      </c>
      <c r="BB259">
        <v>382</v>
      </c>
      <c r="BC259">
        <v>391</v>
      </c>
      <c r="BD259" t="s">
        <v>74</v>
      </c>
      <c r="BE259" t="s">
        <v>5427</v>
      </c>
      <c r="BF259" t="str">
        <f>HYPERLINK("http://dx.doi.org/10.1639/0007-2745-116.4.382","http://dx.doi.org/10.1639/0007-2745-116.4.382")</f>
        <v>http://dx.doi.org/10.1639/0007-2745-116.4.382</v>
      </c>
      <c r="BG259" t="s">
        <v>74</v>
      </c>
      <c r="BH259" t="s">
        <v>74</v>
      </c>
      <c r="BI259">
        <v>10</v>
      </c>
      <c r="BJ259" t="s">
        <v>614</v>
      </c>
      <c r="BK259" t="s">
        <v>99</v>
      </c>
      <c r="BL259" t="s">
        <v>614</v>
      </c>
      <c r="BM259" t="s">
        <v>5428</v>
      </c>
      <c r="BN259" t="s">
        <v>74</v>
      </c>
      <c r="BO259" t="s">
        <v>74</v>
      </c>
      <c r="BP259" t="s">
        <v>74</v>
      </c>
      <c r="BQ259" t="s">
        <v>74</v>
      </c>
      <c r="BR259" t="s">
        <v>103</v>
      </c>
      <c r="BS259" t="s">
        <v>5429</v>
      </c>
      <c r="BT259" t="str">
        <f>HYPERLINK("https%3A%2F%2Fwww.webofscience.com%2Fwos%2Fwoscc%2Ffull-record%2FWOS:000329269500007","View Full Record in Web of Science")</f>
        <v>View Full Record in Web of Science</v>
      </c>
    </row>
    <row r="260" spans="1:72" x14ac:dyDescent="0.15">
      <c r="A260" t="s">
        <v>72</v>
      </c>
      <c r="B260" t="s">
        <v>5430</v>
      </c>
      <c r="C260" t="s">
        <v>74</v>
      </c>
      <c r="D260" t="s">
        <v>74</v>
      </c>
      <c r="E260" t="s">
        <v>74</v>
      </c>
      <c r="F260" t="s">
        <v>5431</v>
      </c>
      <c r="G260" t="s">
        <v>74</v>
      </c>
      <c r="H260" t="s">
        <v>74</v>
      </c>
      <c r="I260" t="s">
        <v>5432</v>
      </c>
      <c r="J260" t="s">
        <v>5433</v>
      </c>
      <c r="K260" t="s">
        <v>74</v>
      </c>
      <c r="L260" t="s">
        <v>74</v>
      </c>
      <c r="M260" t="s">
        <v>78</v>
      </c>
      <c r="N260" t="s">
        <v>79</v>
      </c>
      <c r="O260" t="s">
        <v>74</v>
      </c>
      <c r="P260" t="s">
        <v>74</v>
      </c>
      <c r="Q260" t="s">
        <v>74</v>
      </c>
      <c r="R260" t="s">
        <v>74</v>
      </c>
      <c r="S260" t="s">
        <v>74</v>
      </c>
      <c r="T260" t="s">
        <v>5434</v>
      </c>
      <c r="U260" t="s">
        <v>5435</v>
      </c>
      <c r="V260" t="s">
        <v>5436</v>
      </c>
      <c r="W260" t="s">
        <v>5437</v>
      </c>
      <c r="X260" t="s">
        <v>5438</v>
      </c>
      <c r="Y260" t="s">
        <v>5439</v>
      </c>
      <c r="Z260" t="s">
        <v>5440</v>
      </c>
      <c r="AA260" t="s">
        <v>5441</v>
      </c>
      <c r="AB260" t="s">
        <v>5442</v>
      </c>
      <c r="AC260" t="s">
        <v>5443</v>
      </c>
      <c r="AD260" t="s">
        <v>5444</v>
      </c>
      <c r="AE260" t="s">
        <v>5445</v>
      </c>
      <c r="AF260" t="s">
        <v>74</v>
      </c>
      <c r="AG260">
        <v>28</v>
      </c>
      <c r="AH260">
        <v>11</v>
      </c>
      <c r="AI260">
        <v>12</v>
      </c>
      <c r="AJ260">
        <v>0</v>
      </c>
      <c r="AK260">
        <v>7</v>
      </c>
      <c r="AL260" t="s">
        <v>5446</v>
      </c>
      <c r="AM260" t="s">
        <v>5447</v>
      </c>
      <c r="AN260" t="s">
        <v>5448</v>
      </c>
      <c r="AO260" t="s">
        <v>5449</v>
      </c>
      <c r="AP260" t="s">
        <v>5450</v>
      </c>
      <c r="AQ260" t="s">
        <v>74</v>
      </c>
      <c r="AR260" t="s">
        <v>5451</v>
      </c>
      <c r="AS260" t="s">
        <v>5452</v>
      </c>
      <c r="AT260" t="s">
        <v>4901</v>
      </c>
      <c r="AU260">
        <v>2013</v>
      </c>
      <c r="AV260">
        <v>46</v>
      </c>
      <c r="AW260">
        <v>12</v>
      </c>
      <c r="AX260" t="s">
        <v>74</v>
      </c>
      <c r="AY260" t="s">
        <v>74</v>
      </c>
      <c r="AZ260" t="s">
        <v>74</v>
      </c>
      <c r="BA260" t="s">
        <v>74</v>
      </c>
      <c r="BB260">
        <v>1219</v>
      </c>
      <c r="BC260">
        <v>1229</v>
      </c>
      <c r="BD260" t="s">
        <v>74</v>
      </c>
      <c r="BE260" t="s">
        <v>5453</v>
      </c>
      <c r="BF260" t="str">
        <f>HYPERLINK("http://dx.doi.org/10.1134/S1064229313120028","http://dx.doi.org/10.1134/S1064229313120028")</f>
        <v>http://dx.doi.org/10.1134/S1064229313120028</v>
      </c>
      <c r="BG260" t="s">
        <v>74</v>
      </c>
      <c r="BH260" t="s">
        <v>74</v>
      </c>
      <c r="BI260">
        <v>11</v>
      </c>
      <c r="BJ260" t="s">
        <v>3675</v>
      </c>
      <c r="BK260" t="s">
        <v>99</v>
      </c>
      <c r="BL260" t="s">
        <v>3676</v>
      </c>
      <c r="BM260" t="s">
        <v>5454</v>
      </c>
      <c r="BN260" t="s">
        <v>74</v>
      </c>
      <c r="BO260" t="s">
        <v>74</v>
      </c>
      <c r="BP260" t="s">
        <v>74</v>
      </c>
      <c r="BQ260" t="s">
        <v>74</v>
      </c>
      <c r="BR260" t="s">
        <v>103</v>
      </c>
      <c r="BS260" t="s">
        <v>5455</v>
      </c>
      <c r="BT260" t="str">
        <f>HYPERLINK("https%3A%2F%2Fwww.webofscience.com%2Fwos%2Fwoscc%2Ffull-record%2FWOS:000329296500011","View Full Record in Web of Science")</f>
        <v>View Full Record in Web of Science</v>
      </c>
    </row>
    <row r="261" spans="1:72" x14ac:dyDescent="0.15">
      <c r="A261" t="s">
        <v>72</v>
      </c>
      <c r="B261" t="s">
        <v>5456</v>
      </c>
      <c r="C261" t="s">
        <v>74</v>
      </c>
      <c r="D261" t="s">
        <v>74</v>
      </c>
      <c r="E261" t="s">
        <v>74</v>
      </c>
      <c r="F261" t="s">
        <v>5457</v>
      </c>
      <c r="G261" t="s">
        <v>74</v>
      </c>
      <c r="H261" t="s">
        <v>74</v>
      </c>
      <c r="I261" t="s">
        <v>5458</v>
      </c>
      <c r="J261" t="s">
        <v>5459</v>
      </c>
      <c r="K261" t="s">
        <v>74</v>
      </c>
      <c r="L261" t="s">
        <v>74</v>
      </c>
      <c r="M261" t="s">
        <v>78</v>
      </c>
      <c r="N261" t="s">
        <v>79</v>
      </c>
      <c r="O261" t="s">
        <v>74</v>
      </c>
      <c r="P261" t="s">
        <v>74</v>
      </c>
      <c r="Q261" t="s">
        <v>74</v>
      </c>
      <c r="R261" t="s">
        <v>74</v>
      </c>
      <c r="S261" t="s">
        <v>74</v>
      </c>
      <c r="T261" t="s">
        <v>5460</v>
      </c>
      <c r="U261" t="s">
        <v>5461</v>
      </c>
      <c r="V261" t="s">
        <v>5462</v>
      </c>
      <c r="W261" t="s">
        <v>5463</v>
      </c>
      <c r="X261" t="s">
        <v>5464</v>
      </c>
      <c r="Y261" t="s">
        <v>5465</v>
      </c>
      <c r="Z261" t="s">
        <v>5466</v>
      </c>
      <c r="AA261" t="s">
        <v>5467</v>
      </c>
      <c r="AB261" t="s">
        <v>74</v>
      </c>
      <c r="AC261" t="s">
        <v>5468</v>
      </c>
      <c r="AD261" t="s">
        <v>5469</v>
      </c>
      <c r="AE261" t="s">
        <v>5470</v>
      </c>
      <c r="AF261" t="s">
        <v>74</v>
      </c>
      <c r="AG261">
        <v>47</v>
      </c>
      <c r="AH261">
        <v>14</v>
      </c>
      <c r="AI261">
        <v>16</v>
      </c>
      <c r="AJ261">
        <v>0</v>
      </c>
      <c r="AK261">
        <v>38</v>
      </c>
      <c r="AL261" t="s">
        <v>582</v>
      </c>
      <c r="AM261" t="s">
        <v>305</v>
      </c>
      <c r="AN261" t="s">
        <v>583</v>
      </c>
      <c r="AO261" t="s">
        <v>5471</v>
      </c>
      <c r="AP261" t="s">
        <v>5472</v>
      </c>
      <c r="AQ261" t="s">
        <v>74</v>
      </c>
      <c r="AR261" t="s">
        <v>5473</v>
      </c>
      <c r="AS261" t="s">
        <v>5474</v>
      </c>
      <c r="AT261" t="s">
        <v>4901</v>
      </c>
      <c r="AU261">
        <v>2013</v>
      </c>
      <c r="AV261">
        <v>111</v>
      </c>
      <c r="AW261" t="s">
        <v>74</v>
      </c>
      <c r="AX261" t="s">
        <v>74</v>
      </c>
      <c r="AY261" t="s">
        <v>74</v>
      </c>
      <c r="AZ261" t="s">
        <v>74</v>
      </c>
      <c r="BA261" t="s">
        <v>74</v>
      </c>
      <c r="BB261">
        <v>258</v>
      </c>
      <c r="BC261">
        <v>267</v>
      </c>
      <c r="BD261" t="s">
        <v>74</v>
      </c>
      <c r="BE261" t="s">
        <v>5475</v>
      </c>
      <c r="BF261" t="str">
        <f>HYPERLINK("http://dx.doi.org/10.1016/j.gloplacha.2013.09.012","http://dx.doi.org/10.1016/j.gloplacha.2013.09.012")</f>
        <v>http://dx.doi.org/10.1016/j.gloplacha.2013.09.012</v>
      </c>
      <c r="BG261" t="s">
        <v>74</v>
      </c>
      <c r="BH261" t="s">
        <v>74</v>
      </c>
      <c r="BI261">
        <v>10</v>
      </c>
      <c r="BJ261" t="s">
        <v>98</v>
      </c>
      <c r="BK261" t="s">
        <v>99</v>
      </c>
      <c r="BL261" t="s">
        <v>100</v>
      </c>
      <c r="BM261" t="s">
        <v>5476</v>
      </c>
      <c r="BN261" t="s">
        <v>74</v>
      </c>
      <c r="BO261" t="s">
        <v>74</v>
      </c>
      <c r="BP261" t="s">
        <v>74</v>
      </c>
      <c r="BQ261" t="s">
        <v>74</v>
      </c>
      <c r="BR261" t="s">
        <v>103</v>
      </c>
      <c r="BS261" t="s">
        <v>5477</v>
      </c>
      <c r="BT261" t="str">
        <f>HYPERLINK("https%3A%2F%2Fwww.webofscience.com%2Fwos%2Fwoscc%2Ffull-record%2FWOS:000329378000021","View Full Record in Web of Science")</f>
        <v>View Full Record in Web of Science</v>
      </c>
    </row>
    <row r="262" spans="1:72" x14ac:dyDescent="0.15">
      <c r="A262" t="s">
        <v>72</v>
      </c>
      <c r="B262" t="s">
        <v>5478</v>
      </c>
      <c r="C262" t="s">
        <v>74</v>
      </c>
      <c r="D262" t="s">
        <v>74</v>
      </c>
      <c r="E262" t="s">
        <v>74</v>
      </c>
      <c r="F262" t="s">
        <v>5479</v>
      </c>
      <c r="G262" t="s">
        <v>74</v>
      </c>
      <c r="H262" t="s">
        <v>74</v>
      </c>
      <c r="I262" t="s">
        <v>5480</v>
      </c>
      <c r="J262" t="s">
        <v>2637</v>
      </c>
      <c r="K262" t="s">
        <v>74</v>
      </c>
      <c r="L262" t="s">
        <v>74</v>
      </c>
      <c r="M262" t="s">
        <v>78</v>
      </c>
      <c r="N262" t="s">
        <v>79</v>
      </c>
      <c r="O262" t="s">
        <v>74</v>
      </c>
      <c r="P262" t="s">
        <v>74</v>
      </c>
      <c r="Q262" t="s">
        <v>74</v>
      </c>
      <c r="R262" t="s">
        <v>74</v>
      </c>
      <c r="S262" t="s">
        <v>74</v>
      </c>
      <c r="T262" t="s">
        <v>74</v>
      </c>
      <c r="U262" t="s">
        <v>5481</v>
      </c>
      <c r="V262" t="s">
        <v>5482</v>
      </c>
      <c r="W262" t="s">
        <v>5483</v>
      </c>
      <c r="X262" t="s">
        <v>5484</v>
      </c>
      <c r="Y262" t="s">
        <v>5485</v>
      </c>
      <c r="Z262" t="s">
        <v>5486</v>
      </c>
      <c r="AA262" t="s">
        <v>5487</v>
      </c>
      <c r="AB262" t="s">
        <v>5488</v>
      </c>
      <c r="AC262" t="s">
        <v>5489</v>
      </c>
      <c r="AD262" t="s">
        <v>5490</v>
      </c>
      <c r="AE262" t="s">
        <v>5491</v>
      </c>
      <c r="AF262" t="s">
        <v>74</v>
      </c>
      <c r="AG262">
        <v>51</v>
      </c>
      <c r="AH262">
        <v>29</v>
      </c>
      <c r="AI262">
        <v>30</v>
      </c>
      <c r="AJ262">
        <v>4</v>
      </c>
      <c r="AK262">
        <v>22</v>
      </c>
      <c r="AL262" t="s">
        <v>1371</v>
      </c>
      <c r="AM262" t="s">
        <v>849</v>
      </c>
      <c r="AN262" t="s">
        <v>1372</v>
      </c>
      <c r="AO262" t="s">
        <v>2648</v>
      </c>
      <c r="AP262" t="s">
        <v>74</v>
      </c>
      <c r="AQ262" t="s">
        <v>74</v>
      </c>
      <c r="AR262" t="s">
        <v>2649</v>
      </c>
      <c r="AS262" t="s">
        <v>2650</v>
      </c>
      <c r="AT262" t="s">
        <v>4901</v>
      </c>
      <c r="AU262">
        <v>2013</v>
      </c>
      <c r="AV262">
        <v>4</v>
      </c>
      <c r="AW262" t="s">
        <v>74</v>
      </c>
      <c r="AX262" t="s">
        <v>74</v>
      </c>
      <c r="AY262" t="s">
        <v>74</v>
      </c>
      <c r="AZ262" t="s">
        <v>74</v>
      </c>
      <c r="BA262" t="s">
        <v>74</v>
      </c>
      <c r="BB262" t="s">
        <v>74</v>
      </c>
      <c r="BC262" t="s">
        <v>74</v>
      </c>
      <c r="BD262">
        <v>2921</v>
      </c>
      <c r="BE262" t="s">
        <v>5492</v>
      </c>
      <c r="BF262" t="str">
        <f>HYPERLINK("http://dx.doi.org/10.1038/ncomms3921","http://dx.doi.org/10.1038/ncomms3921")</f>
        <v>http://dx.doi.org/10.1038/ncomms3921</v>
      </c>
      <c r="BG262" t="s">
        <v>74</v>
      </c>
      <c r="BH262" t="s">
        <v>74</v>
      </c>
      <c r="BI262">
        <v>7</v>
      </c>
      <c r="BJ262" t="s">
        <v>2652</v>
      </c>
      <c r="BK262" t="s">
        <v>99</v>
      </c>
      <c r="BL262" t="s">
        <v>2653</v>
      </c>
      <c r="BM262" t="s">
        <v>5493</v>
      </c>
      <c r="BN262">
        <v>24346162</v>
      </c>
      <c r="BO262" t="s">
        <v>475</v>
      </c>
      <c r="BP262" t="s">
        <v>74</v>
      </c>
      <c r="BQ262" t="s">
        <v>74</v>
      </c>
      <c r="BR262" t="s">
        <v>103</v>
      </c>
      <c r="BS262" t="s">
        <v>5494</v>
      </c>
      <c r="BT262" t="str">
        <f>HYPERLINK("https%3A%2F%2Fwww.webofscience.com%2Fwos%2Fwoscc%2Ffull-record%2FWOS:000329396500007","View Full Record in Web of Science")</f>
        <v>View Full Record in Web of Science</v>
      </c>
    </row>
    <row r="263" spans="1:72" x14ac:dyDescent="0.15">
      <c r="A263" t="s">
        <v>72</v>
      </c>
      <c r="B263" t="s">
        <v>5495</v>
      </c>
      <c r="C263" t="s">
        <v>74</v>
      </c>
      <c r="D263" t="s">
        <v>74</v>
      </c>
      <c r="E263" t="s">
        <v>74</v>
      </c>
      <c r="F263" t="s">
        <v>5496</v>
      </c>
      <c r="G263" t="s">
        <v>74</v>
      </c>
      <c r="H263" t="s">
        <v>74</v>
      </c>
      <c r="I263" t="s">
        <v>5497</v>
      </c>
      <c r="J263" t="s">
        <v>5498</v>
      </c>
      <c r="K263" t="s">
        <v>74</v>
      </c>
      <c r="L263" t="s">
        <v>74</v>
      </c>
      <c r="M263" t="s">
        <v>78</v>
      </c>
      <c r="N263" t="s">
        <v>79</v>
      </c>
      <c r="O263" t="s">
        <v>74</v>
      </c>
      <c r="P263" t="s">
        <v>74</v>
      </c>
      <c r="Q263" t="s">
        <v>74</v>
      </c>
      <c r="R263" t="s">
        <v>74</v>
      </c>
      <c r="S263" t="s">
        <v>74</v>
      </c>
      <c r="T263" t="s">
        <v>5499</v>
      </c>
      <c r="U263" t="s">
        <v>5500</v>
      </c>
      <c r="V263" t="s">
        <v>5501</v>
      </c>
      <c r="W263" t="s">
        <v>5502</v>
      </c>
      <c r="X263" t="s">
        <v>5503</v>
      </c>
      <c r="Y263" t="s">
        <v>5504</v>
      </c>
      <c r="Z263" t="s">
        <v>5505</v>
      </c>
      <c r="AA263" t="s">
        <v>74</v>
      </c>
      <c r="AB263" t="s">
        <v>74</v>
      </c>
      <c r="AC263" t="s">
        <v>74</v>
      </c>
      <c r="AD263" t="s">
        <v>74</v>
      </c>
      <c r="AE263" t="s">
        <v>74</v>
      </c>
      <c r="AF263" t="s">
        <v>74</v>
      </c>
      <c r="AG263">
        <v>52</v>
      </c>
      <c r="AH263">
        <v>6</v>
      </c>
      <c r="AI263">
        <v>6</v>
      </c>
      <c r="AJ263">
        <v>0</v>
      </c>
      <c r="AK263">
        <v>12</v>
      </c>
      <c r="AL263" t="s">
        <v>5506</v>
      </c>
      <c r="AM263" t="s">
        <v>3519</v>
      </c>
      <c r="AN263" t="s">
        <v>5507</v>
      </c>
      <c r="AO263" t="s">
        <v>5508</v>
      </c>
      <c r="AP263" t="s">
        <v>5509</v>
      </c>
      <c r="AQ263" t="s">
        <v>74</v>
      </c>
      <c r="AR263" t="s">
        <v>5510</v>
      </c>
      <c r="AS263" t="s">
        <v>5511</v>
      </c>
      <c r="AT263" t="s">
        <v>4901</v>
      </c>
      <c r="AU263">
        <v>2013</v>
      </c>
      <c r="AV263">
        <v>48</v>
      </c>
      <c r="AW263">
        <v>3</v>
      </c>
      <c r="AX263" t="s">
        <v>74</v>
      </c>
      <c r="AY263" t="s">
        <v>74</v>
      </c>
      <c r="AZ263" t="s">
        <v>74</v>
      </c>
      <c r="BA263" t="s">
        <v>74</v>
      </c>
      <c r="BB263">
        <v>459</v>
      </c>
      <c r="BC263">
        <v>469</v>
      </c>
      <c r="BD263" t="s">
        <v>74</v>
      </c>
      <c r="BE263" t="s">
        <v>5512</v>
      </c>
      <c r="BF263" t="str">
        <f>HYPERLINK("http://dx.doi.org/10.4067/S0718-19572013000300005","http://dx.doi.org/10.4067/S0718-19572013000300005")</f>
        <v>http://dx.doi.org/10.4067/S0718-19572013000300005</v>
      </c>
      <c r="BG263" t="s">
        <v>74</v>
      </c>
      <c r="BH263" t="s">
        <v>74</v>
      </c>
      <c r="BI263">
        <v>11</v>
      </c>
      <c r="BJ263" t="s">
        <v>2266</v>
      </c>
      <c r="BK263" t="s">
        <v>99</v>
      </c>
      <c r="BL263" t="s">
        <v>2266</v>
      </c>
      <c r="BM263" t="s">
        <v>5513</v>
      </c>
      <c r="BN263" t="s">
        <v>74</v>
      </c>
      <c r="BO263" t="s">
        <v>5514</v>
      </c>
      <c r="BP263" t="s">
        <v>74</v>
      </c>
      <c r="BQ263" t="s">
        <v>74</v>
      </c>
      <c r="BR263" t="s">
        <v>103</v>
      </c>
      <c r="BS263" t="s">
        <v>5515</v>
      </c>
      <c r="BT263" t="str">
        <f>HYPERLINK("https%3A%2F%2Fwww.webofscience.com%2Fwos%2Fwoscc%2Ffull-record%2FWOS:000329434700005","View Full Record in Web of Science")</f>
        <v>View Full Record in Web of Science</v>
      </c>
    </row>
    <row r="264" spans="1:72" x14ac:dyDescent="0.15">
      <c r="A264" t="s">
        <v>72</v>
      </c>
      <c r="B264" t="s">
        <v>5516</v>
      </c>
      <c r="C264" t="s">
        <v>74</v>
      </c>
      <c r="D264" t="s">
        <v>74</v>
      </c>
      <c r="E264" t="s">
        <v>74</v>
      </c>
      <c r="F264" t="s">
        <v>5517</v>
      </c>
      <c r="G264" t="s">
        <v>74</v>
      </c>
      <c r="H264" t="s">
        <v>74</v>
      </c>
      <c r="I264" t="s">
        <v>5518</v>
      </c>
      <c r="J264" t="s">
        <v>5519</v>
      </c>
      <c r="K264" t="s">
        <v>74</v>
      </c>
      <c r="L264" t="s">
        <v>74</v>
      </c>
      <c r="M264" t="s">
        <v>78</v>
      </c>
      <c r="N264" t="s">
        <v>79</v>
      </c>
      <c r="O264" t="s">
        <v>74</v>
      </c>
      <c r="P264" t="s">
        <v>74</v>
      </c>
      <c r="Q264" t="s">
        <v>74</v>
      </c>
      <c r="R264" t="s">
        <v>74</v>
      </c>
      <c r="S264" t="s">
        <v>74</v>
      </c>
      <c r="T264" t="s">
        <v>5520</v>
      </c>
      <c r="U264" t="s">
        <v>5521</v>
      </c>
      <c r="V264" t="s">
        <v>5522</v>
      </c>
      <c r="W264" t="s">
        <v>5523</v>
      </c>
      <c r="X264" t="s">
        <v>5524</v>
      </c>
      <c r="Y264" t="s">
        <v>5525</v>
      </c>
      <c r="Z264" t="s">
        <v>5526</v>
      </c>
      <c r="AA264" t="s">
        <v>5527</v>
      </c>
      <c r="AB264" t="s">
        <v>5528</v>
      </c>
      <c r="AC264" t="s">
        <v>5529</v>
      </c>
      <c r="AD264" t="s">
        <v>5530</v>
      </c>
      <c r="AE264" t="s">
        <v>5531</v>
      </c>
      <c r="AF264" t="s">
        <v>74</v>
      </c>
      <c r="AG264">
        <v>34</v>
      </c>
      <c r="AH264">
        <v>10</v>
      </c>
      <c r="AI264">
        <v>10</v>
      </c>
      <c r="AJ264">
        <v>0</v>
      </c>
      <c r="AK264">
        <v>4</v>
      </c>
      <c r="AL264" t="s">
        <v>5532</v>
      </c>
      <c r="AM264" t="s">
        <v>5533</v>
      </c>
      <c r="AN264" t="s">
        <v>5534</v>
      </c>
      <c r="AO264" t="s">
        <v>5535</v>
      </c>
      <c r="AP264" t="s">
        <v>5536</v>
      </c>
      <c r="AQ264" t="s">
        <v>74</v>
      </c>
      <c r="AR264" t="s">
        <v>5537</v>
      </c>
      <c r="AS264" t="s">
        <v>5538</v>
      </c>
      <c r="AT264" t="s">
        <v>4901</v>
      </c>
      <c r="AU264">
        <v>2013</v>
      </c>
      <c r="AV264">
        <v>33</v>
      </c>
      <c r="AW264">
        <v>12</v>
      </c>
      <c r="AX264" t="s">
        <v>74</v>
      </c>
      <c r="AY264" t="s">
        <v>74</v>
      </c>
      <c r="AZ264" t="s">
        <v>74</v>
      </c>
      <c r="BA264" t="s">
        <v>74</v>
      </c>
      <c r="BB264">
        <v>5445</v>
      </c>
      <c r="BC264">
        <v>5451</v>
      </c>
      <c r="BD264" t="s">
        <v>74</v>
      </c>
      <c r="BE264" t="s">
        <v>74</v>
      </c>
      <c r="BF264" t="s">
        <v>74</v>
      </c>
      <c r="BG264" t="s">
        <v>74</v>
      </c>
      <c r="BH264" t="s">
        <v>74</v>
      </c>
      <c r="BI264">
        <v>7</v>
      </c>
      <c r="BJ264" t="s">
        <v>5539</v>
      </c>
      <c r="BK264" t="s">
        <v>99</v>
      </c>
      <c r="BL264" t="s">
        <v>5539</v>
      </c>
      <c r="BM264" t="s">
        <v>5540</v>
      </c>
      <c r="BN264">
        <v>24324080</v>
      </c>
      <c r="BO264" t="s">
        <v>74</v>
      </c>
      <c r="BP264" t="s">
        <v>74</v>
      </c>
      <c r="BQ264" t="s">
        <v>74</v>
      </c>
      <c r="BR264" t="s">
        <v>103</v>
      </c>
      <c r="BS264" t="s">
        <v>5541</v>
      </c>
      <c r="BT264" t="str">
        <f>HYPERLINK("https%3A%2F%2Fwww.webofscience.com%2Fwos%2Fwoscc%2Ffull-record%2FWOS:000328801900028","View Full Record in Web of Science")</f>
        <v>View Full Record in Web of Science</v>
      </c>
    </row>
    <row r="265" spans="1:72" x14ac:dyDescent="0.15">
      <c r="A265" t="s">
        <v>72</v>
      </c>
      <c r="B265" t="s">
        <v>5542</v>
      </c>
      <c r="C265" t="s">
        <v>74</v>
      </c>
      <c r="D265" t="s">
        <v>74</v>
      </c>
      <c r="E265" t="s">
        <v>74</v>
      </c>
      <c r="F265" t="s">
        <v>5543</v>
      </c>
      <c r="G265" t="s">
        <v>74</v>
      </c>
      <c r="H265" t="s">
        <v>74</v>
      </c>
      <c r="I265" t="s">
        <v>5544</v>
      </c>
      <c r="J265" t="s">
        <v>5545</v>
      </c>
      <c r="K265" t="s">
        <v>74</v>
      </c>
      <c r="L265" t="s">
        <v>74</v>
      </c>
      <c r="M265" t="s">
        <v>78</v>
      </c>
      <c r="N265" t="s">
        <v>79</v>
      </c>
      <c r="O265" t="s">
        <v>74</v>
      </c>
      <c r="P265" t="s">
        <v>74</v>
      </c>
      <c r="Q265" t="s">
        <v>74</v>
      </c>
      <c r="R265" t="s">
        <v>74</v>
      </c>
      <c r="S265" t="s">
        <v>74</v>
      </c>
      <c r="T265" t="s">
        <v>74</v>
      </c>
      <c r="U265" t="s">
        <v>5546</v>
      </c>
      <c r="V265" t="s">
        <v>74</v>
      </c>
      <c r="W265" t="s">
        <v>5547</v>
      </c>
      <c r="X265" t="s">
        <v>5548</v>
      </c>
      <c r="Y265" t="s">
        <v>5549</v>
      </c>
      <c r="Z265" t="s">
        <v>5550</v>
      </c>
      <c r="AA265" t="s">
        <v>5551</v>
      </c>
      <c r="AB265" t="s">
        <v>5552</v>
      </c>
      <c r="AC265" t="s">
        <v>5553</v>
      </c>
      <c r="AD265" t="s">
        <v>5554</v>
      </c>
      <c r="AE265" t="s">
        <v>5555</v>
      </c>
      <c r="AF265" t="s">
        <v>74</v>
      </c>
      <c r="AG265">
        <v>14</v>
      </c>
      <c r="AH265">
        <v>1</v>
      </c>
      <c r="AI265">
        <v>1</v>
      </c>
      <c r="AJ265">
        <v>0</v>
      </c>
      <c r="AK265">
        <v>4</v>
      </c>
      <c r="AL265" t="s">
        <v>920</v>
      </c>
      <c r="AM265" t="s">
        <v>921</v>
      </c>
      <c r="AN265" t="s">
        <v>922</v>
      </c>
      <c r="AO265" t="s">
        <v>5556</v>
      </c>
      <c r="AP265" t="s">
        <v>5557</v>
      </c>
      <c r="AQ265" t="s">
        <v>74</v>
      </c>
      <c r="AR265" t="s">
        <v>5558</v>
      </c>
      <c r="AS265" t="s">
        <v>5559</v>
      </c>
      <c r="AT265" t="s">
        <v>4901</v>
      </c>
      <c r="AU265">
        <v>2013</v>
      </c>
      <c r="AV265">
        <v>453</v>
      </c>
      <c r="AW265">
        <v>2</v>
      </c>
      <c r="AX265" t="s">
        <v>74</v>
      </c>
      <c r="AY265" t="s">
        <v>74</v>
      </c>
      <c r="AZ265" t="s">
        <v>74</v>
      </c>
      <c r="BA265" t="s">
        <v>74</v>
      </c>
      <c r="BB265">
        <v>1240</v>
      </c>
      <c r="BC265">
        <v>1245</v>
      </c>
      <c r="BD265" t="s">
        <v>74</v>
      </c>
      <c r="BE265" t="s">
        <v>5560</v>
      </c>
      <c r="BF265" t="str">
        <f>HYPERLINK("http://dx.doi.org/10.1134/S1028334X13120131","http://dx.doi.org/10.1134/S1028334X13120131")</f>
        <v>http://dx.doi.org/10.1134/S1028334X13120131</v>
      </c>
      <c r="BG265" t="s">
        <v>74</v>
      </c>
      <c r="BH265" t="s">
        <v>74</v>
      </c>
      <c r="BI265">
        <v>6</v>
      </c>
      <c r="BJ265" t="s">
        <v>337</v>
      </c>
      <c r="BK265" t="s">
        <v>99</v>
      </c>
      <c r="BL265" t="s">
        <v>338</v>
      </c>
      <c r="BM265" t="s">
        <v>5561</v>
      </c>
      <c r="BN265" t="s">
        <v>74</v>
      </c>
      <c r="BO265" t="s">
        <v>74</v>
      </c>
      <c r="BP265" t="s">
        <v>74</v>
      </c>
      <c r="BQ265" t="s">
        <v>74</v>
      </c>
      <c r="BR265" t="s">
        <v>103</v>
      </c>
      <c r="BS265" t="s">
        <v>5562</v>
      </c>
      <c r="BT265" t="str">
        <f>HYPERLINK("https%3A%2F%2Fwww.webofscience.com%2Fwos%2Fwoscc%2Ffull-record%2FWOS:000329240800017","View Full Record in Web of Science")</f>
        <v>View Full Record in Web of Science</v>
      </c>
    </row>
    <row r="266" spans="1:72" x14ac:dyDescent="0.15">
      <c r="A266" t="s">
        <v>72</v>
      </c>
      <c r="B266" t="s">
        <v>5563</v>
      </c>
      <c r="C266" t="s">
        <v>74</v>
      </c>
      <c r="D266" t="s">
        <v>74</v>
      </c>
      <c r="E266" t="s">
        <v>74</v>
      </c>
      <c r="F266" t="s">
        <v>5564</v>
      </c>
      <c r="G266" t="s">
        <v>74</v>
      </c>
      <c r="H266" t="s">
        <v>74</v>
      </c>
      <c r="I266" t="s">
        <v>5565</v>
      </c>
      <c r="J266" t="s">
        <v>5566</v>
      </c>
      <c r="K266" t="s">
        <v>74</v>
      </c>
      <c r="L266" t="s">
        <v>74</v>
      </c>
      <c r="M266" t="s">
        <v>78</v>
      </c>
      <c r="N266" t="s">
        <v>79</v>
      </c>
      <c r="O266" t="s">
        <v>74</v>
      </c>
      <c r="P266" t="s">
        <v>74</v>
      </c>
      <c r="Q266" t="s">
        <v>74</v>
      </c>
      <c r="R266" t="s">
        <v>74</v>
      </c>
      <c r="S266" t="s">
        <v>74</v>
      </c>
      <c r="T266" t="s">
        <v>5567</v>
      </c>
      <c r="U266" t="s">
        <v>5568</v>
      </c>
      <c r="V266" t="s">
        <v>5569</v>
      </c>
      <c r="W266" t="s">
        <v>5570</v>
      </c>
      <c r="X266" t="s">
        <v>5571</v>
      </c>
      <c r="Y266" t="s">
        <v>5572</v>
      </c>
      <c r="Z266" t="s">
        <v>5573</v>
      </c>
      <c r="AA266" t="s">
        <v>74</v>
      </c>
      <c r="AB266" t="s">
        <v>5574</v>
      </c>
      <c r="AC266" t="s">
        <v>5575</v>
      </c>
      <c r="AD266" t="s">
        <v>5575</v>
      </c>
      <c r="AE266" t="s">
        <v>5576</v>
      </c>
      <c r="AF266" t="s">
        <v>74</v>
      </c>
      <c r="AG266">
        <v>45</v>
      </c>
      <c r="AH266">
        <v>0</v>
      </c>
      <c r="AI266">
        <v>0</v>
      </c>
      <c r="AJ266">
        <v>1</v>
      </c>
      <c r="AK266">
        <v>5</v>
      </c>
      <c r="AL266" t="s">
        <v>872</v>
      </c>
      <c r="AM266" t="s">
        <v>252</v>
      </c>
      <c r="AN266" t="s">
        <v>873</v>
      </c>
      <c r="AO266" t="s">
        <v>5577</v>
      </c>
      <c r="AP266" t="s">
        <v>5578</v>
      </c>
      <c r="AQ266" t="s">
        <v>74</v>
      </c>
      <c r="AR266" t="s">
        <v>5579</v>
      </c>
      <c r="AS266" t="s">
        <v>5580</v>
      </c>
      <c r="AT266" t="s">
        <v>4901</v>
      </c>
      <c r="AU266">
        <v>2013</v>
      </c>
      <c r="AV266">
        <v>105</v>
      </c>
      <c r="AW266" t="s">
        <v>74</v>
      </c>
      <c r="AX266" t="s">
        <v>74</v>
      </c>
      <c r="AY266" t="s">
        <v>74</v>
      </c>
      <c r="AZ266" t="s">
        <v>74</v>
      </c>
      <c r="BA266" t="s">
        <v>74</v>
      </c>
      <c r="BB266">
        <v>207</v>
      </c>
      <c r="BC266">
        <v>213</v>
      </c>
      <c r="BD266" t="s">
        <v>74</v>
      </c>
      <c r="BE266" t="s">
        <v>5581</v>
      </c>
      <c r="BF266" t="str">
        <f>HYPERLINK("http://dx.doi.org/10.1016/j.jastp.2013.10.008","http://dx.doi.org/10.1016/j.jastp.2013.10.008")</f>
        <v>http://dx.doi.org/10.1016/j.jastp.2013.10.008</v>
      </c>
      <c r="BG266" t="s">
        <v>74</v>
      </c>
      <c r="BH266" t="s">
        <v>74</v>
      </c>
      <c r="BI266">
        <v>7</v>
      </c>
      <c r="BJ266" t="s">
        <v>5582</v>
      </c>
      <c r="BK266" t="s">
        <v>99</v>
      </c>
      <c r="BL266" t="s">
        <v>5582</v>
      </c>
      <c r="BM266" t="s">
        <v>5583</v>
      </c>
      <c r="BN266" t="s">
        <v>74</v>
      </c>
      <c r="BO266" t="s">
        <v>74</v>
      </c>
      <c r="BP266" t="s">
        <v>74</v>
      </c>
      <c r="BQ266" t="s">
        <v>74</v>
      </c>
      <c r="BR266" t="s">
        <v>103</v>
      </c>
      <c r="BS266" t="s">
        <v>5584</v>
      </c>
      <c r="BT266" t="str">
        <f>HYPERLINK("https%3A%2F%2Fwww.webofscience.com%2Fwos%2Fwoscc%2Ffull-record%2FWOS:000328913100023","View Full Record in Web of Science")</f>
        <v>View Full Record in Web of Science</v>
      </c>
    </row>
    <row r="267" spans="1:72" x14ac:dyDescent="0.15">
      <c r="A267" t="s">
        <v>72</v>
      </c>
      <c r="B267" t="s">
        <v>5585</v>
      </c>
      <c r="C267" t="s">
        <v>74</v>
      </c>
      <c r="D267" t="s">
        <v>74</v>
      </c>
      <c r="E267" t="s">
        <v>74</v>
      </c>
      <c r="F267" t="s">
        <v>5586</v>
      </c>
      <c r="G267" t="s">
        <v>74</v>
      </c>
      <c r="H267" t="s">
        <v>74</v>
      </c>
      <c r="I267" t="s">
        <v>5587</v>
      </c>
      <c r="J267" t="s">
        <v>5588</v>
      </c>
      <c r="K267" t="s">
        <v>74</v>
      </c>
      <c r="L267" t="s">
        <v>74</v>
      </c>
      <c r="M267" t="s">
        <v>78</v>
      </c>
      <c r="N267" t="s">
        <v>79</v>
      </c>
      <c r="O267" t="s">
        <v>74</v>
      </c>
      <c r="P267" t="s">
        <v>74</v>
      </c>
      <c r="Q267" t="s">
        <v>74</v>
      </c>
      <c r="R267" t="s">
        <v>74</v>
      </c>
      <c r="S267" t="s">
        <v>74</v>
      </c>
      <c r="T267" t="s">
        <v>5589</v>
      </c>
      <c r="U267" t="s">
        <v>5590</v>
      </c>
      <c r="V267" t="s">
        <v>5591</v>
      </c>
      <c r="W267" t="s">
        <v>5592</v>
      </c>
      <c r="X267" t="s">
        <v>5593</v>
      </c>
      <c r="Y267" t="s">
        <v>5594</v>
      </c>
      <c r="Z267" t="s">
        <v>5595</v>
      </c>
      <c r="AA267" t="s">
        <v>5596</v>
      </c>
      <c r="AB267" t="s">
        <v>5597</v>
      </c>
      <c r="AC267" t="s">
        <v>5598</v>
      </c>
      <c r="AD267" t="s">
        <v>5598</v>
      </c>
      <c r="AE267" t="s">
        <v>5599</v>
      </c>
      <c r="AF267" t="s">
        <v>74</v>
      </c>
      <c r="AG267">
        <v>36</v>
      </c>
      <c r="AH267">
        <v>0</v>
      </c>
      <c r="AI267">
        <v>1</v>
      </c>
      <c r="AJ267">
        <v>1</v>
      </c>
      <c r="AK267">
        <v>8</v>
      </c>
      <c r="AL267" t="s">
        <v>1067</v>
      </c>
      <c r="AM267" t="s">
        <v>1068</v>
      </c>
      <c r="AN267" t="s">
        <v>1163</v>
      </c>
      <c r="AO267" t="s">
        <v>5600</v>
      </c>
      <c r="AP267" t="s">
        <v>5601</v>
      </c>
      <c r="AQ267" t="s">
        <v>74</v>
      </c>
      <c r="AR267" t="s">
        <v>5602</v>
      </c>
      <c r="AS267" t="s">
        <v>5603</v>
      </c>
      <c r="AT267" t="s">
        <v>4901</v>
      </c>
      <c r="AU267">
        <v>2013</v>
      </c>
      <c r="AV267">
        <v>70</v>
      </c>
      <c r="AW267">
        <v>4</v>
      </c>
      <c r="AX267" t="s">
        <v>74</v>
      </c>
      <c r="AY267" t="s">
        <v>74</v>
      </c>
      <c r="AZ267" t="s">
        <v>74</v>
      </c>
      <c r="BA267" t="s">
        <v>74</v>
      </c>
      <c r="BB267">
        <v>297</v>
      </c>
      <c r="BC267">
        <v>316</v>
      </c>
      <c r="BD267" t="s">
        <v>74</v>
      </c>
      <c r="BE267" t="s">
        <v>5604</v>
      </c>
      <c r="BF267" t="str">
        <f>HYPERLINK("http://dx.doi.org/10.1007/s10874-013-9274-5","http://dx.doi.org/10.1007/s10874-013-9274-5")</f>
        <v>http://dx.doi.org/10.1007/s10874-013-9274-5</v>
      </c>
      <c r="BG267" t="s">
        <v>74</v>
      </c>
      <c r="BH267" t="s">
        <v>74</v>
      </c>
      <c r="BI267">
        <v>20</v>
      </c>
      <c r="BJ267" t="s">
        <v>5023</v>
      </c>
      <c r="BK267" t="s">
        <v>99</v>
      </c>
      <c r="BL267" t="s">
        <v>3933</v>
      </c>
      <c r="BM267" t="s">
        <v>5605</v>
      </c>
      <c r="BN267" t="s">
        <v>74</v>
      </c>
      <c r="BO267" t="s">
        <v>74</v>
      </c>
      <c r="BP267" t="s">
        <v>74</v>
      </c>
      <c r="BQ267" t="s">
        <v>74</v>
      </c>
      <c r="BR267" t="s">
        <v>103</v>
      </c>
      <c r="BS267" t="s">
        <v>5606</v>
      </c>
      <c r="BT267" t="str">
        <f>HYPERLINK("https%3A%2F%2Fwww.webofscience.com%2Fwos%2Fwoscc%2Ffull-record%2FWOS:000328856000001","View Full Record in Web of Science")</f>
        <v>View Full Record in Web of Science</v>
      </c>
    </row>
    <row r="268" spans="1:72" x14ac:dyDescent="0.15">
      <c r="A268" t="s">
        <v>72</v>
      </c>
      <c r="B268" t="s">
        <v>5607</v>
      </c>
      <c r="C268" t="s">
        <v>74</v>
      </c>
      <c r="D268" t="s">
        <v>74</v>
      </c>
      <c r="E268" t="s">
        <v>74</v>
      </c>
      <c r="F268" t="s">
        <v>5608</v>
      </c>
      <c r="G268" t="s">
        <v>74</v>
      </c>
      <c r="H268" t="s">
        <v>74</v>
      </c>
      <c r="I268" t="s">
        <v>5609</v>
      </c>
      <c r="J268" t="s">
        <v>5610</v>
      </c>
      <c r="K268" t="s">
        <v>74</v>
      </c>
      <c r="L268" t="s">
        <v>74</v>
      </c>
      <c r="M268" t="s">
        <v>78</v>
      </c>
      <c r="N268" t="s">
        <v>79</v>
      </c>
      <c r="O268" t="s">
        <v>74</v>
      </c>
      <c r="P268" t="s">
        <v>74</v>
      </c>
      <c r="Q268" t="s">
        <v>74</v>
      </c>
      <c r="R268" t="s">
        <v>74</v>
      </c>
      <c r="S268" t="s">
        <v>74</v>
      </c>
      <c r="T268" t="s">
        <v>5611</v>
      </c>
      <c r="U268" t="s">
        <v>5612</v>
      </c>
      <c r="V268" t="s">
        <v>5613</v>
      </c>
      <c r="W268" t="s">
        <v>5614</v>
      </c>
      <c r="X268" t="s">
        <v>5615</v>
      </c>
      <c r="Y268" t="s">
        <v>5616</v>
      </c>
      <c r="Z268" t="s">
        <v>5617</v>
      </c>
      <c r="AA268" t="s">
        <v>5618</v>
      </c>
      <c r="AB268" t="s">
        <v>5619</v>
      </c>
      <c r="AC268" t="s">
        <v>5620</v>
      </c>
      <c r="AD268" t="s">
        <v>5621</v>
      </c>
      <c r="AE268" t="s">
        <v>5622</v>
      </c>
      <c r="AF268" t="s">
        <v>74</v>
      </c>
      <c r="AG268">
        <v>107</v>
      </c>
      <c r="AH268">
        <v>7</v>
      </c>
      <c r="AI268">
        <v>7</v>
      </c>
      <c r="AJ268">
        <v>0</v>
      </c>
      <c r="AK268">
        <v>23</v>
      </c>
      <c r="AL268" t="s">
        <v>304</v>
      </c>
      <c r="AM268" t="s">
        <v>305</v>
      </c>
      <c r="AN268" t="s">
        <v>306</v>
      </c>
      <c r="AO268" t="s">
        <v>5623</v>
      </c>
      <c r="AP268" t="s">
        <v>5624</v>
      </c>
      <c r="AQ268" t="s">
        <v>74</v>
      </c>
      <c r="AR268" t="s">
        <v>5625</v>
      </c>
      <c r="AS268" t="s">
        <v>5626</v>
      </c>
      <c r="AT268" t="s">
        <v>4901</v>
      </c>
      <c r="AU268">
        <v>2013</v>
      </c>
      <c r="AV268">
        <v>128</v>
      </c>
      <c r="AW268" t="s">
        <v>74</v>
      </c>
      <c r="AX268" t="s">
        <v>74</v>
      </c>
      <c r="AY268" t="s">
        <v>74</v>
      </c>
      <c r="AZ268" t="s">
        <v>74</v>
      </c>
      <c r="BA268" t="s">
        <v>74</v>
      </c>
      <c r="BB268">
        <v>123</v>
      </c>
      <c r="BC268">
        <v>137</v>
      </c>
      <c r="BD268" t="s">
        <v>74</v>
      </c>
      <c r="BE268" t="s">
        <v>5627</v>
      </c>
      <c r="BF268" t="str">
        <f>HYPERLINK("http://dx.doi.org/10.1016/j.jmarsys.2013.04.011","http://dx.doi.org/10.1016/j.jmarsys.2013.04.011")</f>
        <v>http://dx.doi.org/10.1016/j.jmarsys.2013.04.011</v>
      </c>
      <c r="BG268" t="s">
        <v>74</v>
      </c>
      <c r="BH268" t="s">
        <v>74</v>
      </c>
      <c r="BI268">
        <v>15</v>
      </c>
      <c r="BJ268" t="s">
        <v>5628</v>
      </c>
      <c r="BK268" t="s">
        <v>99</v>
      </c>
      <c r="BL268" t="s">
        <v>5629</v>
      </c>
      <c r="BM268" t="s">
        <v>5630</v>
      </c>
      <c r="BN268" t="s">
        <v>74</v>
      </c>
      <c r="BO268" t="s">
        <v>74</v>
      </c>
      <c r="BP268" t="s">
        <v>74</v>
      </c>
      <c r="BQ268" t="s">
        <v>74</v>
      </c>
      <c r="BR268" t="s">
        <v>103</v>
      </c>
      <c r="BS268" t="s">
        <v>5631</v>
      </c>
      <c r="BT268" t="str">
        <f>HYPERLINK("https%3A%2F%2Fwww.webofscience.com%2Fwos%2Fwoscc%2Ffull-record%2FWOS:000329010900011","View Full Record in Web of Science")</f>
        <v>View Full Record in Web of Science</v>
      </c>
    </row>
    <row r="269" spans="1:72" x14ac:dyDescent="0.15">
      <c r="A269" t="s">
        <v>72</v>
      </c>
      <c r="B269" t="s">
        <v>5632</v>
      </c>
      <c r="C269" t="s">
        <v>74</v>
      </c>
      <c r="D269" t="s">
        <v>74</v>
      </c>
      <c r="E269" t="s">
        <v>74</v>
      </c>
      <c r="F269" t="s">
        <v>5633</v>
      </c>
      <c r="G269" t="s">
        <v>74</v>
      </c>
      <c r="H269" t="s">
        <v>74</v>
      </c>
      <c r="I269" t="s">
        <v>5634</v>
      </c>
      <c r="J269" t="s">
        <v>5635</v>
      </c>
      <c r="K269" t="s">
        <v>74</v>
      </c>
      <c r="L269" t="s">
        <v>74</v>
      </c>
      <c r="M269" t="s">
        <v>78</v>
      </c>
      <c r="N269" t="s">
        <v>79</v>
      </c>
      <c r="O269" t="s">
        <v>74</v>
      </c>
      <c r="P269" t="s">
        <v>74</v>
      </c>
      <c r="Q269" t="s">
        <v>74</v>
      </c>
      <c r="R269" t="s">
        <v>74</v>
      </c>
      <c r="S269" t="s">
        <v>74</v>
      </c>
      <c r="T269" t="s">
        <v>5636</v>
      </c>
      <c r="U269" t="s">
        <v>5637</v>
      </c>
      <c r="V269" t="s">
        <v>5638</v>
      </c>
      <c r="W269" t="s">
        <v>5639</v>
      </c>
      <c r="X269" t="s">
        <v>799</v>
      </c>
      <c r="Y269" t="s">
        <v>5640</v>
      </c>
      <c r="Z269" t="s">
        <v>5641</v>
      </c>
      <c r="AA269" t="s">
        <v>5642</v>
      </c>
      <c r="AB269" t="s">
        <v>5643</v>
      </c>
      <c r="AC269" t="s">
        <v>5644</v>
      </c>
      <c r="AD269" t="s">
        <v>5645</v>
      </c>
      <c r="AE269" t="s">
        <v>5646</v>
      </c>
      <c r="AF269" t="s">
        <v>74</v>
      </c>
      <c r="AG269">
        <v>42</v>
      </c>
      <c r="AH269">
        <v>17</v>
      </c>
      <c r="AI269">
        <v>17</v>
      </c>
      <c r="AJ269">
        <v>0</v>
      </c>
      <c r="AK269">
        <v>21</v>
      </c>
      <c r="AL269" t="s">
        <v>1748</v>
      </c>
      <c r="AM269" t="s">
        <v>921</v>
      </c>
      <c r="AN269" t="s">
        <v>3232</v>
      </c>
      <c r="AO269" t="s">
        <v>5647</v>
      </c>
      <c r="AP269" t="s">
        <v>5648</v>
      </c>
      <c r="AQ269" t="s">
        <v>74</v>
      </c>
      <c r="AR269" t="s">
        <v>5649</v>
      </c>
      <c r="AS269" t="s">
        <v>5650</v>
      </c>
      <c r="AT269" t="s">
        <v>4901</v>
      </c>
      <c r="AU269">
        <v>2013</v>
      </c>
      <c r="AV269">
        <v>25</v>
      </c>
      <c r="AW269">
        <v>6</v>
      </c>
      <c r="AX269" t="s">
        <v>74</v>
      </c>
      <c r="AY269" t="s">
        <v>74</v>
      </c>
      <c r="AZ269" t="s">
        <v>74</v>
      </c>
      <c r="BA269" t="s">
        <v>74</v>
      </c>
      <c r="BB269">
        <v>731</v>
      </c>
      <c r="BC269">
        <v>740</v>
      </c>
      <c r="BD269" t="s">
        <v>74</v>
      </c>
      <c r="BE269" t="s">
        <v>5651</v>
      </c>
      <c r="BF269" t="str">
        <f>HYPERLINK("http://dx.doi.org/10.1017/S0954102013000059","http://dx.doi.org/10.1017/S0954102013000059")</f>
        <v>http://dx.doi.org/10.1017/S0954102013000059</v>
      </c>
      <c r="BG269" t="s">
        <v>74</v>
      </c>
      <c r="BH269" t="s">
        <v>74</v>
      </c>
      <c r="BI269">
        <v>10</v>
      </c>
      <c r="BJ269" t="s">
        <v>5652</v>
      </c>
      <c r="BK269" t="s">
        <v>99</v>
      </c>
      <c r="BL269" t="s">
        <v>5653</v>
      </c>
      <c r="BM269" t="s">
        <v>5654</v>
      </c>
      <c r="BN269" t="s">
        <v>74</v>
      </c>
      <c r="BO269" t="s">
        <v>1145</v>
      </c>
      <c r="BP269" t="s">
        <v>74</v>
      </c>
      <c r="BQ269" t="s">
        <v>74</v>
      </c>
      <c r="BR269" t="s">
        <v>103</v>
      </c>
      <c r="BS269" t="s">
        <v>5655</v>
      </c>
      <c r="BT269" t="str">
        <f>HYPERLINK("https%3A%2F%2Fwww.webofscience.com%2Fwos%2Fwoscc%2Ffull-record%2FWOS:000328547200002","View Full Record in Web of Science")</f>
        <v>View Full Record in Web of Science</v>
      </c>
    </row>
    <row r="270" spans="1:72" x14ac:dyDescent="0.15">
      <c r="A270" t="s">
        <v>72</v>
      </c>
      <c r="B270" t="s">
        <v>5656</v>
      </c>
      <c r="C270" t="s">
        <v>74</v>
      </c>
      <c r="D270" t="s">
        <v>74</v>
      </c>
      <c r="E270" t="s">
        <v>74</v>
      </c>
      <c r="F270" t="s">
        <v>5657</v>
      </c>
      <c r="G270" t="s">
        <v>74</v>
      </c>
      <c r="H270" t="s">
        <v>74</v>
      </c>
      <c r="I270" t="s">
        <v>5658</v>
      </c>
      <c r="J270" t="s">
        <v>5635</v>
      </c>
      <c r="K270" t="s">
        <v>74</v>
      </c>
      <c r="L270" t="s">
        <v>74</v>
      </c>
      <c r="M270" t="s">
        <v>78</v>
      </c>
      <c r="N270" t="s">
        <v>79</v>
      </c>
      <c r="O270" t="s">
        <v>74</v>
      </c>
      <c r="P270" t="s">
        <v>74</v>
      </c>
      <c r="Q270" t="s">
        <v>74</v>
      </c>
      <c r="R270" t="s">
        <v>74</v>
      </c>
      <c r="S270" t="s">
        <v>74</v>
      </c>
      <c r="T270" t="s">
        <v>5659</v>
      </c>
      <c r="U270" t="s">
        <v>5660</v>
      </c>
      <c r="V270" t="s">
        <v>5661</v>
      </c>
      <c r="W270" t="s">
        <v>5662</v>
      </c>
      <c r="X270" t="s">
        <v>5663</v>
      </c>
      <c r="Y270" t="s">
        <v>5664</v>
      </c>
      <c r="Z270" t="s">
        <v>5177</v>
      </c>
      <c r="AA270" t="s">
        <v>5665</v>
      </c>
      <c r="AB270" t="s">
        <v>74</v>
      </c>
      <c r="AC270" t="s">
        <v>5666</v>
      </c>
      <c r="AD270" t="s">
        <v>5667</v>
      </c>
      <c r="AE270" t="s">
        <v>5668</v>
      </c>
      <c r="AF270" t="s">
        <v>74</v>
      </c>
      <c r="AG270">
        <v>40</v>
      </c>
      <c r="AH270">
        <v>15</v>
      </c>
      <c r="AI270">
        <v>27</v>
      </c>
      <c r="AJ270">
        <v>9</v>
      </c>
      <c r="AK270">
        <v>103</v>
      </c>
      <c r="AL270" t="s">
        <v>1748</v>
      </c>
      <c r="AM270" t="s">
        <v>921</v>
      </c>
      <c r="AN270" t="s">
        <v>3232</v>
      </c>
      <c r="AO270" t="s">
        <v>5647</v>
      </c>
      <c r="AP270" t="s">
        <v>5648</v>
      </c>
      <c r="AQ270" t="s">
        <v>74</v>
      </c>
      <c r="AR270" t="s">
        <v>5649</v>
      </c>
      <c r="AS270" t="s">
        <v>5650</v>
      </c>
      <c r="AT270" t="s">
        <v>4901</v>
      </c>
      <c r="AU270">
        <v>2013</v>
      </c>
      <c r="AV270">
        <v>25</v>
      </c>
      <c r="AW270">
        <v>6</v>
      </c>
      <c r="AX270" t="s">
        <v>74</v>
      </c>
      <c r="AY270" t="s">
        <v>74</v>
      </c>
      <c r="AZ270" t="s">
        <v>74</v>
      </c>
      <c r="BA270" t="s">
        <v>74</v>
      </c>
      <c r="BB270">
        <v>752</v>
      </c>
      <c r="BC270">
        <v>762</v>
      </c>
      <c r="BD270" t="s">
        <v>74</v>
      </c>
      <c r="BE270" t="s">
        <v>5669</v>
      </c>
      <c r="BF270" t="str">
        <f>HYPERLINK("http://dx.doi.org/10.1017/S0954102013000242","http://dx.doi.org/10.1017/S0954102013000242")</f>
        <v>http://dx.doi.org/10.1017/S0954102013000242</v>
      </c>
      <c r="BG270" t="s">
        <v>74</v>
      </c>
      <c r="BH270" t="s">
        <v>74</v>
      </c>
      <c r="BI270">
        <v>11</v>
      </c>
      <c r="BJ270" t="s">
        <v>5652</v>
      </c>
      <c r="BK270" t="s">
        <v>99</v>
      </c>
      <c r="BL270" t="s">
        <v>5653</v>
      </c>
      <c r="BM270" t="s">
        <v>5654</v>
      </c>
      <c r="BN270" t="s">
        <v>74</v>
      </c>
      <c r="BO270" t="s">
        <v>74</v>
      </c>
      <c r="BP270" t="s">
        <v>74</v>
      </c>
      <c r="BQ270" t="s">
        <v>74</v>
      </c>
      <c r="BR270" t="s">
        <v>103</v>
      </c>
      <c r="BS270" t="s">
        <v>5670</v>
      </c>
      <c r="BT270" t="str">
        <f>HYPERLINK("https%3A%2F%2Fwww.webofscience.com%2Fwos%2Fwoscc%2Ffull-record%2FWOS:000328547200004","View Full Record in Web of Science")</f>
        <v>View Full Record in Web of Science</v>
      </c>
    </row>
    <row r="271" spans="1:72" x14ac:dyDescent="0.15">
      <c r="A271" t="s">
        <v>72</v>
      </c>
      <c r="B271" t="s">
        <v>5671</v>
      </c>
      <c r="C271" t="s">
        <v>74</v>
      </c>
      <c r="D271" t="s">
        <v>74</v>
      </c>
      <c r="E271" t="s">
        <v>74</v>
      </c>
      <c r="F271" t="s">
        <v>5672</v>
      </c>
      <c r="G271" t="s">
        <v>74</v>
      </c>
      <c r="H271" t="s">
        <v>74</v>
      </c>
      <c r="I271" t="s">
        <v>5673</v>
      </c>
      <c r="J271" t="s">
        <v>5635</v>
      </c>
      <c r="K271" t="s">
        <v>74</v>
      </c>
      <c r="L271" t="s">
        <v>74</v>
      </c>
      <c r="M271" t="s">
        <v>78</v>
      </c>
      <c r="N271" t="s">
        <v>79</v>
      </c>
      <c r="O271" t="s">
        <v>74</v>
      </c>
      <c r="P271" t="s">
        <v>74</v>
      </c>
      <c r="Q271" t="s">
        <v>74</v>
      </c>
      <c r="R271" t="s">
        <v>74</v>
      </c>
      <c r="S271" t="s">
        <v>74</v>
      </c>
      <c r="T271" t="s">
        <v>5674</v>
      </c>
      <c r="U271" t="s">
        <v>5675</v>
      </c>
      <c r="V271" t="s">
        <v>5676</v>
      </c>
      <c r="W271" t="s">
        <v>5677</v>
      </c>
      <c r="X271" t="s">
        <v>5678</v>
      </c>
      <c r="Y271" t="s">
        <v>5679</v>
      </c>
      <c r="Z271" t="s">
        <v>5680</v>
      </c>
      <c r="AA271" t="s">
        <v>74</v>
      </c>
      <c r="AB271" t="s">
        <v>74</v>
      </c>
      <c r="AC271" t="s">
        <v>5681</v>
      </c>
      <c r="AD271" t="s">
        <v>5681</v>
      </c>
      <c r="AE271" t="s">
        <v>5682</v>
      </c>
      <c r="AF271" t="s">
        <v>74</v>
      </c>
      <c r="AG271">
        <v>23</v>
      </c>
      <c r="AH271">
        <v>13</v>
      </c>
      <c r="AI271">
        <v>16</v>
      </c>
      <c r="AJ271">
        <v>1</v>
      </c>
      <c r="AK271">
        <v>31</v>
      </c>
      <c r="AL271" t="s">
        <v>1748</v>
      </c>
      <c r="AM271" t="s">
        <v>921</v>
      </c>
      <c r="AN271" t="s">
        <v>3232</v>
      </c>
      <c r="AO271" t="s">
        <v>5647</v>
      </c>
      <c r="AP271" t="s">
        <v>5648</v>
      </c>
      <c r="AQ271" t="s">
        <v>74</v>
      </c>
      <c r="AR271" t="s">
        <v>5649</v>
      </c>
      <c r="AS271" t="s">
        <v>5650</v>
      </c>
      <c r="AT271" t="s">
        <v>4901</v>
      </c>
      <c r="AU271">
        <v>2013</v>
      </c>
      <c r="AV271">
        <v>25</v>
      </c>
      <c r="AW271">
        <v>6</v>
      </c>
      <c r="AX271" t="s">
        <v>74</v>
      </c>
      <c r="AY271" t="s">
        <v>74</v>
      </c>
      <c r="AZ271" t="s">
        <v>74</v>
      </c>
      <c r="BA271" t="s">
        <v>74</v>
      </c>
      <c r="BB271">
        <v>763</v>
      </c>
      <c r="BC271">
        <v>766</v>
      </c>
      <c r="BD271" t="s">
        <v>74</v>
      </c>
      <c r="BE271" t="s">
        <v>5683</v>
      </c>
      <c r="BF271" t="str">
        <f>HYPERLINK("http://dx.doi.org/10.1017/S0954102013000126","http://dx.doi.org/10.1017/S0954102013000126")</f>
        <v>http://dx.doi.org/10.1017/S0954102013000126</v>
      </c>
      <c r="BG271" t="s">
        <v>74</v>
      </c>
      <c r="BH271" t="s">
        <v>74</v>
      </c>
      <c r="BI271">
        <v>4</v>
      </c>
      <c r="BJ271" t="s">
        <v>5652</v>
      </c>
      <c r="BK271" t="s">
        <v>99</v>
      </c>
      <c r="BL271" t="s">
        <v>5653</v>
      </c>
      <c r="BM271" t="s">
        <v>5654</v>
      </c>
      <c r="BN271" t="s">
        <v>74</v>
      </c>
      <c r="BO271" t="s">
        <v>74</v>
      </c>
      <c r="BP271" t="s">
        <v>74</v>
      </c>
      <c r="BQ271" t="s">
        <v>74</v>
      </c>
      <c r="BR271" t="s">
        <v>103</v>
      </c>
      <c r="BS271" t="s">
        <v>5684</v>
      </c>
      <c r="BT271" t="str">
        <f>HYPERLINK("https%3A%2F%2Fwww.webofscience.com%2Fwos%2Fwoscc%2Ffull-record%2FWOS:000328547200005","View Full Record in Web of Science")</f>
        <v>View Full Record in Web of Science</v>
      </c>
    </row>
    <row r="272" spans="1:72" x14ac:dyDescent="0.15">
      <c r="A272" t="s">
        <v>72</v>
      </c>
      <c r="B272" t="s">
        <v>5685</v>
      </c>
      <c r="C272" t="s">
        <v>74</v>
      </c>
      <c r="D272" t="s">
        <v>74</v>
      </c>
      <c r="E272" t="s">
        <v>74</v>
      </c>
      <c r="F272" t="s">
        <v>5686</v>
      </c>
      <c r="G272" t="s">
        <v>74</v>
      </c>
      <c r="H272" t="s">
        <v>74</v>
      </c>
      <c r="I272" t="s">
        <v>5687</v>
      </c>
      <c r="J272" t="s">
        <v>5635</v>
      </c>
      <c r="K272" t="s">
        <v>74</v>
      </c>
      <c r="L272" t="s">
        <v>74</v>
      </c>
      <c r="M272" t="s">
        <v>78</v>
      </c>
      <c r="N272" t="s">
        <v>79</v>
      </c>
      <c r="O272" t="s">
        <v>74</v>
      </c>
      <c r="P272" t="s">
        <v>74</v>
      </c>
      <c r="Q272" t="s">
        <v>74</v>
      </c>
      <c r="R272" t="s">
        <v>74</v>
      </c>
      <c r="S272" t="s">
        <v>74</v>
      </c>
      <c r="T272" t="s">
        <v>5688</v>
      </c>
      <c r="U272" t="s">
        <v>5689</v>
      </c>
      <c r="V272" t="s">
        <v>5690</v>
      </c>
      <c r="W272" t="s">
        <v>5691</v>
      </c>
      <c r="X272" t="s">
        <v>5692</v>
      </c>
      <c r="Y272" t="s">
        <v>5693</v>
      </c>
      <c r="Z272" t="s">
        <v>5694</v>
      </c>
      <c r="AA272" t="s">
        <v>74</v>
      </c>
      <c r="AB272" t="s">
        <v>74</v>
      </c>
      <c r="AC272" t="s">
        <v>5695</v>
      </c>
      <c r="AD272" t="s">
        <v>5695</v>
      </c>
      <c r="AE272" t="s">
        <v>5696</v>
      </c>
      <c r="AF272" t="s">
        <v>74</v>
      </c>
      <c r="AG272">
        <v>38</v>
      </c>
      <c r="AH272">
        <v>2</v>
      </c>
      <c r="AI272">
        <v>2</v>
      </c>
      <c r="AJ272">
        <v>0</v>
      </c>
      <c r="AK272">
        <v>7</v>
      </c>
      <c r="AL272" t="s">
        <v>1748</v>
      </c>
      <c r="AM272" t="s">
        <v>921</v>
      </c>
      <c r="AN272" t="s">
        <v>3232</v>
      </c>
      <c r="AO272" t="s">
        <v>5647</v>
      </c>
      <c r="AP272" t="s">
        <v>5648</v>
      </c>
      <c r="AQ272" t="s">
        <v>74</v>
      </c>
      <c r="AR272" t="s">
        <v>5649</v>
      </c>
      <c r="AS272" t="s">
        <v>5650</v>
      </c>
      <c r="AT272" t="s">
        <v>4901</v>
      </c>
      <c r="AU272">
        <v>2013</v>
      </c>
      <c r="AV272">
        <v>25</v>
      </c>
      <c r="AW272">
        <v>6</v>
      </c>
      <c r="AX272" t="s">
        <v>74</v>
      </c>
      <c r="AY272" t="s">
        <v>74</v>
      </c>
      <c r="AZ272" t="s">
        <v>74</v>
      </c>
      <c r="BA272" t="s">
        <v>74</v>
      </c>
      <c r="BB272">
        <v>767</v>
      </c>
      <c r="BC272">
        <v>790</v>
      </c>
      <c r="BD272" t="s">
        <v>74</v>
      </c>
      <c r="BE272" t="s">
        <v>5697</v>
      </c>
      <c r="BF272" t="str">
        <f>HYPERLINK("http://dx.doi.org/10.1017/S0954102013000205","http://dx.doi.org/10.1017/S0954102013000205")</f>
        <v>http://dx.doi.org/10.1017/S0954102013000205</v>
      </c>
      <c r="BG272" t="s">
        <v>74</v>
      </c>
      <c r="BH272" t="s">
        <v>74</v>
      </c>
      <c r="BI272">
        <v>24</v>
      </c>
      <c r="BJ272" t="s">
        <v>5652</v>
      </c>
      <c r="BK272" t="s">
        <v>99</v>
      </c>
      <c r="BL272" t="s">
        <v>5653</v>
      </c>
      <c r="BM272" t="s">
        <v>5654</v>
      </c>
      <c r="BN272" t="s">
        <v>74</v>
      </c>
      <c r="BO272" t="s">
        <v>74</v>
      </c>
      <c r="BP272" t="s">
        <v>74</v>
      </c>
      <c r="BQ272" t="s">
        <v>74</v>
      </c>
      <c r="BR272" t="s">
        <v>103</v>
      </c>
      <c r="BS272" t="s">
        <v>5698</v>
      </c>
      <c r="BT272" t="str">
        <f>HYPERLINK("https%3A%2F%2Fwww.webofscience.com%2Fwos%2Fwoscc%2Ffull-record%2FWOS:000328547200006","View Full Record in Web of Science")</f>
        <v>View Full Record in Web of Science</v>
      </c>
    </row>
    <row r="273" spans="1:72" x14ac:dyDescent="0.15">
      <c r="A273" t="s">
        <v>72</v>
      </c>
      <c r="B273" t="s">
        <v>5699</v>
      </c>
      <c r="C273" t="s">
        <v>74</v>
      </c>
      <c r="D273" t="s">
        <v>74</v>
      </c>
      <c r="E273" t="s">
        <v>74</v>
      </c>
      <c r="F273" t="s">
        <v>5700</v>
      </c>
      <c r="G273" t="s">
        <v>74</v>
      </c>
      <c r="H273" t="s">
        <v>74</v>
      </c>
      <c r="I273" t="s">
        <v>5701</v>
      </c>
      <c r="J273" t="s">
        <v>5635</v>
      </c>
      <c r="K273" t="s">
        <v>74</v>
      </c>
      <c r="L273" t="s">
        <v>74</v>
      </c>
      <c r="M273" t="s">
        <v>78</v>
      </c>
      <c r="N273" t="s">
        <v>79</v>
      </c>
      <c r="O273" t="s">
        <v>74</v>
      </c>
      <c r="P273" t="s">
        <v>74</v>
      </c>
      <c r="Q273" t="s">
        <v>74</v>
      </c>
      <c r="R273" t="s">
        <v>74</v>
      </c>
      <c r="S273" t="s">
        <v>74</v>
      </c>
      <c r="T273" t="s">
        <v>5702</v>
      </c>
      <c r="U273" t="s">
        <v>5703</v>
      </c>
      <c r="V273" t="s">
        <v>5704</v>
      </c>
      <c r="W273" t="s">
        <v>5705</v>
      </c>
      <c r="X273" t="s">
        <v>5706</v>
      </c>
      <c r="Y273" t="s">
        <v>5707</v>
      </c>
      <c r="Z273" t="s">
        <v>5708</v>
      </c>
      <c r="AA273" t="s">
        <v>5709</v>
      </c>
      <c r="AB273" t="s">
        <v>5710</v>
      </c>
      <c r="AC273" t="s">
        <v>5711</v>
      </c>
      <c r="AD273" t="s">
        <v>5712</v>
      </c>
      <c r="AE273" t="s">
        <v>5713</v>
      </c>
      <c r="AF273" t="s">
        <v>74</v>
      </c>
      <c r="AG273">
        <v>38</v>
      </c>
      <c r="AH273">
        <v>11</v>
      </c>
      <c r="AI273">
        <v>11</v>
      </c>
      <c r="AJ273">
        <v>0</v>
      </c>
      <c r="AK273">
        <v>12</v>
      </c>
      <c r="AL273" t="s">
        <v>1748</v>
      </c>
      <c r="AM273" t="s">
        <v>921</v>
      </c>
      <c r="AN273" t="s">
        <v>3232</v>
      </c>
      <c r="AO273" t="s">
        <v>5647</v>
      </c>
      <c r="AP273" t="s">
        <v>5648</v>
      </c>
      <c r="AQ273" t="s">
        <v>74</v>
      </c>
      <c r="AR273" t="s">
        <v>5649</v>
      </c>
      <c r="AS273" t="s">
        <v>5650</v>
      </c>
      <c r="AT273" t="s">
        <v>4901</v>
      </c>
      <c r="AU273">
        <v>2013</v>
      </c>
      <c r="AV273">
        <v>25</v>
      </c>
      <c r="AW273">
        <v>6</v>
      </c>
      <c r="AX273" t="s">
        <v>74</v>
      </c>
      <c r="AY273" t="s">
        <v>74</v>
      </c>
      <c r="AZ273" t="s">
        <v>74</v>
      </c>
      <c r="BA273" t="s">
        <v>74</v>
      </c>
      <c r="BB273">
        <v>791</v>
      </c>
      <c r="BC273">
        <v>803</v>
      </c>
      <c r="BD273" t="s">
        <v>74</v>
      </c>
      <c r="BE273" t="s">
        <v>5714</v>
      </c>
      <c r="BF273" t="str">
        <f>HYPERLINK("http://dx.doi.org/10.1017/S0954102013000175","http://dx.doi.org/10.1017/S0954102013000175")</f>
        <v>http://dx.doi.org/10.1017/S0954102013000175</v>
      </c>
      <c r="BG273" t="s">
        <v>74</v>
      </c>
      <c r="BH273" t="s">
        <v>74</v>
      </c>
      <c r="BI273">
        <v>13</v>
      </c>
      <c r="BJ273" t="s">
        <v>5652</v>
      </c>
      <c r="BK273" t="s">
        <v>99</v>
      </c>
      <c r="BL273" t="s">
        <v>5653</v>
      </c>
      <c r="BM273" t="s">
        <v>5654</v>
      </c>
      <c r="BN273" t="s">
        <v>74</v>
      </c>
      <c r="BO273" t="s">
        <v>831</v>
      </c>
      <c r="BP273" t="s">
        <v>74</v>
      </c>
      <c r="BQ273" t="s">
        <v>74</v>
      </c>
      <c r="BR273" t="s">
        <v>103</v>
      </c>
      <c r="BS273" t="s">
        <v>5715</v>
      </c>
      <c r="BT273" t="str">
        <f>HYPERLINK("https%3A%2F%2Fwww.webofscience.com%2Fwos%2Fwoscc%2Ffull-record%2FWOS:000328547200007","View Full Record in Web of Science")</f>
        <v>View Full Record in Web of Science</v>
      </c>
    </row>
    <row r="274" spans="1:72" x14ac:dyDescent="0.15">
      <c r="A274" t="s">
        <v>72</v>
      </c>
      <c r="B274" t="s">
        <v>5716</v>
      </c>
      <c r="C274" t="s">
        <v>74</v>
      </c>
      <c r="D274" t="s">
        <v>74</v>
      </c>
      <c r="E274" t="s">
        <v>74</v>
      </c>
      <c r="F274" t="s">
        <v>5717</v>
      </c>
      <c r="G274" t="s">
        <v>74</v>
      </c>
      <c r="H274" t="s">
        <v>74</v>
      </c>
      <c r="I274" t="s">
        <v>5718</v>
      </c>
      <c r="J274" t="s">
        <v>5635</v>
      </c>
      <c r="K274" t="s">
        <v>74</v>
      </c>
      <c r="L274" t="s">
        <v>74</v>
      </c>
      <c r="M274" t="s">
        <v>78</v>
      </c>
      <c r="N274" t="s">
        <v>79</v>
      </c>
      <c r="O274" t="s">
        <v>74</v>
      </c>
      <c r="P274" t="s">
        <v>74</v>
      </c>
      <c r="Q274" t="s">
        <v>74</v>
      </c>
      <c r="R274" t="s">
        <v>74</v>
      </c>
      <c r="S274" t="s">
        <v>74</v>
      </c>
      <c r="T274" t="s">
        <v>5719</v>
      </c>
      <c r="U274" t="s">
        <v>5720</v>
      </c>
      <c r="V274" t="s">
        <v>5721</v>
      </c>
      <c r="W274" t="s">
        <v>5722</v>
      </c>
      <c r="X274" t="s">
        <v>74</v>
      </c>
      <c r="Y274" t="s">
        <v>5723</v>
      </c>
      <c r="Z274" t="s">
        <v>5724</v>
      </c>
      <c r="AA274" t="s">
        <v>74</v>
      </c>
      <c r="AB274" t="s">
        <v>74</v>
      </c>
      <c r="AC274" t="s">
        <v>5725</v>
      </c>
      <c r="AD274" t="s">
        <v>5725</v>
      </c>
      <c r="AE274" t="s">
        <v>5726</v>
      </c>
      <c r="AF274" t="s">
        <v>74</v>
      </c>
      <c r="AG274">
        <v>42</v>
      </c>
      <c r="AH274">
        <v>9</v>
      </c>
      <c r="AI274">
        <v>10</v>
      </c>
      <c r="AJ274">
        <v>0</v>
      </c>
      <c r="AK274">
        <v>22</v>
      </c>
      <c r="AL274" t="s">
        <v>1748</v>
      </c>
      <c r="AM274" t="s">
        <v>921</v>
      </c>
      <c r="AN274" t="s">
        <v>3232</v>
      </c>
      <c r="AO274" t="s">
        <v>5647</v>
      </c>
      <c r="AP274" t="s">
        <v>5648</v>
      </c>
      <c r="AQ274" t="s">
        <v>74</v>
      </c>
      <c r="AR274" t="s">
        <v>5649</v>
      </c>
      <c r="AS274" t="s">
        <v>5650</v>
      </c>
      <c r="AT274" t="s">
        <v>4901</v>
      </c>
      <c r="AU274">
        <v>2013</v>
      </c>
      <c r="AV274">
        <v>25</v>
      </c>
      <c r="AW274">
        <v>6</v>
      </c>
      <c r="AX274" t="s">
        <v>74</v>
      </c>
      <c r="AY274" t="s">
        <v>74</v>
      </c>
      <c r="AZ274" t="s">
        <v>74</v>
      </c>
      <c r="BA274" t="s">
        <v>74</v>
      </c>
      <c r="BB274">
        <v>804</v>
      </c>
      <c r="BC274">
        <v>820</v>
      </c>
      <c r="BD274" t="s">
        <v>74</v>
      </c>
      <c r="BE274" t="s">
        <v>5727</v>
      </c>
      <c r="BF274" t="str">
        <f>HYPERLINK("http://dx.doi.org/10.1017/S0954102013000199","http://dx.doi.org/10.1017/S0954102013000199")</f>
        <v>http://dx.doi.org/10.1017/S0954102013000199</v>
      </c>
      <c r="BG274" t="s">
        <v>74</v>
      </c>
      <c r="BH274" t="s">
        <v>74</v>
      </c>
      <c r="BI274">
        <v>17</v>
      </c>
      <c r="BJ274" t="s">
        <v>5652</v>
      </c>
      <c r="BK274" t="s">
        <v>99</v>
      </c>
      <c r="BL274" t="s">
        <v>5653</v>
      </c>
      <c r="BM274" t="s">
        <v>5654</v>
      </c>
      <c r="BN274" t="s">
        <v>74</v>
      </c>
      <c r="BO274" t="s">
        <v>74</v>
      </c>
      <c r="BP274" t="s">
        <v>74</v>
      </c>
      <c r="BQ274" t="s">
        <v>74</v>
      </c>
      <c r="BR274" t="s">
        <v>103</v>
      </c>
      <c r="BS274" t="s">
        <v>5728</v>
      </c>
      <c r="BT274" t="str">
        <f>HYPERLINK("https%3A%2F%2Fwww.webofscience.com%2Fwos%2Fwoscc%2Ffull-record%2FWOS:000328547200008","View Full Record in Web of Science")</f>
        <v>View Full Record in Web of Science</v>
      </c>
    </row>
    <row r="275" spans="1:72" x14ac:dyDescent="0.15">
      <c r="A275" t="s">
        <v>72</v>
      </c>
      <c r="B275" t="s">
        <v>5729</v>
      </c>
      <c r="C275" t="s">
        <v>74</v>
      </c>
      <c r="D275" t="s">
        <v>74</v>
      </c>
      <c r="E275" t="s">
        <v>74</v>
      </c>
      <c r="F275" t="s">
        <v>5730</v>
      </c>
      <c r="G275" t="s">
        <v>74</v>
      </c>
      <c r="H275" t="s">
        <v>74</v>
      </c>
      <c r="I275" t="s">
        <v>5731</v>
      </c>
      <c r="J275" t="s">
        <v>5635</v>
      </c>
      <c r="K275" t="s">
        <v>74</v>
      </c>
      <c r="L275" t="s">
        <v>74</v>
      </c>
      <c r="M275" t="s">
        <v>78</v>
      </c>
      <c r="N275" t="s">
        <v>79</v>
      </c>
      <c r="O275" t="s">
        <v>74</v>
      </c>
      <c r="P275" t="s">
        <v>74</v>
      </c>
      <c r="Q275" t="s">
        <v>74</v>
      </c>
      <c r="R275" t="s">
        <v>74</v>
      </c>
      <c r="S275" t="s">
        <v>74</v>
      </c>
      <c r="T275" t="s">
        <v>5732</v>
      </c>
      <c r="U275" t="s">
        <v>5733</v>
      </c>
      <c r="V275" t="s">
        <v>5734</v>
      </c>
      <c r="W275" t="s">
        <v>5735</v>
      </c>
      <c r="X275" t="s">
        <v>5736</v>
      </c>
      <c r="Y275" t="s">
        <v>5737</v>
      </c>
      <c r="Z275" t="s">
        <v>5738</v>
      </c>
      <c r="AA275" t="s">
        <v>5739</v>
      </c>
      <c r="AB275" t="s">
        <v>5740</v>
      </c>
      <c r="AC275" t="s">
        <v>5741</v>
      </c>
      <c r="AD275" t="s">
        <v>5742</v>
      </c>
      <c r="AE275" t="s">
        <v>5743</v>
      </c>
      <c r="AF275" t="s">
        <v>74</v>
      </c>
      <c r="AG275">
        <v>53</v>
      </c>
      <c r="AH275">
        <v>4</v>
      </c>
      <c r="AI275">
        <v>4</v>
      </c>
      <c r="AJ275">
        <v>5</v>
      </c>
      <c r="AK275">
        <v>28</v>
      </c>
      <c r="AL275" t="s">
        <v>1748</v>
      </c>
      <c r="AM275" t="s">
        <v>921</v>
      </c>
      <c r="AN275" t="s">
        <v>3232</v>
      </c>
      <c r="AO275" t="s">
        <v>5647</v>
      </c>
      <c r="AP275" t="s">
        <v>5648</v>
      </c>
      <c r="AQ275" t="s">
        <v>74</v>
      </c>
      <c r="AR275" t="s">
        <v>5649</v>
      </c>
      <c r="AS275" t="s">
        <v>5650</v>
      </c>
      <c r="AT275" t="s">
        <v>4901</v>
      </c>
      <c r="AU275">
        <v>2013</v>
      </c>
      <c r="AV275">
        <v>25</v>
      </c>
      <c r="AW275">
        <v>6</v>
      </c>
      <c r="AX275" t="s">
        <v>74</v>
      </c>
      <c r="AY275" t="s">
        <v>74</v>
      </c>
      <c r="AZ275" t="s">
        <v>74</v>
      </c>
      <c r="BA275" t="s">
        <v>74</v>
      </c>
      <c r="BB275">
        <v>821</v>
      </c>
      <c r="BC275">
        <v>831</v>
      </c>
      <c r="BD275" t="s">
        <v>74</v>
      </c>
      <c r="BE275" t="s">
        <v>5744</v>
      </c>
      <c r="BF275" t="str">
        <f>HYPERLINK("http://dx.doi.org/10.1017/S0954102013000217","http://dx.doi.org/10.1017/S0954102013000217")</f>
        <v>http://dx.doi.org/10.1017/S0954102013000217</v>
      </c>
      <c r="BG275" t="s">
        <v>74</v>
      </c>
      <c r="BH275" t="s">
        <v>74</v>
      </c>
      <c r="BI275">
        <v>11</v>
      </c>
      <c r="BJ275" t="s">
        <v>5652</v>
      </c>
      <c r="BK275" t="s">
        <v>99</v>
      </c>
      <c r="BL275" t="s">
        <v>5653</v>
      </c>
      <c r="BM275" t="s">
        <v>5654</v>
      </c>
      <c r="BN275" t="s">
        <v>74</v>
      </c>
      <c r="BO275" t="s">
        <v>74</v>
      </c>
      <c r="BP275" t="s">
        <v>74</v>
      </c>
      <c r="BQ275" t="s">
        <v>74</v>
      </c>
      <c r="BR275" t="s">
        <v>103</v>
      </c>
      <c r="BS275" t="s">
        <v>5745</v>
      </c>
      <c r="BT275" t="str">
        <f>HYPERLINK("https%3A%2F%2Fwww.webofscience.com%2Fwos%2Fwoscc%2Ffull-record%2FWOS:000328547200009","View Full Record in Web of Science")</f>
        <v>View Full Record in Web of Science</v>
      </c>
    </row>
    <row r="276" spans="1:72" x14ac:dyDescent="0.15">
      <c r="A276" t="s">
        <v>72</v>
      </c>
      <c r="B276" t="s">
        <v>5746</v>
      </c>
      <c r="C276" t="s">
        <v>74</v>
      </c>
      <c r="D276" t="s">
        <v>74</v>
      </c>
      <c r="E276" t="s">
        <v>74</v>
      </c>
      <c r="F276" t="s">
        <v>5747</v>
      </c>
      <c r="G276" t="s">
        <v>74</v>
      </c>
      <c r="H276" t="s">
        <v>74</v>
      </c>
      <c r="I276" t="s">
        <v>5748</v>
      </c>
      <c r="J276" t="s">
        <v>5749</v>
      </c>
      <c r="K276" t="s">
        <v>74</v>
      </c>
      <c r="L276" t="s">
        <v>74</v>
      </c>
      <c r="M276" t="s">
        <v>78</v>
      </c>
      <c r="N276" t="s">
        <v>79</v>
      </c>
      <c r="O276" t="s">
        <v>74</v>
      </c>
      <c r="P276" t="s">
        <v>74</v>
      </c>
      <c r="Q276" t="s">
        <v>74</v>
      </c>
      <c r="R276" t="s">
        <v>74</v>
      </c>
      <c r="S276" t="s">
        <v>74</v>
      </c>
      <c r="T276" t="s">
        <v>5750</v>
      </c>
      <c r="U276" t="s">
        <v>5751</v>
      </c>
      <c r="V276" t="s">
        <v>5752</v>
      </c>
      <c r="W276" t="s">
        <v>5753</v>
      </c>
      <c r="X276" t="s">
        <v>5754</v>
      </c>
      <c r="Y276" t="s">
        <v>5755</v>
      </c>
      <c r="Z276" t="s">
        <v>5756</v>
      </c>
      <c r="AA276" t="s">
        <v>5757</v>
      </c>
      <c r="AB276" t="s">
        <v>5758</v>
      </c>
      <c r="AC276" t="s">
        <v>5759</v>
      </c>
      <c r="AD276" t="s">
        <v>5760</v>
      </c>
      <c r="AE276" t="s">
        <v>5761</v>
      </c>
      <c r="AF276" t="s">
        <v>74</v>
      </c>
      <c r="AG276">
        <v>76</v>
      </c>
      <c r="AH276">
        <v>44</v>
      </c>
      <c r="AI276">
        <v>51</v>
      </c>
      <c r="AJ276">
        <v>3</v>
      </c>
      <c r="AK276">
        <v>52</v>
      </c>
      <c r="AL276" t="s">
        <v>5762</v>
      </c>
      <c r="AM276" t="s">
        <v>5763</v>
      </c>
      <c r="AN276" t="s">
        <v>5764</v>
      </c>
      <c r="AO276" t="s">
        <v>5765</v>
      </c>
      <c r="AP276" t="s">
        <v>5766</v>
      </c>
      <c r="AQ276" t="s">
        <v>74</v>
      </c>
      <c r="AR276" t="s">
        <v>5749</v>
      </c>
      <c r="AS276" t="s">
        <v>5767</v>
      </c>
      <c r="AT276" t="s">
        <v>4919</v>
      </c>
      <c r="AU276">
        <v>2013</v>
      </c>
      <c r="AV276">
        <v>13</v>
      </c>
      <c r="AW276">
        <v>12</v>
      </c>
      <c r="AX276" t="s">
        <v>74</v>
      </c>
      <c r="AY276" t="s">
        <v>74</v>
      </c>
      <c r="AZ276" t="s">
        <v>74</v>
      </c>
      <c r="BA276" t="s">
        <v>74</v>
      </c>
      <c r="BB276">
        <v>1166</v>
      </c>
      <c r="BC276">
        <v>1198</v>
      </c>
      <c r="BD276" t="s">
        <v>74</v>
      </c>
      <c r="BE276" t="s">
        <v>5768</v>
      </c>
      <c r="BF276" t="str">
        <f>HYPERLINK("http://dx.doi.org/10.1089/ast.2013.1038","http://dx.doi.org/10.1089/ast.2013.1038")</f>
        <v>http://dx.doi.org/10.1089/ast.2013.1038</v>
      </c>
      <c r="BG276" t="s">
        <v>74</v>
      </c>
      <c r="BH276" t="s">
        <v>74</v>
      </c>
      <c r="BI276">
        <v>33</v>
      </c>
      <c r="BJ276" t="s">
        <v>5769</v>
      </c>
      <c r="BK276" t="s">
        <v>99</v>
      </c>
      <c r="BL276" t="s">
        <v>5770</v>
      </c>
      <c r="BM276" t="s">
        <v>5771</v>
      </c>
      <c r="BN276">
        <v>24303959</v>
      </c>
      <c r="BO276" t="s">
        <v>74</v>
      </c>
      <c r="BP276" t="s">
        <v>74</v>
      </c>
      <c r="BQ276" t="s">
        <v>74</v>
      </c>
      <c r="BR276" t="s">
        <v>103</v>
      </c>
      <c r="BS276" t="s">
        <v>5772</v>
      </c>
      <c r="BT276" t="str">
        <f>HYPERLINK("https%3A%2F%2Fwww.webofscience.com%2Fwos%2Fwoscc%2Ffull-record%2FWOS:000328566200005","View Full Record in Web of Science")</f>
        <v>View Full Record in Web of Science</v>
      </c>
    </row>
    <row r="277" spans="1:72" x14ac:dyDescent="0.15">
      <c r="A277" t="s">
        <v>72</v>
      </c>
      <c r="B277" t="s">
        <v>5773</v>
      </c>
      <c r="C277" t="s">
        <v>74</v>
      </c>
      <c r="D277" t="s">
        <v>74</v>
      </c>
      <c r="E277" t="s">
        <v>74</v>
      </c>
      <c r="F277" t="s">
        <v>5774</v>
      </c>
      <c r="G277" t="s">
        <v>74</v>
      </c>
      <c r="H277" t="s">
        <v>74</v>
      </c>
      <c r="I277" t="s">
        <v>5775</v>
      </c>
      <c r="J277" t="s">
        <v>5776</v>
      </c>
      <c r="K277" t="s">
        <v>74</v>
      </c>
      <c r="L277" t="s">
        <v>74</v>
      </c>
      <c r="M277" t="s">
        <v>78</v>
      </c>
      <c r="N277" t="s">
        <v>79</v>
      </c>
      <c r="O277" t="s">
        <v>74</v>
      </c>
      <c r="P277" t="s">
        <v>74</v>
      </c>
      <c r="Q277" t="s">
        <v>74</v>
      </c>
      <c r="R277" t="s">
        <v>74</v>
      </c>
      <c r="S277" t="s">
        <v>74</v>
      </c>
      <c r="T277" t="s">
        <v>5777</v>
      </c>
      <c r="U277" t="s">
        <v>5778</v>
      </c>
      <c r="V277" t="s">
        <v>5779</v>
      </c>
      <c r="W277" t="s">
        <v>5780</v>
      </c>
      <c r="X277" t="s">
        <v>5781</v>
      </c>
      <c r="Y277" t="s">
        <v>5782</v>
      </c>
      <c r="Z277" t="s">
        <v>5783</v>
      </c>
      <c r="AA277" t="s">
        <v>5784</v>
      </c>
      <c r="AB277" t="s">
        <v>74</v>
      </c>
      <c r="AC277" t="s">
        <v>5785</v>
      </c>
      <c r="AD277" t="s">
        <v>5786</v>
      </c>
      <c r="AE277" t="s">
        <v>5787</v>
      </c>
      <c r="AF277" t="s">
        <v>74</v>
      </c>
      <c r="AG277">
        <v>32</v>
      </c>
      <c r="AH277">
        <v>41</v>
      </c>
      <c r="AI277">
        <v>49</v>
      </c>
      <c r="AJ277">
        <v>2</v>
      </c>
      <c r="AK277">
        <v>86</v>
      </c>
      <c r="AL277" t="s">
        <v>783</v>
      </c>
      <c r="AM277" t="s">
        <v>252</v>
      </c>
      <c r="AN277" t="s">
        <v>784</v>
      </c>
      <c r="AO277" t="s">
        <v>5788</v>
      </c>
      <c r="AP277" t="s">
        <v>5789</v>
      </c>
      <c r="AQ277" t="s">
        <v>74</v>
      </c>
      <c r="AR277" t="s">
        <v>5790</v>
      </c>
      <c r="AS277" t="s">
        <v>5791</v>
      </c>
      <c r="AT277" t="s">
        <v>4901</v>
      </c>
      <c r="AU277">
        <v>2013</v>
      </c>
      <c r="AV277">
        <v>149</v>
      </c>
      <c r="AW277" t="s">
        <v>74</v>
      </c>
      <c r="AX277" t="s">
        <v>74</v>
      </c>
      <c r="AY277" t="s">
        <v>74</v>
      </c>
      <c r="AZ277" t="s">
        <v>74</v>
      </c>
      <c r="BA277" t="s">
        <v>74</v>
      </c>
      <c r="BB277">
        <v>77</v>
      </c>
      <c r="BC277">
        <v>83</v>
      </c>
      <c r="BD277" t="s">
        <v>74</v>
      </c>
      <c r="BE277" t="s">
        <v>5792</v>
      </c>
      <c r="BF277" t="str">
        <f>HYPERLINK("http://dx.doi.org/10.1016/j.biortech.2013.09.027","http://dx.doi.org/10.1016/j.biortech.2013.09.027")</f>
        <v>http://dx.doi.org/10.1016/j.biortech.2013.09.027</v>
      </c>
      <c r="BG277" t="s">
        <v>74</v>
      </c>
      <c r="BH277" t="s">
        <v>74</v>
      </c>
      <c r="BI277">
        <v>7</v>
      </c>
      <c r="BJ277" t="s">
        <v>5793</v>
      </c>
      <c r="BK277" t="s">
        <v>99</v>
      </c>
      <c r="BL277" t="s">
        <v>5794</v>
      </c>
      <c r="BM277" t="s">
        <v>5795</v>
      </c>
      <c r="BN277">
        <v>24084208</v>
      </c>
      <c r="BO277" t="s">
        <v>74</v>
      </c>
      <c r="BP277" t="s">
        <v>74</v>
      </c>
      <c r="BQ277" t="s">
        <v>74</v>
      </c>
      <c r="BR277" t="s">
        <v>103</v>
      </c>
      <c r="BS277" t="s">
        <v>5796</v>
      </c>
      <c r="BT277" t="str">
        <f>HYPERLINK("https%3A%2F%2Fwww.webofscience.com%2Fwos%2Fwoscc%2Ffull-record%2FWOS:000328525300012","View Full Record in Web of Science")</f>
        <v>View Full Record in Web of Science</v>
      </c>
    </row>
    <row r="278" spans="1:72" x14ac:dyDescent="0.15">
      <c r="A278" t="s">
        <v>72</v>
      </c>
      <c r="B278" t="s">
        <v>5797</v>
      </c>
      <c r="C278" t="s">
        <v>74</v>
      </c>
      <c r="D278" t="s">
        <v>74</v>
      </c>
      <c r="E278" t="s">
        <v>74</v>
      </c>
      <c r="F278" t="s">
        <v>5798</v>
      </c>
      <c r="G278" t="s">
        <v>74</v>
      </c>
      <c r="H278" t="s">
        <v>74</v>
      </c>
      <c r="I278" t="s">
        <v>5799</v>
      </c>
      <c r="J278" t="s">
        <v>291</v>
      </c>
      <c r="K278" t="s">
        <v>74</v>
      </c>
      <c r="L278" t="s">
        <v>74</v>
      </c>
      <c r="M278" t="s">
        <v>78</v>
      </c>
      <c r="N278" t="s">
        <v>79</v>
      </c>
      <c r="O278" t="s">
        <v>74</v>
      </c>
      <c r="P278" t="s">
        <v>74</v>
      </c>
      <c r="Q278" t="s">
        <v>74</v>
      </c>
      <c r="R278" t="s">
        <v>74</v>
      </c>
      <c r="S278" t="s">
        <v>74</v>
      </c>
      <c r="T278" t="s">
        <v>5800</v>
      </c>
      <c r="U278" t="s">
        <v>5801</v>
      </c>
      <c r="V278" t="s">
        <v>5802</v>
      </c>
      <c r="W278" t="s">
        <v>5803</v>
      </c>
      <c r="X278" t="s">
        <v>5804</v>
      </c>
      <c r="Y278" t="s">
        <v>5805</v>
      </c>
      <c r="Z278" t="s">
        <v>5806</v>
      </c>
      <c r="AA278" t="s">
        <v>5807</v>
      </c>
      <c r="AB278" t="s">
        <v>5808</v>
      </c>
      <c r="AC278" t="s">
        <v>5809</v>
      </c>
      <c r="AD278" t="s">
        <v>5810</v>
      </c>
      <c r="AE278" t="s">
        <v>5811</v>
      </c>
      <c r="AF278" t="s">
        <v>74</v>
      </c>
      <c r="AG278">
        <v>71</v>
      </c>
      <c r="AH278">
        <v>10</v>
      </c>
      <c r="AI278">
        <v>15</v>
      </c>
      <c r="AJ278">
        <v>3</v>
      </c>
      <c r="AK278">
        <v>40</v>
      </c>
      <c r="AL278" t="s">
        <v>304</v>
      </c>
      <c r="AM278" t="s">
        <v>305</v>
      </c>
      <c r="AN278" t="s">
        <v>306</v>
      </c>
      <c r="AO278" t="s">
        <v>307</v>
      </c>
      <c r="AP278" t="s">
        <v>308</v>
      </c>
      <c r="AQ278" t="s">
        <v>74</v>
      </c>
      <c r="AR278" t="s">
        <v>309</v>
      </c>
      <c r="AS278" t="s">
        <v>310</v>
      </c>
      <c r="AT278" t="s">
        <v>4919</v>
      </c>
      <c r="AU278">
        <v>2013</v>
      </c>
      <c r="AV278">
        <v>383</v>
      </c>
      <c r="AW278" t="s">
        <v>74</v>
      </c>
      <c r="AX278" t="s">
        <v>74</v>
      </c>
      <c r="AY278" t="s">
        <v>74</v>
      </c>
      <c r="AZ278" t="s">
        <v>74</v>
      </c>
      <c r="BA278" t="s">
        <v>74</v>
      </c>
      <c r="BB278">
        <v>153</v>
      </c>
      <c r="BC278">
        <v>163</v>
      </c>
      <c r="BD278" t="s">
        <v>74</v>
      </c>
      <c r="BE278" t="s">
        <v>5812</v>
      </c>
      <c r="BF278" t="str">
        <f>HYPERLINK("http://dx.doi.org/10.1016/j.epsl.2013.09.045","http://dx.doi.org/10.1016/j.epsl.2013.09.045")</f>
        <v>http://dx.doi.org/10.1016/j.epsl.2013.09.045</v>
      </c>
      <c r="BG278" t="s">
        <v>74</v>
      </c>
      <c r="BH278" t="s">
        <v>74</v>
      </c>
      <c r="BI278">
        <v>11</v>
      </c>
      <c r="BJ278" t="s">
        <v>313</v>
      </c>
      <c r="BK278" t="s">
        <v>99</v>
      </c>
      <c r="BL278" t="s">
        <v>313</v>
      </c>
      <c r="BM278" t="s">
        <v>5813</v>
      </c>
      <c r="BN278" t="s">
        <v>74</v>
      </c>
      <c r="BO278" t="s">
        <v>74</v>
      </c>
      <c r="BP278" t="s">
        <v>74</v>
      </c>
      <c r="BQ278" t="s">
        <v>74</v>
      </c>
      <c r="BR278" t="s">
        <v>103</v>
      </c>
      <c r="BS278" t="s">
        <v>5814</v>
      </c>
      <c r="BT278" t="str">
        <f>HYPERLINK("https%3A%2F%2Fwww.webofscience.com%2Fwos%2Fwoscc%2Ffull-record%2FWOS:000328593500016","View Full Record in Web of Science")</f>
        <v>View Full Record in Web of Science</v>
      </c>
    </row>
    <row r="279" spans="1:72" x14ac:dyDescent="0.15">
      <c r="A279" t="s">
        <v>72</v>
      </c>
      <c r="B279" t="s">
        <v>5815</v>
      </c>
      <c r="C279" t="s">
        <v>74</v>
      </c>
      <c r="D279" t="s">
        <v>74</v>
      </c>
      <c r="E279" t="s">
        <v>74</v>
      </c>
      <c r="F279" t="s">
        <v>5816</v>
      </c>
      <c r="G279" t="s">
        <v>74</v>
      </c>
      <c r="H279" t="s">
        <v>74</v>
      </c>
      <c r="I279" t="s">
        <v>5817</v>
      </c>
      <c r="J279" t="s">
        <v>5818</v>
      </c>
      <c r="K279" t="s">
        <v>74</v>
      </c>
      <c r="L279" t="s">
        <v>74</v>
      </c>
      <c r="M279" t="s">
        <v>78</v>
      </c>
      <c r="N279" t="s">
        <v>79</v>
      </c>
      <c r="O279" t="s">
        <v>74</v>
      </c>
      <c r="P279" t="s">
        <v>74</v>
      </c>
      <c r="Q279" t="s">
        <v>74</v>
      </c>
      <c r="R279" t="s">
        <v>74</v>
      </c>
      <c r="S279" t="s">
        <v>74</v>
      </c>
      <c r="T279" t="s">
        <v>5819</v>
      </c>
      <c r="U279" t="s">
        <v>5820</v>
      </c>
      <c r="V279" t="s">
        <v>5821</v>
      </c>
      <c r="W279" t="s">
        <v>5822</v>
      </c>
      <c r="X279" t="s">
        <v>5823</v>
      </c>
      <c r="Y279" t="s">
        <v>5824</v>
      </c>
      <c r="Z279" t="s">
        <v>5825</v>
      </c>
      <c r="AA279" t="s">
        <v>5826</v>
      </c>
      <c r="AB279" t="s">
        <v>5827</v>
      </c>
      <c r="AC279" t="s">
        <v>5828</v>
      </c>
      <c r="AD279" t="s">
        <v>5829</v>
      </c>
      <c r="AE279" t="s">
        <v>5830</v>
      </c>
      <c r="AF279" t="s">
        <v>74</v>
      </c>
      <c r="AG279">
        <v>73</v>
      </c>
      <c r="AH279">
        <v>42</v>
      </c>
      <c r="AI279">
        <v>44</v>
      </c>
      <c r="AJ279">
        <v>0</v>
      </c>
      <c r="AK279">
        <v>12</v>
      </c>
      <c r="AL279" t="s">
        <v>1495</v>
      </c>
      <c r="AM279" t="s">
        <v>1496</v>
      </c>
      <c r="AN279" t="s">
        <v>1497</v>
      </c>
      <c r="AO279" t="s">
        <v>5831</v>
      </c>
      <c r="AP279" t="s">
        <v>5832</v>
      </c>
      <c r="AQ279" t="s">
        <v>74</v>
      </c>
      <c r="AR279" t="s">
        <v>5833</v>
      </c>
      <c r="AS279" t="s">
        <v>5834</v>
      </c>
      <c r="AT279" t="s">
        <v>4901</v>
      </c>
      <c r="AU279">
        <v>2013</v>
      </c>
      <c r="AV279">
        <v>141</v>
      </c>
      <c r="AW279">
        <v>12</v>
      </c>
      <c r="AX279" t="s">
        <v>74</v>
      </c>
      <c r="AY279" t="s">
        <v>74</v>
      </c>
      <c r="AZ279" t="s">
        <v>74</v>
      </c>
      <c r="BA279" t="s">
        <v>74</v>
      </c>
      <c r="BB279">
        <v>4534</v>
      </c>
      <c r="BC279">
        <v>4553</v>
      </c>
      <c r="BD279" t="s">
        <v>74</v>
      </c>
      <c r="BE279" t="s">
        <v>5835</v>
      </c>
      <c r="BF279" t="str">
        <f>HYPERLINK("http://dx.doi.org/10.1175/MWR-D-13-00040.1","http://dx.doi.org/10.1175/MWR-D-13-00040.1")</f>
        <v>http://dx.doi.org/10.1175/MWR-D-13-00040.1</v>
      </c>
      <c r="BG279" t="s">
        <v>74</v>
      </c>
      <c r="BH279" t="s">
        <v>74</v>
      </c>
      <c r="BI279">
        <v>20</v>
      </c>
      <c r="BJ279" t="s">
        <v>1503</v>
      </c>
      <c r="BK279" t="s">
        <v>99</v>
      </c>
      <c r="BL279" t="s">
        <v>1503</v>
      </c>
      <c r="BM279" t="s">
        <v>5836</v>
      </c>
      <c r="BN279" t="s">
        <v>74</v>
      </c>
      <c r="BO279" t="s">
        <v>5837</v>
      </c>
      <c r="BP279" t="s">
        <v>74</v>
      </c>
      <c r="BQ279" t="s">
        <v>74</v>
      </c>
      <c r="BR279" t="s">
        <v>103</v>
      </c>
      <c r="BS279" t="s">
        <v>5838</v>
      </c>
      <c r="BT279" t="str">
        <f>HYPERLINK("https%3A%2F%2Fwww.webofscience.com%2Fwos%2Fwoscc%2Ffull-record%2FWOS:000327283300020","View Full Record in Web of Science")</f>
        <v>View Full Record in Web of Science</v>
      </c>
    </row>
    <row r="280" spans="1:72" x14ac:dyDescent="0.15">
      <c r="A280" t="s">
        <v>72</v>
      </c>
      <c r="B280" t="s">
        <v>5839</v>
      </c>
      <c r="C280" t="s">
        <v>74</v>
      </c>
      <c r="D280" t="s">
        <v>74</v>
      </c>
      <c r="E280" t="s">
        <v>74</v>
      </c>
      <c r="F280" t="s">
        <v>5840</v>
      </c>
      <c r="G280" t="s">
        <v>74</v>
      </c>
      <c r="H280" t="s">
        <v>74</v>
      </c>
      <c r="I280" t="s">
        <v>5841</v>
      </c>
      <c r="J280" t="s">
        <v>5842</v>
      </c>
      <c r="K280" t="s">
        <v>74</v>
      </c>
      <c r="L280" t="s">
        <v>74</v>
      </c>
      <c r="M280" t="s">
        <v>78</v>
      </c>
      <c r="N280" t="s">
        <v>79</v>
      </c>
      <c r="O280" t="s">
        <v>74</v>
      </c>
      <c r="P280" t="s">
        <v>74</v>
      </c>
      <c r="Q280" t="s">
        <v>74</v>
      </c>
      <c r="R280" t="s">
        <v>74</v>
      </c>
      <c r="S280" t="s">
        <v>74</v>
      </c>
      <c r="T280" t="s">
        <v>5843</v>
      </c>
      <c r="U280" t="s">
        <v>5844</v>
      </c>
      <c r="V280" t="s">
        <v>5845</v>
      </c>
      <c r="W280" t="s">
        <v>5846</v>
      </c>
      <c r="X280" t="s">
        <v>5847</v>
      </c>
      <c r="Y280" t="s">
        <v>5848</v>
      </c>
      <c r="Z280" t="s">
        <v>5849</v>
      </c>
      <c r="AA280" t="s">
        <v>74</v>
      </c>
      <c r="AB280" t="s">
        <v>74</v>
      </c>
      <c r="AC280" t="s">
        <v>5850</v>
      </c>
      <c r="AD280" t="s">
        <v>5851</v>
      </c>
      <c r="AE280" t="s">
        <v>5852</v>
      </c>
      <c r="AF280" t="s">
        <v>74</v>
      </c>
      <c r="AG280">
        <v>40</v>
      </c>
      <c r="AH280">
        <v>7</v>
      </c>
      <c r="AI280">
        <v>9</v>
      </c>
      <c r="AJ280">
        <v>2</v>
      </c>
      <c r="AK280">
        <v>39</v>
      </c>
      <c r="AL280" t="s">
        <v>582</v>
      </c>
      <c r="AM280" t="s">
        <v>305</v>
      </c>
      <c r="AN280" t="s">
        <v>583</v>
      </c>
      <c r="AO280" t="s">
        <v>5853</v>
      </c>
      <c r="AP280" t="s">
        <v>5854</v>
      </c>
      <c r="AQ280" t="s">
        <v>74</v>
      </c>
      <c r="AR280" t="s">
        <v>5842</v>
      </c>
      <c r="AS280" t="s">
        <v>5855</v>
      </c>
      <c r="AT280" t="s">
        <v>4901</v>
      </c>
      <c r="AU280">
        <v>2013</v>
      </c>
      <c r="AV280">
        <v>22</v>
      </c>
      <c r="AW280" t="s">
        <v>5856</v>
      </c>
      <c r="AX280" t="s">
        <v>74</v>
      </c>
      <c r="AY280" t="s">
        <v>74</v>
      </c>
      <c r="AZ280" t="s">
        <v>283</v>
      </c>
      <c r="BA280" t="s">
        <v>74</v>
      </c>
      <c r="BB280">
        <v>101</v>
      </c>
      <c r="BC280">
        <v>108</v>
      </c>
      <c r="BD280" t="s">
        <v>74</v>
      </c>
      <c r="BE280" t="s">
        <v>5857</v>
      </c>
      <c r="BF280" t="str">
        <f>HYPERLINK("http://dx.doi.org/10.1016/j.palwor.2013.06.001","http://dx.doi.org/10.1016/j.palwor.2013.06.001")</f>
        <v>http://dx.doi.org/10.1016/j.palwor.2013.06.001</v>
      </c>
      <c r="BG280" t="s">
        <v>74</v>
      </c>
      <c r="BH280" t="s">
        <v>74</v>
      </c>
      <c r="BI280">
        <v>8</v>
      </c>
      <c r="BJ280" t="s">
        <v>2061</v>
      </c>
      <c r="BK280" t="s">
        <v>99</v>
      </c>
      <c r="BL280" t="s">
        <v>2061</v>
      </c>
      <c r="BM280" t="s">
        <v>5858</v>
      </c>
      <c r="BN280" t="s">
        <v>74</v>
      </c>
      <c r="BO280" t="s">
        <v>74</v>
      </c>
      <c r="BP280" t="s">
        <v>74</v>
      </c>
      <c r="BQ280" t="s">
        <v>74</v>
      </c>
      <c r="BR280" t="s">
        <v>103</v>
      </c>
      <c r="BS280" t="s">
        <v>5859</v>
      </c>
      <c r="BT280" t="str">
        <f>HYPERLINK("https%3A%2F%2Fwww.webofscience.com%2Fwos%2Fwoscc%2Ffull-record%2FWOS:000328710300005","View Full Record in Web of Science")</f>
        <v>View Full Record in Web of Science</v>
      </c>
    </row>
    <row r="281" spans="1:72" x14ac:dyDescent="0.15">
      <c r="A281" t="s">
        <v>72</v>
      </c>
      <c r="B281" t="s">
        <v>5860</v>
      </c>
      <c r="C281" t="s">
        <v>74</v>
      </c>
      <c r="D281" t="s">
        <v>74</v>
      </c>
      <c r="E281" t="s">
        <v>74</v>
      </c>
      <c r="F281" t="s">
        <v>5861</v>
      </c>
      <c r="G281" t="s">
        <v>74</v>
      </c>
      <c r="H281" t="s">
        <v>74</v>
      </c>
      <c r="I281" t="s">
        <v>5862</v>
      </c>
      <c r="J281" t="s">
        <v>5863</v>
      </c>
      <c r="K281" t="s">
        <v>74</v>
      </c>
      <c r="L281" t="s">
        <v>74</v>
      </c>
      <c r="M281" t="s">
        <v>78</v>
      </c>
      <c r="N281" t="s">
        <v>79</v>
      </c>
      <c r="O281" t="s">
        <v>74</v>
      </c>
      <c r="P281" t="s">
        <v>74</v>
      </c>
      <c r="Q281" t="s">
        <v>74</v>
      </c>
      <c r="R281" t="s">
        <v>74</v>
      </c>
      <c r="S281" t="s">
        <v>74</v>
      </c>
      <c r="T281" t="s">
        <v>5864</v>
      </c>
      <c r="U281" t="s">
        <v>5865</v>
      </c>
      <c r="V281" t="s">
        <v>5866</v>
      </c>
      <c r="W281" t="s">
        <v>5867</v>
      </c>
      <c r="X281" t="s">
        <v>5868</v>
      </c>
      <c r="Y281" t="s">
        <v>5869</v>
      </c>
      <c r="Z281" t="s">
        <v>5870</v>
      </c>
      <c r="AA281" t="s">
        <v>5871</v>
      </c>
      <c r="AB281" t="s">
        <v>5872</v>
      </c>
      <c r="AC281" t="s">
        <v>74</v>
      </c>
      <c r="AD281" t="s">
        <v>74</v>
      </c>
      <c r="AE281" t="s">
        <v>74</v>
      </c>
      <c r="AF281" t="s">
        <v>74</v>
      </c>
      <c r="AG281">
        <v>14</v>
      </c>
      <c r="AH281">
        <v>3</v>
      </c>
      <c r="AI281">
        <v>3</v>
      </c>
      <c r="AJ281">
        <v>0</v>
      </c>
      <c r="AK281">
        <v>7</v>
      </c>
      <c r="AL281" t="s">
        <v>1990</v>
      </c>
      <c r="AM281" t="s">
        <v>1991</v>
      </c>
      <c r="AN281" t="s">
        <v>1992</v>
      </c>
      <c r="AO281" t="s">
        <v>5873</v>
      </c>
      <c r="AP281" t="s">
        <v>5874</v>
      </c>
      <c r="AQ281" t="s">
        <v>74</v>
      </c>
      <c r="AR281" t="s">
        <v>5875</v>
      </c>
      <c r="AS281" t="s">
        <v>5876</v>
      </c>
      <c r="AT281" t="s">
        <v>4901</v>
      </c>
      <c r="AU281">
        <v>2013</v>
      </c>
      <c r="AV281">
        <v>58</v>
      </c>
      <c r="AW281">
        <v>4</v>
      </c>
      <c r="AX281" t="s">
        <v>74</v>
      </c>
      <c r="AY281" t="s">
        <v>74</v>
      </c>
      <c r="AZ281" t="s">
        <v>74</v>
      </c>
      <c r="BA281" t="s">
        <v>74</v>
      </c>
      <c r="BB281">
        <v>547</v>
      </c>
      <c r="BC281">
        <v>550</v>
      </c>
      <c r="BD281" t="s">
        <v>74</v>
      </c>
      <c r="BE281" t="s">
        <v>5877</v>
      </c>
      <c r="BF281" t="str">
        <f>HYPERLINK("http://dx.doi.org/10.2478/s11686-013-0175-1","http://dx.doi.org/10.2478/s11686-013-0175-1")</f>
        <v>http://dx.doi.org/10.2478/s11686-013-0175-1</v>
      </c>
      <c r="BG281" t="s">
        <v>74</v>
      </c>
      <c r="BH281" t="s">
        <v>74</v>
      </c>
      <c r="BI281">
        <v>4</v>
      </c>
      <c r="BJ281" t="s">
        <v>5878</v>
      </c>
      <c r="BK281" t="s">
        <v>99</v>
      </c>
      <c r="BL281" t="s">
        <v>5878</v>
      </c>
      <c r="BM281" t="s">
        <v>5879</v>
      </c>
      <c r="BN281">
        <v>24338317</v>
      </c>
      <c r="BO281" t="s">
        <v>524</v>
      </c>
      <c r="BP281" t="s">
        <v>74</v>
      </c>
      <c r="BQ281" t="s">
        <v>74</v>
      </c>
      <c r="BR281" t="s">
        <v>103</v>
      </c>
      <c r="BS281" t="s">
        <v>5880</v>
      </c>
      <c r="BT281" t="str">
        <f>HYPERLINK("https%3A%2F%2Fwww.webofscience.com%2Fwos%2Fwoscc%2Ffull-record%2FWOS:000328339500017","View Full Record in Web of Science")</f>
        <v>View Full Record in Web of Science</v>
      </c>
    </row>
    <row r="282" spans="1:72" x14ac:dyDescent="0.15">
      <c r="A282" t="s">
        <v>72</v>
      </c>
      <c r="B282" t="s">
        <v>5881</v>
      </c>
      <c r="C282" t="s">
        <v>74</v>
      </c>
      <c r="D282" t="s">
        <v>74</v>
      </c>
      <c r="E282" t="s">
        <v>74</v>
      </c>
      <c r="F282" t="s">
        <v>5882</v>
      </c>
      <c r="G282" t="s">
        <v>74</v>
      </c>
      <c r="H282" t="s">
        <v>74</v>
      </c>
      <c r="I282" t="s">
        <v>5883</v>
      </c>
      <c r="J282" t="s">
        <v>5884</v>
      </c>
      <c r="K282" t="s">
        <v>74</v>
      </c>
      <c r="L282" t="s">
        <v>74</v>
      </c>
      <c r="M282" t="s">
        <v>78</v>
      </c>
      <c r="N282" t="s">
        <v>79</v>
      </c>
      <c r="O282" t="s">
        <v>74</v>
      </c>
      <c r="P282" t="s">
        <v>74</v>
      </c>
      <c r="Q282" t="s">
        <v>74</v>
      </c>
      <c r="R282" t="s">
        <v>74</v>
      </c>
      <c r="S282" t="s">
        <v>74</v>
      </c>
      <c r="T282" t="s">
        <v>5885</v>
      </c>
      <c r="U282" t="s">
        <v>5886</v>
      </c>
      <c r="V282" t="s">
        <v>5887</v>
      </c>
      <c r="W282" t="s">
        <v>5888</v>
      </c>
      <c r="X282" t="s">
        <v>5889</v>
      </c>
      <c r="Y282" t="s">
        <v>5890</v>
      </c>
      <c r="Z282" t="s">
        <v>5891</v>
      </c>
      <c r="AA282" t="s">
        <v>74</v>
      </c>
      <c r="AB282" t="s">
        <v>5892</v>
      </c>
      <c r="AC282" t="s">
        <v>5893</v>
      </c>
      <c r="AD282" t="s">
        <v>5894</v>
      </c>
      <c r="AE282" t="s">
        <v>5895</v>
      </c>
      <c r="AF282" t="s">
        <v>74</v>
      </c>
      <c r="AG282">
        <v>44</v>
      </c>
      <c r="AH282">
        <v>23</v>
      </c>
      <c r="AI282">
        <v>26</v>
      </c>
      <c r="AJ282">
        <v>1</v>
      </c>
      <c r="AK282">
        <v>16</v>
      </c>
      <c r="AL282" t="s">
        <v>4206</v>
      </c>
      <c r="AM282" t="s">
        <v>4207</v>
      </c>
      <c r="AN282" t="s">
        <v>4208</v>
      </c>
      <c r="AO282" t="s">
        <v>5896</v>
      </c>
      <c r="AP282" t="s">
        <v>5897</v>
      </c>
      <c r="AQ282" t="s">
        <v>74</v>
      </c>
      <c r="AR282" t="s">
        <v>5898</v>
      </c>
      <c r="AS282" t="s">
        <v>5899</v>
      </c>
      <c r="AT282" t="s">
        <v>4901</v>
      </c>
      <c r="AU282">
        <v>2013</v>
      </c>
      <c r="AV282">
        <v>146</v>
      </c>
      <c r="AW282">
        <v>6</v>
      </c>
      <c r="AX282" t="s">
        <v>74</v>
      </c>
      <c r="AY282" t="s">
        <v>74</v>
      </c>
      <c r="AZ282" t="s">
        <v>74</v>
      </c>
      <c r="BA282" t="s">
        <v>74</v>
      </c>
      <c r="BB282" t="s">
        <v>74</v>
      </c>
      <c r="BC282" t="s">
        <v>74</v>
      </c>
      <c r="BD282">
        <v>139</v>
      </c>
      <c r="BE282" t="s">
        <v>5900</v>
      </c>
      <c r="BF282" t="str">
        <f>HYPERLINK("http://dx.doi.org/10.1088/0004-6256/146/6/139","http://dx.doi.org/10.1088/0004-6256/146/6/139")</f>
        <v>http://dx.doi.org/10.1088/0004-6256/146/6/139</v>
      </c>
      <c r="BG282" t="s">
        <v>74</v>
      </c>
      <c r="BH282" t="s">
        <v>74</v>
      </c>
      <c r="BI282">
        <v>10</v>
      </c>
      <c r="BJ282" t="s">
        <v>1705</v>
      </c>
      <c r="BK282" t="s">
        <v>99</v>
      </c>
      <c r="BL282" t="s">
        <v>1705</v>
      </c>
      <c r="BM282" t="s">
        <v>5901</v>
      </c>
      <c r="BN282" t="s">
        <v>74</v>
      </c>
      <c r="BO282" t="s">
        <v>5902</v>
      </c>
      <c r="BP282" t="s">
        <v>74</v>
      </c>
      <c r="BQ282" t="s">
        <v>74</v>
      </c>
      <c r="BR282" t="s">
        <v>103</v>
      </c>
      <c r="BS282" t="s">
        <v>5903</v>
      </c>
      <c r="BT282" t="str">
        <f>HYPERLINK("https%3A%2F%2Fwww.webofscience.com%2Fwos%2Fwoscc%2Ffull-record%2FWOS:000327747700002","View Full Record in Web of Science")</f>
        <v>View Full Record in Web of Science</v>
      </c>
    </row>
    <row r="283" spans="1:72" x14ac:dyDescent="0.15">
      <c r="A283" t="s">
        <v>72</v>
      </c>
      <c r="B283" t="s">
        <v>5904</v>
      </c>
      <c r="C283" t="s">
        <v>74</v>
      </c>
      <c r="D283" t="s">
        <v>74</v>
      </c>
      <c r="E283" t="s">
        <v>74</v>
      </c>
      <c r="F283" t="s">
        <v>5905</v>
      </c>
      <c r="G283" t="s">
        <v>74</v>
      </c>
      <c r="H283" t="s">
        <v>74</v>
      </c>
      <c r="I283" t="s">
        <v>5906</v>
      </c>
      <c r="J283" t="s">
        <v>5907</v>
      </c>
      <c r="K283" t="s">
        <v>74</v>
      </c>
      <c r="L283" t="s">
        <v>74</v>
      </c>
      <c r="M283" t="s">
        <v>78</v>
      </c>
      <c r="N283" t="s">
        <v>79</v>
      </c>
      <c r="O283" t="s">
        <v>74</v>
      </c>
      <c r="P283" t="s">
        <v>74</v>
      </c>
      <c r="Q283" t="s">
        <v>74</v>
      </c>
      <c r="R283" t="s">
        <v>74</v>
      </c>
      <c r="S283" t="s">
        <v>74</v>
      </c>
      <c r="T283" t="s">
        <v>5908</v>
      </c>
      <c r="U283" t="s">
        <v>5909</v>
      </c>
      <c r="V283" t="s">
        <v>5910</v>
      </c>
      <c r="W283" t="s">
        <v>5911</v>
      </c>
      <c r="X283" t="s">
        <v>5912</v>
      </c>
      <c r="Y283" t="s">
        <v>5913</v>
      </c>
      <c r="Z283" t="s">
        <v>5914</v>
      </c>
      <c r="AA283" t="s">
        <v>74</v>
      </c>
      <c r="AB283" t="s">
        <v>74</v>
      </c>
      <c r="AC283" t="s">
        <v>74</v>
      </c>
      <c r="AD283" t="s">
        <v>74</v>
      </c>
      <c r="AE283" t="s">
        <v>74</v>
      </c>
      <c r="AF283" t="s">
        <v>74</v>
      </c>
      <c r="AG283">
        <v>25</v>
      </c>
      <c r="AH283">
        <v>5</v>
      </c>
      <c r="AI283">
        <v>5</v>
      </c>
      <c r="AJ283">
        <v>0</v>
      </c>
      <c r="AK283">
        <v>7</v>
      </c>
      <c r="AL283" t="s">
        <v>5915</v>
      </c>
      <c r="AM283" t="s">
        <v>5916</v>
      </c>
      <c r="AN283" t="s">
        <v>5917</v>
      </c>
      <c r="AO283" t="s">
        <v>5918</v>
      </c>
      <c r="AP283" t="s">
        <v>5919</v>
      </c>
      <c r="AQ283" t="s">
        <v>74</v>
      </c>
      <c r="AR283" t="s">
        <v>5920</v>
      </c>
      <c r="AS283" t="s">
        <v>5921</v>
      </c>
      <c r="AT283" t="s">
        <v>4901</v>
      </c>
      <c r="AU283">
        <v>2013</v>
      </c>
      <c r="AV283">
        <v>17</v>
      </c>
      <c r="AW283">
        <v>4</v>
      </c>
      <c r="AX283" t="s">
        <v>74</v>
      </c>
      <c r="AY283" t="s">
        <v>74</v>
      </c>
      <c r="AZ283" t="s">
        <v>74</v>
      </c>
      <c r="BA283" t="s">
        <v>74</v>
      </c>
      <c r="BB283">
        <v>429</v>
      </c>
      <c r="BC283">
        <v>443</v>
      </c>
      <c r="BD283" t="s">
        <v>74</v>
      </c>
      <c r="BE283" t="s">
        <v>5922</v>
      </c>
      <c r="BF283" t="str">
        <f>HYPERLINK("http://dx.doi.org/10.1007/s12303-013-0046-7","http://dx.doi.org/10.1007/s12303-013-0046-7")</f>
        <v>http://dx.doi.org/10.1007/s12303-013-0046-7</v>
      </c>
      <c r="BG283" t="s">
        <v>74</v>
      </c>
      <c r="BH283" t="s">
        <v>74</v>
      </c>
      <c r="BI283">
        <v>15</v>
      </c>
      <c r="BJ283" t="s">
        <v>337</v>
      </c>
      <c r="BK283" t="s">
        <v>99</v>
      </c>
      <c r="BL283" t="s">
        <v>338</v>
      </c>
      <c r="BM283" t="s">
        <v>5923</v>
      </c>
      <c r="BN283" t="s">
        <v>74</v>
      </c>
      <c r="BO283" t="s">
        <v>74</v>
      </c>
      <c r="BP283" t="s">
        <v>74</v>
      </c>
      <c r="BQ283" t="s">
        <v>74</v>
      </c>
      <c r="BR283" t="s">
        <v>103</v>
      </c>
      <c r="BS283" t="s">
        <v>5924</v>
      </c>
      <c r="BT283" t="str">
        <f>HYPERLINK("https%3A%2F%2Fwww.webofscience.com%2Fwos%2Fwoscc%2Ffull-record%2FWOS:000328338000005","View Full Record in Web of Science")</f>
        <v>View Full Record in Web of Science</v>
      </c>
    </row>
    <row r="284" spans="1:72" x14ac:dyDescent="0.15">
      <c r="A284" t="s">
        <v>72</v>
      </c>
      <c r="B284" t="s">
        <v>5925</v>
      </c>
      <c r="C284" t="s">
        <v>74</v>
      </c>
      <c r="D284" t="s">
        <v>74</v>
      </c>
      <c r="E284" t="s">
        <v>74</v>
      </c>
      <c r="F284" t="s">
        <v>5926</v>
      </c>
      <c r="G284" t="s">
        <v>74</v>
      </c>
      <c r="H284" t="s">
        <v>74</v>
      </c>
      <c r="I284" t="s">
        <v>5927</v>
      </c>
      <c r="J284" t="s">
        <v>2740</v>
      </c>
      <c r="K284" t="s">
        <v>74</v>
      </c>
      <c r="L284" t="s">
        <v>74</v>
      </c>
      <c r="M284" t="s">
        <v>78</v>
      </c>
      <c r="N284" t="s">
        <v>79</v>
      </c>
      <c r="O284" t="s">
        <v>74</v>
      </c>
      <c r="P284" t="s">
        <v>74</v>
      </c>
      <c r="Q284" t="s">
        <v>74</v>
      </c>
      <c r="R284" t="s">
        <v>74</v>
      </c>
      <c r="S284" t="s">
        <v>74</v>
      </c>
      <c r="T284" t="s">
        <v>5928</v>
      </c>
      <c r="U284" t="s">
        <v>5929</v>
      </c>
      <c r="V284" t="s">
        <v>5930</v>
      </c>
      <c r="W284" t="s">
        <v>5931</v>
      </c>
      <c r="X284" t="s">
        <v>5932</v>
      </c>
      <c r="Y284" t="s">
        <v>5933</v>
      </c>
      <c r="Z284" t="s">
        <v>5934</v>
      </c>
      <c r="AA284" t="s">
        <v>5935</v>
      </c>
      <c r="AB284" t="s">
        <v>5936</v>
      </c>
      <c r="AC284" t="s">
        <v>5937</v>
      </c>
      <c r="AD284" t="s">
        <v>5938</v>
      </c>
      <c r="AE284" t="s">
        <v>5939</v>
      </c>
      <c r="AF284" t="s">
        <v>74</v>
      </c>
      <c r="AG284">
        <v>29</v>
      </c>
      <c r="AH284">
        <v>6</v>
      </c>
      <c r="AI284">
        <v>6</v>
      </c>
      <c r="AJ284">
        <v>0</v>
      </c>
      <c r="AK284">
        <v>2</v>
      </c>
      <c r="AL284" t="s">
        <v>276</v>
      </c>
      <c r="AM284" t="s">
        <v>277</v>
      </c>
      <c r="AN284" t="s">
        <v>278</v>
      </c>
      <c r="AO284" t="s">
        <v>2753</v>
      </c>
      <c r="AP284" t="s">
        <v>2754</v>
      </c>
      <c r="AQ284" t="s">
        <v>74</v>
      </c>
      <c r="AR284" t="s">
        <v>2755</v>
      </c>
      <c r="AS284" t="s">
        <v>2756</v>
      </c>
      <c r="AT284" t="s">
        <v>4919</v>
      </c>
      <c r="AU284">
        <v>2013</v>
      </c>
      <c r="AV284">
        <v>40</v>
      </c>
      <c r="AW284">
        <v>4</v>
      </c>
      <c r="AX284" t="s">
        <v>74</v>
      </c>
      <c r="AY284" t="s">
        <v>74</v>
      </c>
      <c r="AZ284" t="s">
        <v>74</v>
      </c>
      <c r="BA284" t="s">
        <v>74</v>
      </c>
      <c r="BB284">
        <v>263</v>
      </c>
      <c r="BC284">
        <v>279</v>
      </c>
      <c r="BD284" t="s">
        <v>74</v>
      </c>
      <c r="BE284" t="s">
        <v>5940</v>
      </c>
      <c r="BF284" t="str">
        <f>HYPERLINK("http://dx.doi.org/10.1080/03014223.2013.778302","http://dx.doi.org/10.1080/03014223.2013.778302")</f>
        <v>http://dx.doi.org/10.1080/03014223.2013.778302</v>
      </c>
      <c r="BG284" t="s">
        <v>74</v>
      </c>
      <c r="BH284" t="s">
        <v>74</v>
      </c>
      <c r="BI284">
        <v>17</v>
      </c>
      <c r="BJ284" t="s">
        <v>448</v>
      </c>
      <c r="BK284" t="s">
        <v>99</v>
      </c>
      <c r="BL284" t="s">
        <v>448</v>
      </c>
      <c r="BM284" t="s">
        <v>5941</v>
      </c>
      <c r="BN284" t="s">
        <v>74</v>
      </c>
      <c r="BO284" t="s">
        <v>475</v>
      </c>
      <c r="BP284" t="s">
        <v>74</v>
      </c>
      <c r="BQ284" t="s">
        <v>74</v>
      </c>
      <c r="BR284" t="s">
        <v>103</v>
      </c>
      <c r="BS284" t="s">
        <v>5942</v>
      </c>
      <c r="BT284" t="str">
        <f>HYPERLINK("https%3A%2F%2Fwww.webofscience.com%2Fwos%2Fwoscc%2Ffull-record%2FWOS:000327930700002","View Full Record in Web of Science")</f>
        <v>View Full Record in Web of Science</v>
      </c>
    </row>
    <row r="285" spans="1:72" x14ac:dyDescent="0.15">
      <c r="A285" t="s">
        <v>72</v>
      </c>
      <c r="B285" t="s">
        <v>5943</v>
      </c>
      <c r="C285" t="s">
        <v>74</v>
      </c>
      <c r="D285" t="s">
        <v>74</v>
      </c>
      <c r="E285" t="s">
        <v>74</v>
      </c>
      <c r="F285" t="s">
        <v>5944</v>
      </c>
      <c r="G285" t="s">
        <v>74</v>
      </c>
      <c r="H285" t="s">
        <v>74</v>
      </c>
      <c r="I285" t="s">
        <v>5945</v>
      </c>
      <c r="J285" t="s">
        <v>5946</v>
      </c>
      <c r="K285" t="s">
        <v>74</v>
      </c>
      <c r="L285" t="s">
        <v>74</v>
      </c>
      <c r="M285" t="s">
        <v>78</v>
      </c>
      <c r="N285" t="s">
        <v>79</v>
      </c>
      <c r="O285" t="s">
        <v>74</v>
      </c>
      <c r="P285" t="s">
        <v>74</v>
      </c>
      <c r="Q285" t="s">
        <v>74</v>
      </c>
      <c r="R285" t="s">
        <v>74</v>
      </c>
      <c r="S285" t="s">
        <v>74</v>
      </c>
      <c r="T285" t="s">
        <v>5947</v>
      </c>
      <c r="U285" t="s">
        <v>5948</v>
      </c>
      <c r="V285" t="s">
        <v>5949</v>
      </c>
      <c r="W285" t="s">
        <v>5950</v>
      </c>
      <c r="X285" t="s">
        <v>5951</v>
      </c>
      <c r="Y285" t="s">
        <v>5952</v>
      </c>
      <c r="Z285" t="s">
        <v>5953</v>
      </c>
      <c r="AA285" t="s">
        <v>5954</v>
      </c>
      <c r="AB285" t="s">
        <v>5955</v>
      </c>
      <c r="AC285" t="s">
        <v>74</v>
      </c>
      <c r="AD285" t="s">
        <v>74</v>
      </c>
      <c r="AE285" t="s">
        <v>74</v>
      </c>
      <c r="AF285" t="s">
        <v>74</v>
      </c>
      <c r="AG285">
        <v>52</v>
      </c>
      <c r="AH285">
        <v>52</v>
      </c>
      <c r="AI285">
        <v>53</v>
      </c>
      <c r="AJ285">
        <v>3</v>
      </c>
      <c r="AK285">
        <v>83</v>
      </c>
      <c r="AL285" t="s">
        <v>872</v>
      </c>
      <c r="AM285" t="s">
        <v>252</v>
      </c>
      <c r="AN285" t="s">
        <v>873</v>
      </c>
      <c r="AO285" t="s">
        <v>5956</v>
      </c>
      <c r="AP285" t="s">
        <v>5957</v>
      </c>
      <c r="AQ285" t="s">
        <v>74</v>
      </c>
      <c r="AR285" t="s">
        <v>5958</v>
      </c>
      <c r="AS285" t="s">
        <v>5959</v>
      </c>
      <c r="AT285" t="s">
        <v>4901</v>
      </c>
      <c r="AU285">
        <v>2013</v>
      </c>
      <c r="AV285">
        <v>80</v>
      </c>
      <c r="AW285" t="s">
        <v>74</v>
      </c>
      <c r="AX285" t="s">
        <v>74</v>
      </c>
      <c r="AY285" t="s">
        <v>74</v>
      </c>
      <c r="AZ285" t="s">
        <v>74</v>
      </c>
      <c r="BA285" t="s">
        <v>74</v>
      </c>
      <c r="BB285">
        <v>41</v>
      </c>
      <c r="BC285">
        <v>49</v>
      </c>
      <c r="BD285" t="s">
        <v>74</v>
      </c>
      <c r="BE285" t="s">
        <v>5960</v>
      </c>
      <c r="BF285" t="str">
        <f>HYPERLINK("http://dx.doi.org/10.1016/j.atmosenv.2013.07.061","http://dx.doi.org/10.1016/j.atmosenv.2013.07.061")</f>
        <v>http://dx.doi.org/10.1016/j.atmosenv.2013.07.061</v>
      </c>
      <c r="BG285" t="s">
        <v>74</v>
      </c>
      <c r="BH285" t="s">
        <v>74</v>
      </c>
      <c r="BI285">
        <v>9</v>
      </c>
      <c r="BJ285" t="s">
        <v>5023</v>
      </c>
      <c r="BK285" t="s">
        <v>99</v>
      </c>
      <c r="BL285" t="s">
        <v>3933</v>
      </c>
      <c r="BM285" t="s">
        <v>5961</v>
      </c>
      <c r="BN285" t="s">
        <v>74</v>
      </c>
      <c r="BO285" t="s">
        <v>74</v>
      </c>
      <c r="BP285" t="s">
        <v>74</v>
      </c>
      <c r="BQ285" t="s">
        <v>74</v>
      </c>
      <c r="BR285" t="s">
        <v>103</v>
      </c>
      <c r="BS285" t="s">
        <v>5962</v>
      </c>
      <c r="BT285" t="str">
        <f>HYPERLINK("https%3A%2F%2Fwww.webofscience.com%2Fwos%2Fwoscc%2Ffull-record%2FWOS:000328094800005","View Full Record in Web of Science")</f>
        <v>View Full Record in Web of Science</v>
      </c>
    </row>
    <row r="286" spans="1:72" x14ac:dyDescent="0.15">
      <c r="A286" t="s">
        <v>72</v>
      </c>
      <c r="B286" t="s">
        <v>5963</v>
      </c>
      <c r="C286" t="s">
        <v>74</v>
      </c>
      <c r="D286" t="s">
        <v>74</v>
      </c>
      <c r="E286" t="s">
        <v>74</v>
      </c>
      <c r="F286" t="s">
        <v>5964</v>
      </c>
      <c r="G286" t="s">
        <v>74</v>
      </c>
      <c r="H286" t="s">
        <v>74</v>
      </c>
      <c r="I286" t="s">
        <v>5965</v>
      </c>
      <c r="J286" t="s">
        <v>5946</v>
      </c>
      <c r="K286" t="s">
        <v>74</v>
      </c>
      <c r="L286" t="s">
        <v>74</v>
      </c>
      <c r="M286" t="s">
        <v>78</v>
      </c>
      <c r="N286" t="s">
        <v>79</v>
      </c>
      <c r="O286" t="s">
        <v>74</v>
      </c>
      <c r="P286" t="s">
        <v>74</v>
      </c>
      <c r="Q286" t="s">
        <v>74</v>
      </c>
      <c r="R286" t="s">
        <v>74</v>
      </c>
      <c r="S286" t="s">
        <v>74</v>
      </c>
      <c r="T286" t="s">
        <v>5966</v>
      </c>
      <c r="U286" t="s">
        <v>5967</v>
      </c>
      <c r="V286" t="s">
        <v>5968</v>
      </c>
      <c r="W286" t="s">
        <v>5969</v>
      </c>
      <c r="X286" t="s">
        <v>5663</v>
      </c>
      <c r="Y286" t="s">
        <v>5970</v>
      </c>
      <c r="Z286" t="s">
        <v>5177</v>
      </c>
      <c r="AA286" t="s">
        <v>5971</v>
      </c>
      <c r="AB286" t="s">
        <v>5972</v>
      </c>
      <c r="AC286" t="s">
        <v>5973</v>
      </c>
      <c r="AD286" t="s">
        <v>5974</v>
      </c>
      <c r="AE286" t="s">
        <v>5975</v>
      </c>
      <c r="AF286" t="s">
        <v>74</v>
      </c>
      <c r="AG286">
        <v>18</v>
      </c>
      <c r="AH286">
        <v>4</v>
      </c>
      <c r="AI286">
        <v>4</v>
      </c>
      <c r="AJ286">
        <v>0</v>
      </c>
      <c r="AK286">
        <v>20</v>
      </c>
      <c r="AL286" t="s">
        <v>872</v>
      </c>
      <c r="AM286" t="s">
        <v>252</v>
      </c>
      <c r="AN286" t="s">
        <v>873</v>
      </c>
      <c r="AO286" t="s">
        <v>5956</v>
      </c>
      <c r="AP286" t="s">
        <v>5957</v>
      </c>
      <c r="AQ286" t="s">
        <v>74</v>
      </c>
      <c r="AR286" t="s">
        <v>5958</v>
      </c>
      <c r="AS286" t="s">
        <v>5959</v>
      </c>
      <c r="AT286" t="s">
        <v>4901</v>
      </c>
      <c r="AU286">
        <v>2013</v>
      </c>
      <c r="AV286">
        <v>80</v>
      </c>
      <c r="AW286" t="s">
        <v>74</v>
      </c>
      <c r="AX286" t="s">
        <v>74</v>
      </c>
      <c r="AY286" t="s">
        <v>74</v>
      </c>
      <c r="AZ286" t="s">
        <v>74</v>
      </c>
      <c r="BA286" t="s">
        <v>74</v>
      </c>
      <c r="BB286">
        <v>342</v>
      </c>
      <c r="BC286">
        <v>346</v>
      </c>
      <c r="BD286" t="s">
        <v>74</v>
      </c>
      <c r="BE286" t="s">
        <v>5976</v>
      </c>
      <c r="BF286" t="str">
        <f>HYPERLINK("http://dx.doi.org/10.1016/j.atmosenv.2013.08.002","http://dx.doi.org/10.1016/j.atmosenv.2013.08.002")</f>
        <v>http://dx.doi.org/10.1016/j.atmosenv.2013.08.002</v>
      </c>
      <c r="BG286" t="s">
        <v>74</v>
      </c>
      <c r="BH286" t="s">
        <v>74</v>
      </c>
      <c r="BI286">
        <v>5</v>
      </c>
      <c r="BJ286" t="s">
        <v>5023</v>
      </c>
      <c r="BK286" t="s">
        <v>99</v>
      </c>
      <c r="BL286" t="s">
        <v>3933</v>
      </c>
      <c r="BM286" t="s">
        <v>5961</v>
      </c>
      <c r="BN286" t="s">
        <v>74</v>
      </c>
      <c r="BO286" t="s">
        <v>74</v>
      </c>
      <c r="BP286" t="s">
        <v>74</v>
      </c>
      <c r="BQ286" t="s">
        <v>74</v>
      </c>
      <c r="BR286" t="s">
        <v>103</v>
      </c>
      <c r="BS286" t="s">
        <v>5977</v>
      </c>
      <c r="BT286" t="str">
        <f>HYPERLINK("https%3A%2F%2Fwww.webofscience.com%2Fwos%2Fwoscc%2Ffull-record%2FWOS:000328094800036","View Full Record in Web of Science")</f>
        <v>View Full Record in Web of Science</v>
      </c>
    </row>
    <row r="287" spans="1:72" x14ac:dyDescent="0.15">
      <c r="A287" t="s">
        <v>72</v>
      </c>
      <c r="B287" t="s">
        <v>5978</v>
      </c>
      <c r="C287" t="s">
        <v>74</v>
      </c>
      <c r="D287" t="s">
        <v>74</v>
      </c>
      <c r="E287" t="s">
        <v>74</v>
      </c>
      <c r="F287" t="s">
        <v>5979</v>
      </c>
      <c r="G287" t="s">
        <v>74</v>
      </c>
      <c r="H287" t="s">
        <v>74</v>
      </c>
      <c r="I287" t="s">
        <v>5980</v>
      </c>
      <c r="J287" t="s">
        <v>5981</v>
      </c>
      <c r="K287" t="s">
        <v>74</v>
      </c>
      <c r="L287" t="s">
        <v>74</v>
      </c>
      <c r="M287" t="s">
        <v>78</v>
      </c>
      <c r="N287" t="s">
        <v>79</v>
      </c>
      <c r="O287" t="s">
        <v>74</v>
      </c>
      <c r="P287" t="s">
        <v>74</v>
      </c>
      <c r="Q287" t="s">
        <v>74</v>
      </c>
      <c r="R287" t="s">
        <v>74</v>
      </c>
      <c r="S287" t="s">
        <v>74</v>
      </c>
      <c r="T287" t="s">
        <v>5982</v>
      </c>
      <c r="U287" t="s">
        <v>5983</v>
      </c>
      <c r="V287" t="s">
        <v>5984</v>
      </c>
      <c r="W287" t="s">
        <v>5985</v>
      </c>
      <c r="X287" t="s">
        <v>827</v>
      </c>
      <c r="Y287" t="s">
        <v>5986</v>
      </c>
      <c r="Z287" t="s">
        <v>5987</v>
      </c>
      <c r="AA287" t="s">
        <v>74</v>
      </c>
      <c r="AB287" t="s">
        <v>74</v>
      </c>
      <c r="AC287" t="s">
        <v>5988</v>
      </c>
      <c r="AD287" t="s">
        <v>5988</v>
      </c>
      <c r="AE287" t="s">
        <v>5989</v>
      </c>
      <c r="AF287" t="s">
        <v>74</v>
      </c>
      <c r="AG287">
        <v>27</v>
      </c>
      <c r="AH287">
        <v>18</v>
      </c>
      <c r="AI287">
        <v>18</v>
      </c>
      <c r="AJ287">
        <v>0</v>
      </c>
      <c r="AK287">
        <v>11</v>
      </c>
      <c r="AL287" t="s">
        <v>410</v>
      </c>
      <c r="AM287" t="s">
        <v>411</v>
      </c>
      <c r="AN287" t="s">
        <v>412</v>
      </c>
      <c r="AO287" t="s">
        <v>5990</v>
      </c>
      <c r="AP287" t="s">
        <v>5991</v>
      </c>
      <c r="AQ287" t="s">
        <v>74</v>
      </c>
      <c r="AR287" t="s">
        <v>5992</v>
      </c>
      <c r="AS287" t="s">
        <v>5993</v>
      </c>
      <c r="AT287" t="s">
        <v>4901</v>
      </c>
      <c r="AU287">
        <v>2013</v>
      </c>
      <c r="AV287">
        <v>23</v>
      </c>
      <c r="AW287">
        <v>6</v>
      </c>
      <c r="AX287" t="s">
        <v>74</v>
      </c>
      <c r="AY287" t="s">
        <v>74</v>
      </c>
      <c r="AZ287" t="s">
        <v>74</v>
      </c>
      <c r="BA287" t="s">
        <v>74</v>
      </c>
      <c r="BB287">
        <v>885</v>
      </c>
      <c r="BC287">
        <v>900</v>
      </c>
      <c r="BD287" t="s">
        <v>74</v>
      </c>
      <c r="BE287" t="s">
        <v>5994</v>
      </c>
      <c r="BF287" t="str">
        <f>HYPERLINK("http://dx.doi.org/10.1002/aqc.2346","http://dx.doi.org/10.1002/aqc.2346")</f>
        <v>http://dx.doi.org/10.1002/aqc.2346</v>
      </c>
      <c r="BG287" t="s">
        <v>74</v>
      </c>
      <c r="BH287" t="s">
        <v>74</v>
      </c>
      <c r="BI287">
        <v>16</v>
      </c>
      <c r="BJ287" t="s">
        <v>5995</v>
      </c>
      <c r="BK287" t="s">
        <v>99</v>
      </c>
      <c r="BL287" t="s">
        <v>5996</v>
      </c>
      <c r="BM287" t="s">
        <v>5997</v>
      </c>
      <c r="BN287" t="s">
        <v>74</v>
      </c>
      <c r="BO287" t="s">
        <v>74</v>
      </c>
      <c r="BP287" t="s">
        <v>74</v>
      </c>
      <c r="BQ287" t="s">
        <v>74</v>
      </c>
      <c r="BR287" t="s">
        <v>103</v>
      </c>
      <c r="BS287" t="s">
        <v>5998</v>
      </c>
      <c r="BT287" t="str">
        <f>HYPERLINK("https%3A%2F%2Fwww.webofscience.com%2Fwos%2Fwoscc%2Ffull-record%2FWOS:000327671300009","View Full Record in Web of Science")</f>
        <v>View Full Record in Web of Science</v>
      </c>
    </row>
    <row r="288" spans="1:72" x14ac:dyDescent="0.15">
      <c r="A288" t="s">
        <v>72</v>
      </c>
      <c r="B288" t="s">
        <v>5999</v>
      </c>
      <c r="C288" t="s">
        <v>74</v>
      </c>
      <c r="D288" t="s">
        <v>74</v>
      </c>
      <c r="E288" t="s">
        <v>74</v>
      </c>
      <c r="F288" t="s">
        <v>6000</v>
      </c>
      <c r="G288" t="s">
        <v>74</v>
      </c>
      <c r="H288" t="s">
        <v>74</v>
      </c>
      <c r="I288" t="s">
        <v>6001</v>
      </c>
      <c r="J288" t="s">
        <v>6002</v>
      </c>
      <c r="K288" t="s">
        <v>74</v>
      </c>
      <c r="L288" t="s">
        <v>74</v>
      </c>
      <c r="M288" t="s">
        <v>78</v>
      </c>
      <c r="N288" t="s">
        <v>79</v>
      </c>
      <c r="O288" t="s">
        <v>74</v>
      </c>
      <c r="P288" t="s">
        <v>74</v>
      </c>
      <c r="Q288" t="s">
        <v>74</v>
      </c>
      <c r="R288" t="s">
        <v>74</v>
      </c>
      <c r="S288" t="s">
        <v>74</v>
      </c>
      <c r="T288" t="s">
        <v>6003</v>
      </c>
      <c r="U288" t="s">
        <v>6004</v>
      </c>
      <c r="V288" t="s">
        <v>6005</v>
      </c>
      <c r="W288" t="s">
        <v>74</v>
      </c>
      <c r="X288" t="s">
        <v>74</v>
      </c>
      <c r="Y288" t="s">
        <v>6006</v>
      </c>
      <c r="Z288" t="s">
        <v>6007</v>
      </c>
      <c r="AA288" t="s">
        <v>74</v>
      </c>
      <c r="AB288" t="s">
        <v>74</v>
      </c>
      <c r="AC288" t="s">
        <v>74</v>
      </c>
      <c r="AD288" t="s">
        <v>74</v>
      </c>
      <c r="AE288" t="s">
        <v>74</v>
      </c>
      <c r="AF288" t="s">
        <v>74</v>
      </c>
      <c r="AG288">
        <v>59</v>
      </c>
      <c r="AH288">
        <v>6</v>
      </c>
      <c r="AI288">
        <v>6</v>
      </c>
      <c r="AJ288">
        <v>1</v>
      </c>
      <c r="AK288">
        <v>18</v>
      </c>
      <c r="AL288" t="s">
        <v>1067</v>
      </c>
      <c r="AM288" t="s">
        <v>1068</v>
      </c>
      <c r="AN288" t="s">
        <v>1163</v>
      </c>
      <c r="AO288" t="s">
        <v>6008</v>
      </c>
      <c r="AP288" t="s">
        <v>6009</v>
      </c>
      <c r="AQ288" t="s">
        <v>74</v>
      </c>
      <c r="AR288" t="s">
        <v>6010</v>
      </c>
      <c r="AS288" t="s">
        <v>6011</v>
      </c>
      <c r="AT288" t="s">
        <v>4901</v>
      </c>
      <c r="AU288">
        <v>2013</v>
      </c>
      <c r="AV288">
        <v>69</v>
      </c>
      <c r="AW288">
        <v>6</v>
      </c>
      <c r="AX288" t="s">
        <v>74</v>
      </c>
      <c r="AY288" t="s">
        <v>74</v>
      </c>
      <c r="AZ288" t="s">
        <v>74</v>
      </c>
      <c r="BA288" t="s">
        <v>74</v>
      </c>
      <c r="BB288">
        <v>671</v>
      </c>
      <c r="BC288">
        <v>686</v>
      </c>
      <c r="BD288" t="s">
        <v>74</v>
      </c>
      <c r="BE288" t="s">
        <v>6012</v>
      </c>
      <c r="BF288" t="str">
        <f>HYPERLINK("http://dx.doi.org/10.1007/s10872-013-0200-x","http://dx.doi.org/10.1007/s10872-013-0200-x")</f>
        <v>http://dx.doi.org/10.1007/s10872-013-0200-x</v>
      </c>
      <c r="BG288" t="s">
        <v>74</v>
      </c>
      <c r="BH288" t="s">
        <v>74</v>
      </c>
      <c r="BI288">
        <v>16</v>
      </c>
      <c r="BJ288" t="s">
        <v>1613</v>
      </c>
      <c r="BK288" t="s">
        <v>99</v>
      </c>
      <c r="BL288" t="s">
        <v>1613</v>
      </c>
      <c r="BM288" t="s">
        <v>6013</v>
      </c>
      <c r="BN288" t="s">
        <v>74</v>
      </c>
      <c r="BO288" t="s">
        <v>1145</v>
      </c>
      <c r="BP288" t="s">
        <v>74</v>
      </c>
      <c r="BQ288" t="s">
        <v>74</v>
      </c>
      <c r="BR288" t="s">
        <v>103</v>
      </c>
      <c r="BS288" t="s">
        <v>6014</v>
      </c>
      <c r="BT288" t="str">
        <f>HYPERLINK("https%3A%2F%2Fwww.webofscience.com%2Fwos%2Fwoscc%2Ffull-record%2FWOS:000327505700002","View Full Record in Web of Science")</f>
        <v>View Full Record in Web of Science</v>
      </c>
    </row>
    <row r="289" spans="1:72" x14ac:dyDescent="0.15">
      <c r="A289" t="s">
        <v>72</v>
      </c>
      <c r="B289" t="s">
        <v>6015</v>
      </c>
      <c r="C289" t="s">
        <v>74</v>
      </c>
      <c r="D289" t="s">
        <v>74</v>
      </c>
      <c r="E289" t="s">
        <v>74</v>
      </c>
      <c r="F289" t="s">
        <v>6016</v>
      </c>
      <c r="G289" t="s">
        <v>74</v>
      </c>
      <c r="H289" t="s">
        <v>74</v>
      </c>
      <c r="I289" t="s">
        <v>6017</v>
      </c>
      <c r="J289" t="s">
        <v>2067</v>
      </c>
      <c r="K289" t="s">
        <v>74</v>
      </c>
      <c r="L289" t="s">
        <v>74</v>
      </c>
      <c r="M289" t="s">
        <v>78</v>
      </c>
      <c r="N289" t="s">
        <v>79</v>
      </c>
      <c r="O289" t="s">
        <v>74</v>
      </c>
      <c r="P289" t="s">
        <v>74</v>
      </c>
      <c r="Q289" t="s">
        <v>74</v>
      </c>
      <c r="R289" t="s">
        <v>74</v>
      </c>
      <c r="S289" t="s">
        <v>74</v>
      </c>
      <c r="T289" t="s">
        <v>74</v>
      </c>
      <c r="U289" t="s">
        <v>6018</v>
      </c>
      <c r="V289" t="s">
        <v>6019</v>
      </c>
      <c r="W289" t="s">
        <v>6020</v>
      </c>
      <c r="X289" t="s">
        <v>1513</v>
      </c>
      <c r="Y289" t="s">
        <v>6021</v>
      </c>
      <c r="Z289" t="s">
        <v>6022</v>
      </c>
      <c r="AA289" t="s">
        <v>6023</v>
      </c>
      <c r="AB289" t="s">
        <v>1517</v>
      </c>
      <c r="AC289" t="s">
        <v>6024</v>
      </c>
      <c r="AD289" t="s">
        <v>6025</v>
      </c>
      <c r="AE289" t="s">
        <v>6026</v>
      </c>
      <c r="AF289" t="s">
        <v>74</v>
      </c>
      <c r="AG289">
        <v>30</v>
      </c>
      <c r="AH289">
        <v>12</v>
      </c>
      <c r="AI289">
        <v>14</v>
      </c>
      <c r="AJ289">
        <v>1</v>
      </c>
      <c r="AK289">
        <v>25</v>
      </c>
      <c r="AL289" t="s">
        <v>1495</v>
      </c>
      <c r="AM289" t="s">
        <v>1496</v>
      </c>
      <c r="AN289" t="s">
        <v>1497</v>
      </c>
      <c r="AO289" t="s">
        <v>2080</v>
      </c>
      <c r="AP289" t="s">
        <v>2081</v>
      </c>
      <c r="AQ289" t="s">
        <v>74</v>
      </c>
      <c r="AR289" t="s">
        <v>2082</v>
      </c>
      <c r="AS289" t="s">
        <v>2083</v>
      </c>
      <c r="AT289" t="s">
        <v>4901</v>
      </c>
      <c r="AU289">
        <v>2013</v>
      </c>
      <c r="AV289">
        <v>43</v>
      </c>
      <c r="AW289">
        <v>12</v>
      </c>
      <c r="AX289" t="s">
        <v>74</v>
      </c>
      <c r="AY289" t="s">
        <v>74</v>
      </c>
      <c r="AZ289" t="s">
        <v>74</v>
      </c>
      <c r="BA289" t="s">
        <v>74</v>
      </c>
      <c r="BB289">
        <v>2563</v>
      </c>
      <c r="BC289">
        <v>2570</v>
      </c>
      <c r="BD289" t="s">
        <v>74</v>
      </c>
      <c r="BE289" t="s">
        <v>6027</v>
      </c>
      <c r="BF289" t="str">
        <f>HYPERLINK("http://dx.doi.org/10.1175/JPO-D-13-0150.1","http://dx.doi.org/10.1175/JPO-D-13-0150.1")</f>
        <v>http://dx.doi.org/10.1175/JPO-D-13-0150.1</v>
      </c>
      <c r="BG289" t="s">
        <v>74</v>
      </c>
      <c r="BH289" t="s">
        <v>74</v>
      </c>
      <c r="BI289">
        <v>8</v>
      </c>
      <c r="BJ289" t="s">
        <v>1613</v>
      </c>
      <c r="BK289" t="s">
        <v>99</v>
      </c>
      <c r="BL289" t="s">
        <v>1613</v>
      </c>
      <c r="BM289" t="s">
        <v>6028</v>
      </c>
      <c r="BN289" t="s">
        <v>74</v>
      </c>
      <c r="BO289" t="s">
        <v>475</v>
      </c>
      <c r="BP289" t="s">
        <v>74</v>
      </c>
      <c r="BQ289" t="s">
        <v>74</v>
      </c>
      <c r="BR289" t="s">
        <v>103</v>
      </c>
      <c r="BS289" t="s">
        <v>6029</v>
      </c>
      <c r="BT289" t="str">
        <f>HYPERLINK("https%3A%2F%2Fwww.webofscience.com%2Fwos%2Fwoscc%2Ffull-record%2FWOS:000327812900004","View Full Record in Web of Science")</f>
        <v>View Full Record in Web of Science</v>
      </c>
    </row>
    <row r="290" spans="1:72" x14ac:dyDescent="0.15">
      <c r="A290" t="s">
        <v>72</v>
      </c>
      <c r="B290" t="s">
        <v>6030</v>
      </c>
      <c r="C290" t="s">
        <v>74</v>
      </c>
      <c r="D290" t="s">
        <v>74</v>
      </c>
      <c r="E290" t="s">
        <v>74</v>
      </c>
      <c r="F290" t="s">
        <v>6031</v>
      </c>
      <c r="G290" t="s">
        <v>74</v>
      </c>
      <c r="H290" t="s">
        <v>74</v>
      </c>
      <c r="I290" t="s">
        <v>6032</v>
      </c>
      <c r="J290" t="s">
        <v>6033</v>
      </c>
      <c r="K290" t="s">
        <v>74</v>
      </c>
      <c r="L290" t="s">
        <v>74</v>
      </c>
      <c r="M290" t="s">
        <v>78</v>
      </c>
      <c r="N290" t="s">
        <v>1019</v>
      </c>
      <c r="O290" t="s">
        <v>74</v>
      </c>
      <c r="P290" t="s">
        <v>74</v>
      </c>
      <c r="Q290" t="s">
        <v>74</v>
      </c>
      <c r="R290" t="s">
        <v>74</v>
      </c>
      <c r="S290" t="s">
        <v>74</v>
      </c>
      <c r="T290" t="s">
        <v>74</v>
      </c>
      <c r="U290" t="s">
        <v>6034</v>
      </c>
      <c r="V290" t="s">
        <v>74</v>
      </c>
      <c r="W290" t="s">
        <v>6035</v>
      </c>
      <c r="X290" t="s">
        <v>6036</v>
      </c>
      <c r="Y290" t="s">
        <v>6037</v>
      </c>
      <c r="Z290" t="s">
        <v>6038</v>
      </c>
      <c r="AA290" t="s">
        <v>74</v>
      </c>
      <c r="AB290" t="s">
        <v>74</v>
      </c>
      <c r="AC290" t="s">
        <v>74</v>
      </c>
      <c r="AD290" t="s">
        <v>74</v>
      </c>
      <c r="AE290" t="s">
        <v>74</v>
      </c>
      <c r="AF290" t="s">
        <v>74</v>
      </c>
      <c r="AG290">
        <v>14</v>
      </c>
      <c r="AH290">
        <v>1</v>
      </c>
      <c r="AI290">
        <v>1</v>
      </c>
      <c r="AJ290">
        <v>0</v>
      </c>
      <c r="AK290">
        <v>12</v>
      </c>
      <c r="AL290" t="s">
        <v>1371</v>
      </c>
      <c r="AM290" t="s">
        <v>921</v>
      </c>
      <c r="AN290" t="s">
        <v>6039</v>
      </c>
      <c r="AO290" t="s">
        <v>6040</v>
      </c>
      <c r="AP290" t="s">
        <v>6041</v>
      </c>
      <c r="AQ290" t="s">
        <v>74</v>
      </c>
      <c r="AR290" t="s">
        <v>6042</v>
      </c>
      <c r="AS290" t="s">
        <v>6043</v>
      </c>
      <c r="AT290" t="s">
        <v>4901</v>
      </c>
      <c r="AU290">
        <v>2013</v>
      </c>
      <c r="AV290">
        <v>6</v>
      </c>
      <c r="AW290">
        <v>12</v>
      </c>
      <c r="AX290" t="s">
        <v>74</v>
      </c>
      <c r="AY290" t="s">
        <v>74</v>
      </c>
      <c r="AZ290" t="s">
        <v>74</v>
      </c>
      <c r="BA290" t="s">
        <v>74</v>
      </c>
      <c r="BB290">
        <v>990</v>
      </c>
      <c r="BC290">
        <v>991</v>
      </c>
      <c r="BD290" t="s">
        <v>74</v>
      </c>
      <c r="BE290" t="s">
        <v>6044</v>
      </c>
      <c r="BF290" t="str">
        <f>HYPERLINK("http://dx.doi.org/10.1038/ngeo2011","http://dx.doi.org/10.1038/ngeo2011")</f>
        <v>http://dx.doi.org/10.1038/ngeo2011</v>
      </c>
      <c r="BG290" t="s">
        <v>74</v>
      </c>
      <c r="BH290" t="s">
        <v>74</v>
      </c>
      <c r="BI290">
        <v>2</v>
      </c>
      <c r="BJ290" t="s">
        <v>337</v>
      </c>
      <c r="BK290" t="s">
        <v>99</v>
      </c>
      <c r="BL290" t="s">
        <v>338</v>
      </c>
      <c r="BM290" t="s">
        <v>6045</v>
      </c>
      <c r="BN290" t="s">
        <v>74</v>
      </c>
      <c r="BO290" t="s">
        <v>74</v>
      </c>
      <c r="BP290" t="s">
        <v>74</v>
      </c>
      <c r="BQ290" t="s">
        <v>74</v>
      </c>
      <c r="BR290" t="s">
        <v>103</v>
      </c>
      <c r="BS290" t="s">
        <v>6046</v>
      </c>
      <c r="BT290" t="str">
        <f>HYPERLINK("https%3A%2F%2Fwww.webofscience.com%2Fwos%2Fwoscc%2Ffull-record%2FWOS:000327799500004","View Full Record in Web of Science")</f>
        <v>View Full Record in Web of Science</v>
      </c>
    </row>
    <row r="291" spans="1:72" x14ac:dyDescent="0.15">
      <c r="A291" t="s">
        <v>72</v>
      </c>
      <c r="B291" t="s">
        <v>6047</v>
      </c>
      <c r="C291" t="s">
        <v>74</v>
      </c>
      <c r="D291" t="s">
        <v>74</v>
      </c>
      <c r="E291" t="s">
        <v>74</v>
      </c>
      <c r="F291" t="s">
        <v>6048</v>
      </c>
      <c r="G291" t="s">
        <v>74</v>
      </c>
      <c r="H291" t="s">
        <v>74</v>
      </c>
      <c r="I291" t="s">
        <v>6049</v>
      </c>
      <c r="J291" t="s">
        <v>6033</v>
      </c>
      <c r="K291" t="s">
        <v>74</v>
      </c>
      <c r="L291" t="s">
        <v>74</v>
      </c>
      <c r="M291" t="s">
        <v>78</v>
      </c>
      <c r="N291" t="s">
        <v>79</v>
      </c>
      <c r="O291" t="s">
        <v>74</v>
      </c>
      <c r="P291" t="s">
        <v>74</v>
      </c>
      <c r="Q291" t="s">
        <v>74</v>
      </c>
      <c r="R291" t="s">
        <v>74</v>
      </c>
      <c r="S291" t="s">
        <v>74</v>
      </c>
      <c r="T291" t="s">
        <v>74</v>
      </c>
      <c r="U291" t="s">
        <v>6050</v>
      </c>
      <c r="V291" t="s">
        <v>6051</v>
      </c>
      <c r="W291" t="s">
        <v>6052</v>
      </c>
      <c r="X291" t="s">
        <v>6053</v>
      </c>
      <c r="Y291" t="s">
        <v>6054</v>
      </c>
      <c r="Z291" t="s">
        <v>6055</v>
      </c>
      <c r="AA291" t="s">
        <v>6056</v>
      </c>
      <c r="AB291" t="s">
        <v>6057</v>
      </c>
      <c r="AC291" t="s">
        <v>6058</v>
      </c>
      <c r="AD291" t="s">
        <v>6059</v>
      </c>
      <c r="AE291" t="s">
        <v>6060</v>
      </c>
      <c r="AF291" t="s">
        <v>74</v>
      </c>
      <c r="AG291">
        <v>30</v>
      </c>
      <c r="AH291">
        <v>54</v>
      </c>
      <c r="AI291">
        <v>58</v>
      </c>
      <c r="AJ291">
        <v>0</v>
      </c>
      <c r="AK291">
        <v>42</v>
      </c>
      <c r="AL291" t="s">
        <v>1371</v>
      </c>
      <c r="AM291" t="s">
        <v>921</v>
      </c>
      <c r="AN291" t="s">
        <v>6039</v>
      </c>
      <c r="AO291" t="s">
        <v>6040</v>
      </c>
      <c r="AP291" t="s">
        <v>6041</v>
      </c>
      <c r="AQ291" t="s">
        <v>74</v>
      </c>
      <c r="AR291" t="s">
        <v>6042</v>
      </c>
      <c r="AS291" t="s">
        <v>6043</v>
      </c>
      <c r="AT291" t="s">
        <v>4901</v>
      </c>
      <c r="AU291">
        <v>2013</v>
      </c>
      <c r="AV291">
        <v>6</v>
      </c>
      <c r="AW291">
        <v>12</v>
      </c>
      <c r="AX291" t="s">
        <v>74</v>
      </c>
      <c r="AY291" t="s">
        <v>74</v>
      </c>
      <c r="AZ291" t="s">
        <v>74</v>
      </c>
      <c r="BA291" t="s">
        <v>74</v>
      </c>
      <c r="BB291">
        <v>1031</v>
      </c>
      <c r="BC291">
        <v>1035</v>
      </c>
      <c r="BD291" t="s">
        <v>74</v>
      </c>
      <c r="BE291" t="s">
        <v>6061</v>
      </c>
      <c r="BF291" t="str">
        <f>HYPERLINK("http://dx.doi.org/10.1038/NGEO1992","http://dx.doi.org/10.1038/NGEO1992")</f>
        <v>http://dx.doi.org/10.1038/NGEO1992</v>
      </c>
      <c r="BG291" t="s">
        <v>74</v>
      </c>
      <c r="BH291" t="s">
        <v>74</v>
      </c>
      <c r="BI291">
        <v>5</v>
      </c>
      <c r="BJ291" t="s">
        <v>337</v>
      </c>
      <c r="BK291" t="s">
        <v>99</v>
      </c>
      <c r="BL291" t="s">
        <v>338</v>
      </c>
      <c r="BM291" t="s">
        <v>6045</v>
      </c>
      <c r="BN291" t="s">
        <v>74</v>
      </c>
      <c r="BO291" t="s">
        <v>74</v>
      </c>
      <c r="BP291" t="s">
        <v>74</v>
      </c>
      <c r="BQ291" t="s">
        <v>74</v>
      </c>
      <c r="BR291" t="s">
        <v>103</v>
      </c>
      <c r="BS291" t="s">
        <v>6062</v>
      </c>
      <c r="BT291" t="str">
        <f>HYPERLINK("https%3A%2F%2Fwww.webofscience.com%2Fwos%2Fwoscc%2Ffull-record%2FWOS:000327799500016","View Full Record in Web of Science")</f>
        <v>View Full Record in Web of Science</v>
      </c>
    </row>
    <row r="292" spans="1:72" x14ac:dyDescent="0.15">
      <c r="A292" t="s">
        <v>72</v>
      </c>
      <c r="B292" t="s">
        <v>6063</v>
      </c>
      <c r="C292" t="s">
        <v>74</v>
      </c>
      <c r="D292" t="s">
        <v>74</v>
      </c>
      <c r="E292" t="s">
        <v>74</v>
      </c>
      <c r="F292" t="s">
        <v>6064</v>
      </c>
      <c r="G292" t="s">
        <v>74</v>
      </c>
      <c r="H292" t="s">
        <v>74</v>
      </c>
      <c r="I292" t="s">
        <v>6065</v>
      </c>
      <c r="J292" t="s">
        <v>6066</v>
      </c>
      <c r="K292" t="s">
        <v>74</v>
      </c>
      <c r="L292" t="s">
        <v>74</v>
      </c>
      <c r="M292" t="s">
        <v>78</v>
      </c>
      <c r="N292" t="s">
        <v>79</v>
      </c>
      <c r="O292" t="s">
        <v>74</v>
      </c>
      <c r="P292" t="s">
        <v>74</v>
      </c>
      <c r="Q292" t="s">
        <v>74</v>
      </c>
      <c r="R292" t="s">
        <v>74</v>
      </c>
      <c r="S292" t="s">
        <v>74</v>
      </c>
      <c r="T292" t="s">
        <v>6067</v>
      </c>
      <c r="U292" t="s">
        <v>6068</v>
      </c>
      <c r="V292" t="s">
        <v>6069</v>
      </c>
      <c r="W292" t="s">
        <v>6070</v>
      </c>
      <c r="X292" t="s">
        <v>6071</v>
      </c>
      <c r="Y292" t="s">
        <v>6072</v>
      </c>
      <c r="Z292" t="s">
        <v>6073</v>
      </c>
      <c r="AA292" t="s">
        <v>6074</v>
      </c>
      <c r="AB292" t="s">
        <v>6075</v>
      </c>
      <c r="AC292" t="s">
        <v>6076</v>
      </c>
      <c r="AD292" t="s">
        <v>6077</v>
      </c>
      <c r="AE292" t="s">
        <v>74</v>
      </c>
      <c r="AF292" t="s">
        <v>74</v>
      </c>
      <c r="AG292">
        <v>71</v>
      </c>
      <c r="AH292">
        <v>79</v>
      </c>
      <c r="AI292">
        <v>85</v>
      </c>
      <c r="AJ292">
        <v>1</v>
      </c>
      <c r="AK292">
        <v>19</v>
      </c>
      <c r="AL292" t="s">
        <v>783</v>
      </c>
      <c r="AM292" t="s">
        <v>252</v>
      </c>
      <c r="AN292" t="s">
        <v>784</v>
      </c>
      <c r="AO292" t="s">
        <v>6078</v>
      </c>
      <c r="AP292" t="s">
        <v>6079</v>
      </c>
      <c r="AQ292" t="s">
        <v>74</v>
      </c>
      <c r="AR292" t="s">
        <v>6080</v>
      </c>
      <c r="AS292" t="s">
        <v>6081</v>
      </c>
      <c r="AT292" t="s">
        <v>4901</v>
      </c>
      <c r="AU292">
        <v>2013</v>
      </c>
      <c r="AV292">
        <v>72</v>
      </c>
      <c r="AW292" t="s">
        <v>74</v>
      </c>
      <c r="AX292" t="s">
        <v>74</v>
      </c>
      <c r="AY292" t="s">
        <v>74</v>
      </c>
      <c r="AZ292" t="s">
        <v>74</v>
      </c>
      <c r="BA292" t="s">
        <v>74</v>
      </c>
      <c r="BB292">
        <v>1</v>
      </c>
      <c r="BC292">
        <v>16</v>
      </c>
      <c r="BD292" t="s">
        <v>74</v>
      </c>
      <c r="BE292" t="s">
        <v>6082</v>
      </c>
      <c r="BF292" t="str">
        <f>HYPERLINK("http://dx.doi.org/10.1016/j.ocemod.2013.07.004","http://dx.doi.org/10.1016/j.ocemod.2013.07.004")</f>
        <v>http://dx.doi.org/10.1016/j.ocemod.2013.07.004</v>
      </c>
      <c r="BG292" t="s">
        <v>74</v>
      </c>
      <c r="BH292" t="s">
        <v>74</v>
      </c>
      <c r="BI292">
        <v>16</v>
      </c>
      <c r="BJ292" t="s">
        <v>2863</v>
      </c>
      <c r="BK292" t="s">
        <v>99</v>
      </c>
      <c r="BL292" t="s">
        <v>2863</v>
      </c>
      <c r="BM292" t="s">
        <v>6083</v>
      </c>
      <c r="BN292" t="s">
        <v>74</v>
      </c>
      <c r="BO292" t="s">
        <v>831</v>
      </c>
      <c r="BP292" t="s">
        <v>74</v>
      </c>
      <c r="BQ292" t="s">
        <v>74</v>
      </c>
      <c r="BR292" t="s">
        <v>103</v>
      </c>
      <c r="BS292" t="s">
        <v>6084</v>
      </c>
      <c r="BT292" t="str">
        <f>HYPERLINK("https%3A%2F%2Fwww.webofscience.com%2Fwos%2Fwoscc%2Ffull-record%2FWOS:000327484300001","View Full Record in Web of Science")</f>
        <v>View Full Record in Web of Science</v>
      </c>
    </row>
    <row r="293" spans="1:72" x14ac:dyDescent="0.15">
      <c r="A293" t="s">
        <v>72</v>
      </c>
      <c r="B293" t="s">
        <v>6085</v>
      </c>
      <c r="C293" t="s">
        <v>74</v>
      </c>
      <c r="D293" t="s">
        <v>74</v>
      </c>
      <c r="E293" t="s">
        <v>74</v>
      </c>
      <c r="F293" t="s">
        <v>6086</v>
      </c>
      <c r="G293" t="s">
        <v>74</v>
      </c>
      <c r="H293" t="s">
        <v>74</v>
      </c>
      <c r="I293" t="s">
        <v>6087</v>
      </c>
      <c r="J293" t="s">
        <v>6088</v>
      </c>
      <c r="K293" t="s">
        <v>74</v>
      </c>
      <c r="L293" t="s">
        <v>74</v>
      </c>
      <c r="M293" t="s">
        <v>78</v>
      </c>
      <c r="N293" t="s">
        <v>79</v>
      </c>
      <c r="O293" t="s">
        <v>74</v>
      </c>
      <c r="P293" t="s">
        <v>74</v>
      </c>
      <c r="Q293" t="s">
        <v>74</v>
      </c>
      <c r="R293" t="s">
        <v>74</v>
      </c>
      <c r="S293" t="s">
        <v>74</v>
      </c>
      <c r="T293" t="s">
        <v>6089</v>
      </c>
      <c r="U293" t="s">
        <v>6090</v>
      </c>
      <c r="V293" t="s">
        <v>6091</v>
      </c>
      <c r="W293" t="s">
        <v>6092</v>
      </c>
      <c r="X293" t="s">
        <v>6093</v>
      </c>
      <c r="Y293" t="s">
        <v>6094</v>
      </c>
      <c r="Z293" t="s">
        <v>6095</v>
      </c>
      <c r="AA293" t="s">
        <v>6096</v>
      </c>
      <c r="AB293" t="s">
        <v>6097</v>
      </c>
      <c r="AC293" t="s">
        <v>74</v>
      </c>
      <c r="AD293" t="s">
        <v>74</v>
      </c>
      <c r="AE293" t="s">
        <v>74</v>
      </c>
      <c r="AF293" t="s">
        <v>74</v>
      </c>
      <c r="AG293">
        <v>72</v>
      </c>
      <c r="AH293">
        <v>19</v>
      </c>
      <c r="AI293">
        <v>20</v>
      </c>
      <c r="AJ293">
        <v>2</v>
      </c>
      <c r="AK293">
        <v>78</v>
      </c>
      <c r="AL293" t="s">
        <v>6098</v>
      </c>
      <c r="AM293" t="s">
        <v>6099</v>
      </c>
      <c r="AN293" t="s">
        <v>6100</v>
      </c>
      <c r="AO293" t="s">
        <v>6101</v>
      </c>
      <c r="AP293" t="s">
        <v>6102</v>
      </c>
      <c r="AQ293" t="s">
        <v>74</v>
      </c>
      <c r="AR293" t="s">
        <v>6103</v>
      </c>
      <c r="AS293" t="s">
        <v>6104</v>
      </c>
      <c r="AT293" t="s">
        <v>4901</v>
      </c>
      <c r="AU293">
        <v>2013</v>
      </c>
      <c r="AV293">
        <v>13</v>
      </c>
      <c r="AW293">
        <v>6</v>
      </c>
      <c r="AX293" t="s">
        <v>74</v>
      </c>
      <c r="AY293" t="s">
        <v>74</v>
      </c>
      <c r="AZ293" t="s">
        <v>74</v>
      </c>
      <c r="BA293" t="s">
        <v>74</v>
      </c>
      <c r="BB293">
        <v>1313</v>
      </c>
      <c r="BC293">
        <v>1323</v>
      </c>
      <c r="BD293" t="s">
        <v>74</v>
      </c>
      <c r="BE293" t="s">
        <v>6105</v>
      </c>
      <c r="BF293" t="str">
        <f>HYPERLINK("http://dx.doi.org/10.1007/s10113-013-0456-0","http://dx.doi.org/10.1007/s10113-013-0456-0")</f>
        <v>http://dx.doi.org/10.1007/s10113-013-0456-0</v>
      </c>
      <c r="BG293" t="s">
        <v>74</v>
      </c>
      <c r="BH293" t="s">
        <v>74</v>
      </c>
      <c r="BI293">
        <v>11</v>
      </c>
      <c r="BJ293" t="s">
        <v>6106</v>
      </c>
      <c r="BK293" t="s">
        <v>3932</v>
      </c>
      <c r="BL293" t="s">
        <v>420</v>
      </c>
      <c r="BM293" t="s">
        <v>6107</v>
      </c>
      <c r="BN293" t="s">
        <v>74</v>
      </c>
      <c r="BO293" t="s">
        <v>74</v>
      </c>
      <c r="BP293" t="s">
        <v>74</v>
      </c>
      <c r="BQ293" t="s">
        <v>74</v>
      </c>
      <c r="BR293" t="s">
        <v>103</v>
      </c>
      <c r="BS293" t="s">
        <v>6108</v>
      </c>
      <c r="BT293" t="str">
        <f>HYPERLINK("https%3A%2F%2Fwww.webofscience.com%2Fwos%2Fwoscc%2Ffull-record%2FWOS:000327501900015","View Full Record in Web of Science")</f>
        <v>View Full Record in Web of Science</v>
      </c>
    </row>
    <row r="294" spans="1:72" x14ac:dyDescent="0.15">
      <c r="A294" t="s">
        <v>72</v>
      </c>
      <c r="B294" t="s">
        <v>6109</v>
      </c>
      <c r="C294" t="s">
        <v>74</v>
      </c>
      <c r="D294" t="s">
        <v>74</v>
      </c>
      <c r="E294" t="s">
        <v>74</v>
      </c>
      <c r="F294" t="s">
        <v>6110</v>
      </c>
      <c r="G294" t="s">
        <v>74</v>
      </c>
      <c r="H294" t="s">
        <v>74</v>
      </c>
      <c r="I294" t="s">
        <v>6111</v>
      </c>
      <c r="J294" t="s">
        <v>6112</v>
      </c>
      <c r="K294" t="s">
        <v>74</v>
      </c>
      <c r="L294" t="s">
        <v>74</v>
      </c>
      <c r="M294" t="s">
        <v>78</v>
      </c>
      <c r="N294" t="s">
        <v>6113</v>
      </c>
      <c r="O294" t="s">
        <v>74</v>
      </c>
      <c r="P294" t="s">
        <v>74</v>
      </c>
      <c r="Q294" t="s">
        <v>74</v>
      </c>
      <c r="R294" t="s">
        <v>74</v>
      </c>
      <c r="S294" t="s">
        <v>74</v>
      </c>
      <c r="T294" t="s">
        <v>74</v>
      </c>
      <c r="U294" t="s">
        <v>74</v>
      </c>
      <c r="V294" t="s">
        <v>74</v>
      </c>
      <c r="W294" t="s">
        <v>6114</v>
      </c>
      <c r="X294" t="s">
        <v>6115</v>
      </c>
      <c r="Y294" t="s">
        <v>6116</v>
      </c>
      <c r="Z294" t="s">
        <v>6117</v>
      </c>
      <c r="AA294" t="s">
        <v>1040</v>
      </c>
      <c r="AB294" t="s">
        <v>74</v>
      </c>
      <c r="AC294" t="s">
        <v>74</v>
      </c>
      <c r="AD294" t="s">
        <v>74</v>
      </c>
      <c r="AE294" t="s">
        <v>74</v>
      </c>
      <c r="AF294" t="s">
        <v>74</v>
      </c>
      <c r="AG294">
        <v>2</v>
      </c>
      <c r="AH294">
        <v>0</v>
      </c>
      <c r="AI294">
        <v>0</v>
      </c>
      <c r="AJ294">
        <v>0</v>
      </c>
      <c r="AK294">
        <v>7</v>
      </c>
      <c r="AL294" t="s">
        <v>624</v>
      </c>
      <c r="AM294" t="s">
        <v>411</v>
      </c>
      <c r="AN294" t="s">
        <v>412</v>
      </c>
      <c r="AO294" t="s">
        <v>6118</v>
      </c>
      <c r="AP294" t="s">
        <v>6119</v>
      </c>
      <c r="AQ294" t="s">
        <v>74</v>
      </c>
      <c r="AR294" t="s">
        <v>6120</v>
      </c>
      <c r="AS294" t="s">
        <v>6121</v>
      </c>
      <c r="AT294" t="s">
        <v>4901</v>
      </c>
      <c r="AU294">
        <v>2013</v>
      </c>
      <c r="AV294">
        <v>38</v>
      </c>
      <c r="AW294">
        <v>8</v>
      </c>
      <c r="AX294" t="s">
        <v>74</v>
      </c>
      <c r="AY294" t="s">
        <v>74</v>
      </c>
      <c r="AZ294" t="s">
        <v>74</v>
      </c>
      <c r="BA294" t="s">
        <v>74</v>
      </c>
      <c r="BB294" t="s">
        <v>6122</v>
      </c>
      <c r="BC294" t="s">
        <v>6123</v>
      </c>
      <c r="BD294" t="s">
        <v>74</v>
      </c>
      <c r="BE294" t="s">
        <v>6124</v>
      </c>
      <c r="BF294" t="str">
        <f>HYPERLINK("http://dx.doi.org/10.1111/aec.12070","http://dx.doi.org/10.1111/aec.12070")</f>
        <v>http://dx.doi.org/10.1111/aec.12070</v>
      </c>
      <c r="BG294" t="s">
        <v>74</v>
      </c>
      <c r="BH294" t="s">
        <v>74</v>
      </c>
      <c r="BI294">
        <v>2</v>
      </c>
      <c r="BJ294" t="s">
        <v>419</v>
      </c>
      <c r="BK294" t="s">
        <v>99</v>
      </c>
      <c r="BL294" t="s">
        <v>420</v>
      </c>
      <c r="BM294" t="s">
        <v>6125</v>
      </c>
      <c r="BN294" t="s">
        <v>74</v>
      </c>
      <c r="BO294" t="s">
        <v>74</v>
      </c>
      <c r="BP294" t="s">
        <v>74</v>
      </c>
      <c r="BQ294" t="s">
        <v>74</v>
      </c>
      <c r="BR294" t="s">
        <v>103</v>
      </c>
      <c r="BS294" t="s">
        <v>6126</v>
      </c>
      <c r="BT294" t="str">
        <f>HYPERLINK("https%3A%2F%2Fwww.webofscience.com%2Fwos%2Fwoscc%2Ffull-record%2FWOS:000327410200008","View Full Record in Web of Science")</f>
        <v>View Full Record in Web of Science</v>
      </c>
    </row>
    <row r="295" spans="1:72" x14ac:dyDescent="0.15">
      <c r="A295" t="s">
        <v>72</v>
      </c>
      <c r="B295" t="s">
        <v>6127</v>
      </c>
      <c r="C295" t="s">
        <v>74</v>
      </c>
      <c r="D295" t="s">
        <v>74</v>
      </c>
      <c r="E295" t="s">
        <v>74</v>
      </c>
      <c r="F295" t="s">
        <v>6128</v>
      </c>
      <c r="G295" t="s">
        <v>74</v>
      </c>
      <c r="H295" t="s">
        <v>74</v>
      </c>
      <c r="I295" t="s">
        <v>6129</v>
      </c>
      <c r="J295" t="s">
        <v>6130</v>
      </c>
      <c r="K295" t="s">
        <v>74</v>
      </c>
      <c r="L295" t="s">
        <v>74</v>
      </c>
      <c r="M295" t="s">
        <v>78</v>
      </c>
      <c r="N295" t="s">
        <v>79</v>
      </c>
      <c r="O295" t="s">
        <v>74</v>
      </c>
      <c r="P295" t="s">
        <v>74</v>
      </c>
      <c r="Q295" t="s">
        <v>74</v>
      </c>
      <c r="R295" t="s">
        <v>74</v>
      </c>
      <c r="S295" t="s">
        <v>74</v>
      </c>
      <c r="T295" t="s">
        <v>6131</v>
      </c>
      <c r="U295" t="s">
        <v>6132</v>
      </c>
      <c r="V295" t="s">
        <v>6133</v>
      </c>
      <c r="W295" t="s">
        <v>6134</v>
      </c>
      <c r="X295" t="s">
        <v>799</v>
      </c>
      <c r="Y295" t="s">
        <v>6135</v>
      </c>
      <c r="Z295" t="s">
        <v>6136</v>
      </c>
      <c r="AA295" t="s">
        <v>74</v>
      </c>
      <c r="AB295" t="s">
        <v>74</v>
      </c>
      <c r="AC295" t="s">
        <v>6137</v>
      </c>
      <c r="AD295" t="s">
        <v>6138</v>
      </c>
      <c r="AE295" t="s">
        <v>6139</v>
      </c>
      <c r="AF295" t="s">
        <v>74</v>
      </c>
      <c r="AG295">
        <v>25</v>
      </c>
      <c r="AH295">
        <v>10</v>
      </c>
      <c r="AI295">
        <v>10</v>
      </c>
      <c r="AJ295">
        <v>2</v>
      </c>
      <c r="AK295">
        <v>31</v>
      </c>
      <c r="AL295" t="s">
        <v>410</v>
      </c>
      <c r="AM295" t="s">
        <v>411</v>
      </c>
      <c r="AN295" t="s">
        <v>412</v>
      </c>
      <c r="AO295" t="s">
        <v>6140</v>
      </c>
      <c r="AP295" t="s">
        <v>6141</v>
      </c>
      <c r="AQ295" t="s">
        <v>74</v>
      </c>
      <c r="AR295" t="s">
        <v>6142</v>
      </c>
      <c r="AS295" t="s">
        <v>6143</v>
      </c>
      <c r="AT295" t="s">
        <v>4901</v>
      </c>
      <c r="AU295">
        <v>2013</v>
      </c>
      <c r="AV295">
        <v>95</v>
      </c>
      <c r="AW295">
        <v>4</v>
      </c>
      <c r="AX295" t="s">
        <v>74</v>
      </c>
      <c r="AY295" t="s">
        <v>74</v>
      </c>
      <c r="AZ295" t="s">
        <v>74</v>
      </c>
      <c r="BA295" t="s">
        <v>74</v>
      </c>
      <c r="BB295">
        <v>295</v>
      </c>
      <c r="BC295">
        <v>304</v>
      </c>
      <c r="BD295" t="s">
        <v>74</v>
      </c>
      <c r="BE295" t="s">
        <v>6144</v>
      </c>
      <c r="BF295" t="str">
        <f>HYPERLINK("http://dx.doi.org/10.1111/geoa.12023","http://dx.doi.org/10.1111/geoa.12023")</f>
        <v>http://dx.doi.org/10.1111/geoa.12023</v>
      </c>
      <c r="BG295" t="s">
        <v>74</v>
      </c>
      <c r="BH295" t="s">
        <v>74</v>
      </c>
      <c r="BI295">
        <v>10</v>
      </c>
      <c r="BJ295" t="s">
        <v>1075</v>
      </c>
      <c r="BK295" t="s">
        <v>99</v>
      </c>
      <c r="BL295" t="s">
        <v>100</v>
      </c>
      <c r="BM295" t="s">
        <v>6145</v>
      </c>
      <c r="BN295" t="s">
        <v>74</v>
      </c>
      <c r="BO295" t="s">
        <v>74</v>
      </c>
      <c r="BP295" t="s">
        <v>74</v>
      </c>
      <c r="BQ295" t="s">
        <v>74</v>
      </c>
      <c r="BR295" t="s">
        <v>103</v>
      </c>
      <c r="BS295" t="s">
        <v>6146</v>
      </c>
      <c r="BT295" t="str">
        <f>HYPERLINK("https%3A%2F%2Fwww.webofscience.com%2Fwos%2Fwoscc%2Ffull-record%2FWOS:000327553200004","View Full Record in Web of Science")</f>
        <v>View Full Record in Web of Science</v>
      </c>
    </row>
    <row r="296" spans="1:72" x14ac:dyDescent="0.15">
      <c r="A296" t="s">
        <v>72</v>
      </c>
      <c r="B296" t="s">
        <v>6147</v>
      </c>
      <c r="C296" t="s">
        <v>74</v>
      </c>
      <c r="D296" t="s">
        <v>74</v>
      </c>
      <c r="E296" t="s">
        <v>74</v>
      </c>
      <c r="F296" t="s">
        <v>6148</v>
      </c>
      <c r="G296" t="s">
        <v>74</v>
      </c>
      <c r="H296" t="s">
        <v>74</v>
      </c>
      <c r="I296" t="s">
        <v>6149</v>
      </c>
      <c r="J296" t="s">
        <v>1484</v>
      </c>
      <c r="K296" t="s">
        <v>74</v>
      </c>
      <c r="L296" t="s">
        <v>74</v>
      </c>
      <c r="M296" t="s">
        <v>78</v>
      </c>
      <c r="N296" t="s">
        <v>79</v>
      </c>
      <c r="O296" t="s">
        <v>74</v>
      </c>
      <c r="P296" t="s">
        <v>74</v>
      </c>
      <c r="Q296" t="s">
        <v>74</v>
      </c>
      <c r="R296" t="s">
        <v>74</v>
      </c>
      <c r="S296" t="s">
        <v>74</v>
      </c>
      <c r="T296" t="s">
        <v>6150</v>
      </c>
      <c r="U296" t="s">
        <v>6151</v>
      </c>
      <c r="V296" t="s">
        <v>6152</v>
      </c>
      <c r="W296" t="s">
        <v>6153</v>
      </c>
      <c r="X296" t="s">
        <v>6154</v>
      </c>
      <c r="Y296" t="s">
        <v>6155</v>
      </c>
      <c r="Z296" t="s">
        <v>6156</v>
      </c>
      <c r="AA296" t="s">
        <v>6157</v>
      </c>
      <c r="AB296" t="s">
        <v>6158</v>
      </c>
      <c r="AC296" t="s">
        <v>6159</v>
      </c>
      <c r="AD296" t="s">
        <v>6160</v>
      </c>
      <c r="AE296" t="s">
        <v>6161</v>
      </c>
      <c r="AF296" t="s">
        <v>74</v>
      </c>
      <c r="AG296">
        <v>43</v>
      </c>
      <c r="AH296">
        <v>7</v>
      </c>
      <c r="AI296">
        <v>7</v>
      </c>
      <c r="AJ296">
        <v>2</v>
      </c>
      <c r="AK296">
        <v>27</v>
      </c>
      <c r="AL296" t="s">
        <v>1495</v>
      </c>
      <c r="AM296" t="s">
        <v>1496</v>
      </c>
      <c r="AN296" t="s">
        <v>1497</v>
      </c>
      <c r="AO296" t="s">
        <v>1498</v>
      </c>
      <c r="AP296" t="s">
        <v>1499</v>
      </c>
      <c r="AQ296" t="s">
        <v>74</v>
      </c>
      <c r="AR296" t="s">
        <v>1500</v>
      </c>
      <c r="AS296" t="s">
        <v>1501</v>
      </c>
      <c r="AT296" t="s">
        <v>4901</v>
      </c>
      <c r="AU296">
        <v>2013</v>
      </c>
      <c r="AV296">
        <v>26</v>
      </c>
      <c r="AW296">
        <v>24</v>
      </c>
      <c r="AX296" t="s">
        <v>74</v>
      </c>
      <c r="AY296" t="s">
        <v>74</v>
      </c>
      <c r="AZ296" t="s">
        <v>74</v>
      </c>
      <c r="BA296" t="s">
        <v>74</v>
      </c>
      <c r="BB296">
        <v>9729</v>
      </c>
      <c r="BC296">
        <v>9744</v>
      </c>
      <c r="BD296" t="s">
        <v>74</v>
      </c>
      <c r="BE296" t="s">
        <v>6162</v>
      </c>
      <c r="BF296" t="str">
        <f>HYPERLINK("http://dx.doi.org/10.1175/JCLI-D-13-00173.1","http://dx.doi.org/10.1175/JCLI-D-13-00173.1")</f>
        <v>http://dx.doi.org/10.1175/JCLI-D-13-00173.1</v>
      </c>
      <c r="BG296" t="s">
        <v>74</v>
      </c>
      <c r="BH296" t="s">
        <v>74</v>
      </c>
      <c r="BI296">
        <v>16</v>
      </c>
      <c r="BJ296" t="s">
        <v>1503</v>
      </c>
      <c r="BK296" t="s">
        <v>99</v>
      </c>
      <c r="BL296" t="s">
        <v>1503</v>
      </c>
      <c r="BM296" t="s">
        <v>6163</v>
      </c>
      <c r="BN296" t="s">
        <v>74</v>
      </c>
      <c r="BO296" t="s">
        <v>1648</v>
      </c>
      <c r="BP296" t="s">
        <v>74</v>
      </c>
      <c r="BQ296" t="s">
        <v>74</v>
      </c>
      <c r="BR296" t="s">
        <v>103</v>
      </c>
      <c r="BS296" t="s">
        <v>6164</v>
      </c>
      <c r="BT296" t="str">
        <f>HYPERLINK("https%3A%2F%2Fwww.webofscience.com%2Fwos%2Fwoscc%2Ffull-record%2FWOS:000327561700001","View Full Record in Web of Science")</f>
        <v>View Full Record in Web of Science</v>
      </c>
    </row>
    <row r="297" spans="1:72" x14ac:dyDescent="0.15">
      <c r="A297" t="s">
        <v>72</v>
      </c>
      <c r="B297" t="s">
        <v>6165</v>
      </c>
      <c r="C297" t="s">
        <v>74</v>
      </c>
      <c r="D297" t="s">
        <v>74</v>
      </c>
      <c r="E297" t="s">
        <v>74</v>
      </c>
      <c r="F297" t="s">
        <v>6166</v>
      </c>
      <c r="G297" t="s">
        <v>74</v>
      </c>
      <c r="H297" t="s">
        <v>74</v>
      </c>
      <c r="I297" t="s">
        <v>6167</v>
      </c>
      <c r="J297" t="s">
        <v>6168</v>
      </c>
      <c r="K297" t="s">
        <v>74</v>
      </c>
      <c r="L297" t="s">
        <v>74</v>
      </c>
      <c r="M297" t="s">
        <v>78</v>
      </c>
      <c r="N297" t="s">
        <v>79</v>
      </c>
      <c r="O297" t="s">
        <v>74</v>
      </c>
      <c r="P297" t="s">
        <v>74</v>
      </c>
      <c r="Q297" t="s">
        <v>74</v>
      </c>
      <c r="R297" t="s">
        <v>74</v>
      </c>
      <c r="S297" t="s">
        <v>74</v>
      </c>
      <c r="T297" t="s">
        <v>6169</v>
      </c>
      <c r="U297" t="s">
        <v>6170</v>
      </c>
      <c r="V297" t="s">
        <v>6171</v>
      </c>
      <c r="W297" t="s">
        <v>6172</v>
      </c>
      <c r="X297" t="s">
        <v>6173</v>
      </c>
      <c r="Y297" t="s">
        <v>6174</v>
      </c>
      <c r="Z297" t="s">
        <v>6175</v>
      </c>
      <c r="AA297" t="s">
        <v>6176</v>
      </c>
      <c r="AB297" t="s">
        <v>6177</v>
      </c>
      <c r="AC297" t="s">
        <v>6178</v>
      </c>
      <c r="AD297" t="s">
        <v>6179</v>
      </c>
      <c r="AE297" t="s">
        <v>6180</v>
      </c>
      <c r="AF297" t="s">
        <v>74</v>
      </c>
      <c r="AG297">
        <v>58</v>
      </c>
      <c r="AH297">
        <v>7</v>
      </c>
      <c r="AI297">
        <v>9</v>
      </c>
      <c r="AJ297">
        <v>0</v>
      </c>
      <c r="AK297">
        <v>31</v>
      </c>
      <c r="AL297" t="s">
        <v>6098</v>
      </c>
      <c r="AM297" t="s">
        <v>6099</v>
      </c>
      <c r="AN297" t="s">
        <v>6100</v>
      </c>
      <c r="AO297" t="s">
        <v>6181</v>
      </c>
      <c r="AP297" t="s">
        <v>6182</v>
      </c>
      <c r="AQ297" t="s">
        <v>74</v>
      </c>
      <c r="AR297" t="s">
        <v>6183</v>
      </c>
      <c r="AS297" t="s">
        <v>6184</v>
      </c>
      <c r="AT297" t="s">
        <v>4901</v>
      </c>
      <c r="AU297">
        <v>2013</v>
      </c>
      <c r="AV297">
        <v>183</v>
      </c>
      <c r="AW297">
        <v>8</v>
      </c>
      <c r="AX297" t="s">
        <v>74</v>
      </c>
      <c r="AY297" t="s">
        <v>74</v>
      </c>
      <c r="AZ297" t="s">
        <v>74</v>
      </c>
      <c r="BA297" t="s">
        <v>74</v>
      </c>
      <c r="BB297">
        <v>1065</v>
      </c>
      <c r="BC297">
        <v>1074</v>
      </c>
      <c r="BD297" t="s">
        <v>74</v>
      </c>
      <c r="BE297" t="s">
        <v>6185</v>
      </c>
      <c r="BF297" t="str">
        <f>HYPERLINK("http://dx.doi.org/10.1007/s00360-013-0773-0","http://dx.doi.org/10.1007/s00360-013-0773-0")</f>
        <v>http://dx.doi.org/10.1007/s00360-013-0773-0</v>
      </c>
      <c r="BG297" t="s">
        <v>74</v>
      </c>
      <c r="BH297" t="s">
        <v>74</v>
      </c>
      <c r="BI297">
        <v>10</v>
      </c>
      <c r="BJ297" t="s">
        <v>6186</v>
      </c>
      <c r="BK297" t="s">
        <v>99</v>
      </c>
      <c r="BL297" t="s">
        <v>6186</v>
      </c>
      <c r="BM297" t="s">
        <v>6187</v>
      </c>
      <c r="BN297">
        <v>23925408</v>
      </c>
      <c r="BO297" t="s">
        <v>74</v>
      </c>
      <c r="BP297" t="s">
        <v>74</v>
      </c>
      <c r="BQ297" t="s">
        <v>74</v>
      </c>
      <c r="BR297" t="s">
        <v>103</v>
      </c>
      <c r="BS297" t="s">
        <v>6188</v>
      </c>
      <c r="BT297" t="str">
        <f>HYPERLINK("https%3A%2F%2Fwww.webofscience.com%2Fwos%2Fwoscc%2Ffull-record%2FWOS:000327406200006","View Full Record in Web of Science")</f>
        <v>View Full Record in Web of Science</v>
      </c>
    </row>
    <row r="298" spans="1:72" x14ac:dyDescent="0.15">
      <c r="A298" t="s">
        <v>72</v>
      </c>
      <c r="B298" t="s">
        <v>6189</v>
      </c>
      <c r="C298" t="s">
        <v>74</v>
      </c>
      <c r="D298" t="s">
        <v>74</v>
      </c>
      <c r="E298" t="s">
        <v>74</v>
      </c>
      <c r="F298" t="s">
        <v>6190</v>
      </c>
      <c r="G298" t="s">
        <v>74</v>
      </c>
      <c r="H298" t="s">
        <v>74</v>
      </c>
      <c r="I298" t="s">
        <v>6191</v>
      </c>
      <c r="J298" t="s">
        <v>6192</v>
      </c>
      <c r="K298" t="s">
        <v>74</v>
      </c>
      <c r="L298" t="s">
        <v>74</v>
      </c>
      <c r="M298" t="s">
        <v>78</v>
      </c>
      <c r="N298" t="s">
        <v>79</v>
      </c>
      <c r="O298" t="s">
        <v>74</v>
      </c>
      <c r="P298" t="s">
        <v>74</v>
      </c>
      <c r="Q298" t="s">
        <v>74</v>
      </c>
      <c r="R298" t="s">
        <v>74</v>
      </c>
      <c r="S298" t="s">
        <v>74</v>
      </c>
      <c r="T298" t="s">
        <v>6193</v>
      </c>
      <c r="U298" t="s">
        <v>6194</v>
      </c>
      <c r="V298" t="s">
        <v>6195</v>
      </c>
      <c r="W298" t="s">
        <v>6196</v>
      </c>
      <c r="X298" t="s">
        <v>6197</v>
      </c>
      <c r="Y298" t="s">
        <v>6198</v>
      </c>
      <c r="Z298" t="s">
        <v>6199</v>
      </c>
      <c r="AA298" t="s">
        <v>6200</v>
      </c>
      <c r="AB298" t="s">
        <v>6201</v>
      </c>
      <c r="AC298" t="s">
        <v>6202</v>
      </c>
      <c r="AD298" t="s">
        <v>6203</v>
      </c>
      <c r="AE298" t="s">
        <v>6204</v>
      </c>
      <c r="AF298" t="s">
        <v>74</v>
      </c>
      <c r="AG298">
        <v>25</v>
      </c>
      <c r="AH298">
        <v>2</v>
      </c>
      <c r="AI298">
        <v>2</v>
      </c>
      <c r="AJ298">
        <v>0</v>
      </c>
      <c r="AK298">
        <v>28</v>
      </c>
      <c r="AL298" t="s">
        <v>1067</v>
      </c>
      <c r="AM298" t="s">
        <v>1068</v>
      </c>
      <c r="AN298" t="s">
        <v>1163</v>
      </c>
      <c r="AO298" t="s">
        <v>6205</v>
      </c>
      <c r="AP298" t="s">
        <v>6206</v>
      </c>
      <c r="AQ298" t="s">
        <v>74</v>
      </c>
      <c r="AR298" t="s">
        <v>6207</v>
      </c>
      <c r="AS298" t="s">
        <v>6208</v>
      </c>
      <c r="AT298" t="s">
        <v>4901</v>
      </c>
      <c r="AU298">
        <v>2013</v>
      </c>
      <c r="AV298">
        <v>40</v>
      </c>
      <c r="AW298">
        <v>12</v>
      </c>
      <c r="AX298" t="s">
        <v>74</v>
      </c>
      <c r="AY298" t="s">
        <v>74</v>
      </c>
      <c r="AZ298" t="s">
        <v>74</v>
      </c>
      <c r="BA298" t="s">
        <v>74</v>
      </c>
      <c r="BB298">
        <v>6587</v>
      </c>
      <c r="BC298">
        <v>6591</v>
      </c>
      <c r="BD298" t="s">
        <v>74</v>
      </c>
      <c r="BE298" t="s">
        <v>6209</v>
      </c>
      <c r="BF298" t="str">
        <f>HYPERLINK("http://dx.doi.org/10.1007/s11033-013-2771-4","http://dx.doi.org/10.1007/s11033-013-2771-4")</f>
        <v>http://dx.doi.org/10.1007/s11033-013-2771-4</v>
      </c>
      <c r="BG298" t="s">
        <v>74</v>
      </c>
      <c r="BH298" t="s">
        <v>74</v>
      </c>
      <c r="BI298">
        <v>5</v>
      </c>
      <c r="BJ298" t="s">
        <v>234</v>
      </c>
      <c r="BK298" t="s">
        <v>99</v>
      </c>
      <c r="BL298" t="s">
        <v>234</v>
      </c>
      <c r="BM298" t="s">
        <v>6210</v>
      </c>
      <c r="BN298">
        <v>24065544</v>
      </c>
      <c r="BO298" t="s">
        <v>74</v>
      </c>
      <c r="BP298" t="s">
        <v>74</v>
      </c>
      <c r="BQ298" t="s">
        <v>74</v>
      </c>
      <c r="BR298" t="s">
        <v>103</v>
      </c>
      <c r="BS298" t="s">
        <v>6211</v>
      </c>
      <c r="BT298" t="str">
        <f>HYPERLINK("https%3A%2F%2Fwww.webofscience.com%2Fwos%2Fwoscc%2Ffull-record%2FWOS:000327407300007","View Full Record in Web of Science")</f>
        <v>View Full Record in Web of Science</v>
      </c>
    </row>
    <row r="299" spans="1:72" x14ac:dyDescent="0.15">
      <c r="A299" t="s">
        <v>72</v>
      </c>
      <c r="B299" t="s">
        <v>6212</v>
      </c>
      <c r="C299" t="s">
        <v>74</v>
      </c>
      <c r="D299" t="s">
        <v>74</v>
      </c>
      <c r="E299" t="s">
        <v>74</v>
      </c>
      <c r="F299" t="s">
        <v>6213</v>
      </c>
      <c r="G299" t="s">
        <v>74</v>
      </c>
      <c r="H299" t="s">
        <v>74</v>
      </c>
      <c r="I299" t="s">
        <v>6214</v>
      </c>
      <c r="J299" t="s">
        <v>3167</v>
      </c>
      <c r="K299" t="s">
        <v>74</v>
      </c>
      <c r="L299" t="s">
        <v>74</v>
      </c>
      <c r="M299" t="s">
        <v>78</v>
      </c>
      <c r="N299" t="s">
        <v>79</v>
      </c>
      <c r="O299" t="s">
        <v>74</v>
      </c>
      <c r="P299" t="s">
        <v>74</v>
      </c>
      <c r="Q299" t="s">
        <v>74</v>
      </c>
      <c r="R299" t="s">
        <v>74</v>
      </c>
      <c r="S299" t="s">
        <v>74</v>
      </c>
      <c r="T299" t="s">
        <v>6215</v>
      </c>
      <c r="U299" t="s">
        <v>6216</v>
      </c>
      <c r="V299" t="s">
        <v>6217</v>
      </c>
      <c r="W299" t="s">
        <v>6218</v>
      </c>
      <c r="X299" t="s">
        <v>6219</v>
      </c>
      <c r="Y299" t="s">
        <v>6220</v>
      </c>
      <c r="Z299" t="s">
        <v>6221</v>
      </c>
      <c r="AA299" t="s">
        <v>6222</v>
      </c>
      <c r="AB299" t="s">
        <v>6223</v>
      </c>
      <c r="AC299" t="s">
        <v>6224</v>
      </c>
      <c r="AD299" t="s">
        <v>4965</v>
      </c>
      <c r="AE299" t="s">
        <v>6225</v>
      </c>
      <c r="AF299" t="s">
        <v>74</v>
      </c>
      <c r="AG299">
        <v>87</v>
      </c>
      <c r="AH299">
        <v>31</v>
      </c>
      <c r="AI299">
        <v>32</v>
      </c>
      <c r="AJ299">
        <v>2</v>
      </c>
      <c r="AK299">
        <v>55</v>
      </c>
      <c r="AL299" t="s">
        <v>1067</v>
      </c>
      <c r="AM299" t="s">
        <v>921</v>
      </c>
      <c r="AN299" t="s">
        <v>2493</v>
      </c>
      <c r="AO299" t="s">
        <v>3178</v>
      </c>
      <c r="AP299" t="s">
        <v>3179</v>
      </c>
      <c r="AQ299" t="s">
        <v>74</v>
      </c>
      <c r="AR299" t="s">
        <v>3180</v>
      </c>
      <c r="AS299" t="s">
        <v>3181</v>
      </c>
      <c r="AT299" t="s">
        <v>4901</v>
      </c>
      <c r="AU299">
        <v>2013</v>
      </c>
      <c r="AV299">
        <v>36</v>
      </c>
      <c r="AW299">
        <v>12</v>
      </c>
      <c r="AX299" t="s">
        <v>74</v>
      </c>
      <c r="AY299" t="s">
        <v>74</v>
      </c>
      <c r="AZ299" t="s">
        <v>74</v>
      </c>
      <c r="BA299" t="s">
        <v>74</v>
      </c>
      <c r="BB299">
        <v>1749</v>
      </c>
      <c r="BC299">
        <v>1760</v>
      </c>
      <c r="BD299" t="s">
        <v>74</v>
      </c>
      <c r="BE299" t="s">
        <v>6226</v>
      </c>
      <c r="BF299" t="str">
        <f>HYPERLINK("http://dx.doi.org/10.1007/s00300-013-1394-5","http://dx.doi.org/10.1007/s00300-013-1394-5")</f>
        <v>http://dx.doi.org/10.1007/s00300-013-1394-5</v>
      </c>
      <c r="BG299" t="s">
        <v>74</v>
      </c>
      <c r="BH299" t="s">
        <v>74</v>
      </c>
      <c r="BI299">
        <v>12</v>
      </c>
      <c r="BJ299" t="s">
        <v>3183</v>
      </c>
      <c r="BK299" t="s">
        <v>99</v>
      </c>
      <c r="BL299" t="s">
        <v>1050</v>
      </c>
      <c r="BM299" t="s">
        <v>6227</v>
      </c>
      <c r="BN299" t="s">
        <v>74</v>
      </c>
      <c r="BO299" t="s">
        <v>74</v>
      </c>
      <c r="BP299" t="s">
        <v>74</v>
      </c>
      <c r="BQ299" t="s">
        <v>74</v>
      </c>
      <c r="BR299" t="s">
        <v>103</v>
      </c>
      <c r="BS299" t="s">
        <v>6228</v>
      </c>
      <c r="BT299" t="str">
        <f>HYPERLINK("https%3A%2F%2Fwww.webofscience.com%2Fwos%2Fwoscc%2Ffull-record%2FWOS:000327393700004","View Full Record in Web of Science")</f>
        <v>View Full Record in Web of Science</v>
      </c>
    </row>
    <row r="300" spans="1:72" x14ac:dyDescent="0.15">
      <c r="A300" t="s">
        <v>72</v>
      </c>
      <c r="B300" t="s">
        <v>6229</v>
      </c>
      <c r="C300" t="s">
        <v>74</v>
      </c>
      <c r="D300" t="s">
        <v>74</v>
      </c>
      <c r="E300" t="s">
        <v>74</v>
      </c>
      <c r="F300" t="s">
        <v>6230</v>
      </c>
      <c r="G300" t="s">
        <v>74</v>
      </c>
      <c r="H300" t="s">
        <v>74</v>
      </c>
      <c r="I300" t="s">
        <v>6231</v>
      </c>
      <c r="J300" t="s">
        <v>3167</v>
      </c>
      <c r="K300" t="s">
        <v>74</v>
      </c>
      <c r="L300" t="s">
        <v>74</v>
      </c>
      <c r="M300" t="s">
        <v>78</v>
      </c>
      <c r="N300" t="s">
        <v>79</v>
      </c>
      <c r="O300" t="s">
        <v>74</v>
      </c>
      <c r="P300" t="s">
        <v>74</v>
      </c>
      <c r="Q300" t="s">
        <v>74</v>
      </c>
      <c r="R300" t="s">
        <v>74</v>
      </c>
      <c r="S300" t="s">
        <v>74</v>
      </c>
      <c r="T300" t="s">
        <v>6232</v>
      </c>
      <c r="U300" t="s">
        <v>6233</v>
      </c>
      <c r="V300" t="s">
        <v>6234</v>
      </c>
      <c r="W300" t="s">
        <v>6235</v>
      </c>
      <c r="X300" t="s">
        <v>6236</v>
      </c>
      <c r="Y300" t="s">
        <v>6237</v>
      </c>
      <c r="Z300" t="s">
        <v>6238</v>
      </c>
      <c r="AA300" t="s">
        <v>6239</v>
      </c>
      <c r="AB300" t="s">
        <v>6240</v>
      </c>
      <c r="AC300" t="s">
        <v>6241</v>
      </c>
      <c r="AD300" t="s">
        <v>6242</v>
      </c>
      <c r="AE300" t="s">
        <v>6243</v>
      </c>
      <c r="AF300" t="s">
        <v>74</v>
      </c>
      <c r="AG300">
        <v>72</v>
      </c>
      <c r="AH300">
        <v>22</v>
      </c>
      <c r="AI300">
        <v>27</v>
      </c>
      <c r="AJ300">
        <v>0</v>
      </c>
      <c r="AK300">
        <v>27</v>
      </c>
      <c r="AL300" t="s">
        <v>1067</v>
      </c>
      <c r="AM300" t="s">
        <v>921</v>
      </c>
      <c r="AN300" t="s">
        <v>2690</v>
      </c>
      <c r="AO300" t="s">
        <v>3178</v>
      </c>
      <c r="AP300" t="s">
        <v>3179</v>
      </c>
      <c r="AQ300" t="s">
        <v>74</v>
      </c>
      <c r="AR300" t="s">
        <v>3180</v>
      </c>
      <c r="AS300" t="s">
        <v>3181</v>
      </c>
      <c r="AT300" t="s">
        <v>4901</v>
      </c>
      <c r="AU300">
        <v>2013</v>
      </c>
      <c r="AV300">
        <v>36</v>
      </c>
      <c r="AW300">
        <v>12</v>
      </c>
      <c r="AX300" t="s">
        <v>74</v>
      </c>
      <c r="AY300" t="s">
        <v>74</v>
      </c>
      <c r="AZ300" t="s">
        <v>74</v>
      </c>
      <c r="BA300" t="s">
        <v>74</v>
      </c>
      <c r="BB300">
        <v>1779</v>
      </c>
      <c r="BC300">
        <v>1789</v>
      </c>
      <c r="BD300" t="s">
        <v>74</v>
      </c>
      <c r="BE300" t="s">
        <v>6244</v>
      </c>
      <c r="BF300" t="str">
        <f>HYPERLINK("http://dx.doi.org/10.1007/s00300-013-1397-2","http://dx.doi.org/10.1007/s00300-013-1397-2")</f>
        <v>http://dx.doi.org/10.1007/s00300-013-1397-2</v>
      </c>
      <c r="BG300" t="s">
        <v>74</v>
      </c>
      <c r="BH300" t="s">
        <v>74</v>
      </c>
      <c r="BI300">
        <v>11</v>
      </c>
      <c r="BJ300" t="s">
        <v>3183</v>
      </c>
      <c r="BK300" t="s">
        <v>99</v>
      </c>
      <c r="BL300" t="s">
        <v>1050</v>
      </c>
      <c r="BM300" t="s">
        <v>6227</v>
      </c>
      <c r="BN300" t="s">
        <v>74</v>
      </c>
      <c r="BO300" t="s">
        <v>74</v>
      </c>
      <c r="BP300" t="s">
        <v>74</v>
      </c>
      <c r="BQ300" t="s">
        <v>74</v>
      </c>
      <c r="BR300" t="s">
        <v>103</v>
      </c>
      <c r="BS300" t="s">
        <v>6245</v>
      </c>
      <c r="BT300" t="str">
        <f>HYPERLINK("https%3A%2F%2Fwww.webofscience.com%2Fwos%2Fwoscc%2Ffull-record%2FWOS:000327393700006","View Full Record in Web of Science")</f>
        <v>View Full Record in Web of Science</v>
      </c>
    </row>
    <row r="301" spans="1:72" x14ac:dyDescent="0.15">
      <c r="A301" t="s">
        <v>72</v>
      </c>
      <c r="B301" t="s">
        <v>6246</v>
      </c>
      <c r="C301" t="s">
        <v>74</v>
      </c>
      <c r="D301" t="s">
        <v>74</v>
      </c>
      <c r="E301" t="s">
        <v>74</v>
      </c>
      <c r="F301" t="s">
        <v>6247</v>
      </c>
      <c r="G301" t="s">
        <v>74</v>
      </c>
      <c r="H301" t="s">
        <v>74</v>
      </c>
      <c r="I301" t="s">
        <v>6248</v>
      </c>
      <c r="J301" t="s">
        <v>3167</v>
      </c>
      <c r="K301" t="s">
        <v>74</v>
      </c>
      <c r="L301" t="s">
        <v>74</v>
      </c>
      <c r="M301" t="s">
        <v>78</v>
      </c>
      <c r="N301" t="s">
        <v>79</v>
      </c>
      <c r="O301" t="s">
        <v>74</v>
      </c>
      <c r="P301" t="s">
        <v>74</v>
      </c>
      <c r="Q301" t="s">
        <v>74</v>
      </c>
      <c r="R301" t="s">
        <v>74</v>
      </c>
      <c r="S301" t="s">
        <v>74</v>
      </c>
      <c r="T301" t="s">
        <v>6249</v>
      </c>
      <c r="U301" t="s">
        <v>6250</v>
      </c>
      <c r="V301" t="s">
        <v>6251</v>
      </c>
      <c r="W301" t="s">
        <v>6252</v>
      </c>
      <c r="X301" t="s">
        <v>6253</v>
      </c>
      <c r="Y301" t="s">
        <v>6254</v>
      </c>
      <c r="Z301" t="s">
        <v>6255</v>
      </c>
      <c r="AA301" t="s">
        <v>74</v>
      </c>
      <c r="AB301" t="s">
        <v>74</v>
      </c>
      <c r="AC301" t="s">
        <v>6256</v>
      </c>
      <c r="AD301" t="s">
        <v>6257</v>
      </c>
      <c r="AE301" t="s">
        <v>6258</v>
      </c>
      <c r="AF301" t="s">
        <v>74</v>
      </c>
      <c r="AG301">
        <v>50</v>
      </c>
      <c r="AH301">
        <v>4</v>
      </c>
      <c r="AI301">
        <v>5</v>
      </c>
      <c r="AJ301">
        <v>1</v>
      </c>
      <c r="AK301">
        <v>30</v>
      </c>
      <c r="AL301" t="s">
        <v>1067</v>
      </c>
      <c r="AM301" t="s">
        <v>921</v>
      </c>
      <c r="AN301" t="s">
        <v>2493</v>
      </c>
      <c r="AO301" t="s">
        <v>3178</v>
      </c>
      <c r="AP301" t="s">
        <v>3179</v>
      </c>
      <c r="AQ301" t="s">
        <v>74</v>
      </c>
      <c r="AR301" t="s">
        <v>3180</v>
      </c>
      <c r="AS301" t="s">
        <v>3181</v>
      </c>
      <c r="AT301" t="s">
        <v>4901</v>
      </c>
      <c r="AU301">
        <v>2013</v>
      </c>
      <c r="AV301">
        <v>36</v>
      </c>
      <c r="AW301">
        <v>12</v>
      </c>
      <c r="AX301" t="s">
        <v>74</v>
      </c>
      <c r="AY301" t="s">
        <v>74</v>
      </c>
      <c r="AZ301" t="s">
        <v>74</v>
      </c>
      <c r="BA301" t="s">
        <v>74</v>
      </c>
      <c r="BB301">
        <v>1791</v>
      </c>
      <c r="BC301">
        <v>1797</v>
      </c>
      <c r="BD301" t="s">
        <v>74</v>
      </c>
      <c r="BE301" t="s">
        <v>6259</v>
      </c>
      <c r="BF301" t="str">
        <f>HYPERLINK("http://dx.doi.org/10.1007/s00300-013-1398-1","http://dx.doi.org/10.1007/s00300-013-1398-1")</f>
        <v>http://dx.doi.org/10.1007/s00300-013-1398-1</v>
      </c>
      <c r="BG301" t="s">
        <v>74</v>
      </c>
      <c r="BH301" t="s">
        <v>74</v>
      </c>
      <c r="BI301">
        <v>7</v>
      </c>
      <c r="BJ301" t="s">
        <v>3183</v>
      </c>
      <c r="BK301" t="s">
        <v>99</v>
      </c>
      <c r="BL301" t="s">
        <v>1050</v>
      </c>
      <c r="BM301" t="s">
        <v>6227</v>
      </c>
      <c r="BN301" t="s">
        <v>74</v>
      </c>
      <c r="BO301" t="s">
        <v>74</v>
      </c>
      <c r="BP301" t="s">
        <v>74</v>
      </c>
      <c r="BQ301" t="s">
        <v>74</v>
      </c>
      <c r="BR301" t="s">
        <v>103</v>
      </c>
      <c r="BS301" t="s">
        <v>6260</v>
      </c>
      <c r="BT301" t="str">
        <f>HYPERLINK("https%3A%2F%2Fwww.webofscience.com%2Fwos%2Fwoscc%2Ffull-record%2FWOS:000327393700007","View Full Record in Web of Science")</f>
        <v>View Full Record in Web of Science</v>
      </c>
    </row>
    <row r="302" spans="1:72" x14ac:dyDescent="0.15">
      <c r="A302" t="s">
        <v>72</v>
      </c>
      <c r="B302" t="s">
        <v>6261</v>
      </c>
      <c r="C302" t="s">
        <v>74</v>
      </c>
      <c r="D302" t="s">
        <v>74</v>
      </c>
      <c r="E302" t="s">
        <v>74</v>
      </c>
      <c r="F302" t="s">
        <v>6262</v>
      </c>
      <c r="G302" t="s">
        <v>74</v>
      </c>
      <c r="H302" t="s">
        <v>74</v>
      </c>
      <c r="I302" t="s">
        <v>6263</v>
      </c>
      <c r="J302" t="s">
        <v>3167</v>
      </c>
      <c r="K302" t="s">
        <v>74</v>
      </c>
      <c r="L302" t="s">
        <v>74</v>
      </c>
      <c r="M302" t="s">
        <v>78</v>
      </c>
      <c r="N302" t="s">
        <v>79</v>
      </c>
      <c r="O302" t="s">
        <v>74</v>
      </c>
      <c r="P302" t="s">
        <v>74</v>
      </c>
      <c r="Q302" t="s">
        <v>74</v>
      </c>
      <c r="R302" t="s">
        <v>74</v>
      </c>
      <c r="S302" t="s">
        <v>74</v>
      </c>
      <c r="T302" t="s">
        <v>6264</v>
      </c>
      <c r="U302" t="s">
        <v>6265</v>
      </c>
      <c r="V302" t="s">
        <v>6266</v>
      </c>
      <c r="W302" t="s">
        <v>6267</v>
      </c>
      <c r="X302" t="s">
        <v>6268</v>
      </c>
      <c r="Y302" t="s">
        <v>6269</v>
      </c>
      <c r="Z302" t="s">
        <v>6270</v>
      </c>
      <c r="AA302" t="s">
        <v>74</v>
      </c>
      <c r="AB302" t="s">
        <v>6271</v>
      </c>
      <c r="AC302" t="s">
        <v>6272</v>
      </c>
      <c r="AD302" t="s">
        <v>6272</v>
      </c>
      <c r="AE302" t="s">
        <v>6273</v>
      </c>
      <c r="AF302" t="s">
        <v>74</v>
      </c>
      <c r="AG302">
        <v>32</v>
      </c>
      <c r="AH302">
        <v>3</v>
      </c>
      <c r="AI302">
        <v>3</v>
      </c>
      <c r="AJ302">
        <v>0</v>
      </c>
      <c r="AK302">
        <v>22</v>
      </c>
      <c r="AL302" t="s">
        <v>1067</v>
      </c>
      <c r="AM302" t="s">
        <v>921</v>
      </c>
      <c r="AN302" t="s">
        <v>2690</v>
      </c>
      <c r="AO302" t="s">
        <v>3178</v>
      </c>
      <c r="AP302" t="s">
        <v>3179</v>
      </c>
      <c r="AQ302" t="s">
        <v>74</v>
      </c>
      <c r="AR302" t="s">
        <v>3180</v>
      </c>
      <c r="AS302" t="s">
        <v>3181</v>
      </c>
      <c r="AT302" t="s">
        <v>4901</v>
      </c>
      <c r="AU302">
        <v>2013</v>
      </c>
      <c r="AV302">
        <v>36</v>
      </c>
      <c r="AW302">
        <v>12</v>
      </c>
      <c r="AX302" t="s">
        <v>74</v>
      </c>
      <c r="AY302" t="s">
        <v>74</v>
      </c>
      <c r="AZ302" t="s">
        <v>74</v>
      </c>
      <c r="BA302" t="s">
        <v>74</v>
      </c>
      <c r="BB302">
        <v>1839</v>
      </c>
      <c r="BC302">
        <v>1843</v>
      </c>
      <c r="BD302" t="s">
        <v>74</v>
      </c>
      <c r="BE302" t="s">
        <v>6274</v>
      </c>
      <c r="BF302" t="str">
        <f>HYPERLINK("http://dx.doi.org/10.1007/s00300-013-1391-8","http://dx.doi.org/10.1007/s00300-013-1391-8")</f>
        <v>http://dx.doi.org/10.1007/s00300-013-1391-8</v>
      </c>
      <c r="BG302" t="s">
        <v>74</v>
      </c>
      <c r="BH302" t="s">
        <v>74</v>
      </c>
      <c r="BI302">
        <v>5</v>
      </c>
      <c r="BJ302" t="s">
        <v>3183</v>
      </c>
      <c r="BK302" t="s">
        <v>99</v>
      </c>
      <c r="BL302" t="s">
        <v>1050</v>
      </c>
      <c r="BM302" t="s">
        <v>6227</v>
      </c>
      <c r="BN302" t="s">
        <v>74</v>
      </c>
      <c r="BO302" t="s">
        <v>1145</v>
      </c>
      <c r="BP302" t="s">
        <v>74</v>
      </c>
      <c r="BQ302" t="s">
        <v>74</v>
      </c>
      <c r="BR302" t="s">
        <v>103</v>
      </c>
      <c r="BS302" t="s">
        <v>6275</v>
      </c>
      <c r="BT302" t="str">
        <f>HYPERLINK("https%3A%2F%2Fwww.webofscience.com%2Fwos%2Fwoscc%2Ffull-record%2FWOS:000327393700012","View Full Record in Web of Science")</f>
        <v>View Full Record in Web of Science</v>
      </c>
    </row>
    <row r="303" spans="1:72" x14ac:dyDescent="0.15">
      <c r="A303" t="s">
        <v>72</v>
      </c>
      <c r="B303" t="s">
        <v>6276</v>
      </c>
      <c r="C303" t="s">
        <v>74</v>
      </c>
      <c r="D303" t="s">
        <v>74</v>
      </c>
      <c r="E303" t="s">
        <v>74</v>
      </c>
      <c r="F303" t="s">
        <v>6277</v>
      </c>
      <c r="G303" t="s">
        <v>74</v>
      </c>
      <c r="H303" t="s">
        <v>74</v>
      </c>
      <c r="I303" t="s">
        <v>6278</v>
      </c>
      <c r="J303" t="s">
        <v>3167</v>
      </c>
      <c r="K303" t="s">
        <v>74</v>
      </c>
      <c r="L303" t="s">
        <v>74</v>
      </c>
      <c r="M303" t="s">
        <v>78</v>
      </c>
      <c r="N303" t="s">
        <v>79</v>
      </c>
      <c r="O303" t="s">
        <v>74</v>
      </c>
      <c r="P303" t="s">
        <v>74</v>
      </c>
      <c r="Q303" t="s">
        <v>74</v>
      </c>
      <c r="R303" t="s">
        <v>74</v>
      </c>
      <c r="S303" t="s">
        <v>74</v>
      </c>
      <c r="T303" t="s">
        <v>6279</v>
      </c>
      <c r="U303" t="s">
        <v>6280</v>
      </c>
      <c r="V303" t="s">
        <v>6281</v>
      </c>
      <c r="W303" t="s">
        <v>6282</v>
      </c>
      <c r="X303" t="s">
        <v>6283</v>
      </c>
      <c r="Y303" t="s">
        <v>6284</v>
      </c>
      <c r="Z303" t="s">
        <v>6285</v>
      </c>
      <c r="AA303" t="s">
        <v>6286</v>
      </c>
      <c r="AB303" t="s">
        <v>6287</v>
      </c>
      <c r="AC303" t="s">
        <v>74</v>
      </c>
      <c r="AD303" t="s">
        <v>74</v>
      </c>
      <c r="AE303" t="s">
        <v>74</v>
      </c>
      <c r="AF303" t="s">
        <v>74</v>
      </c>
      <c r="AG303">
        <v>26</v>
      </c>
      <c r="AH303">
        <v>1</v>
      </c>
      <c r="AI303">
        <v>1</v>
      </c>
      <c r="AJ303">
        <v>0</v>
      </c>
      <c r="AK303">
        <v>11</v>
      </c>
      <c r="AL303" t="s">
        <v>1067</v>
      </c>
      <c r="AM303" t="s">
        <v>921</v>
      </c>
      <c r="AN303" t="s">
        <v>2690</v>
      </c>
      <c r="AO303" t="s">
        <v>3178</v>
      </c>
      <c r="AP303" t="s">
        <v>3179</v>
      </c>
      <c r="AQ303" t="s">
        <v>74</v>
      </c>
      <c r="AR303" t="s">
        <v>3180</v>
      </c>
      <c r="AS303" t="s">
        <v>3181</v>
      </c>
      <c r="AT303" t="s">
        <v>4901</v>
      </c>
      <c r="AU303">
        <v>2013</v>
      </c>
      <c r="AV303">
        <v>36</v>
      </c>
      <c r="AW303">
        <v>12</v>
      </c>
      <c r="AX303" t="s">
        <v>74</v>
      </c>
      <c r="AY303" t="s">
        <v>74</v>
      </c>
      <c r="AZ303" t="s">
        <v>74</v>
      </c>
      <c r="BA303" t="s">
        <v>74</v>
      </c>
      <c r="BB303">
        <v>1845</v>
      </c>
      <c r="BC303">
        <v>1850</v>
      </c>
      <c r="BD303" t="s">
        <v>74</v>
      </c>
      <c r="BE303" t="s">
        <v>6288</v>
      </c>
      <c r="BF303" t="str">
        <f>HYPERLINK("http://dx.doi.org/10.1007/s00300-013-1392-7","http://dx.doi.org/10.1007/s00300-013-1392-7")</f>
        <v>http://dx.doi.org/10.1007/s00300-013-1392-7</v>
      </c>
      <c r="BG303" t="s">
        <v>74</v>
      </c>
      <c r="BH303" t="s">
        <v>74</v>
      </c>
      <c r="BI303">
        <v>6</v>
      </c>
      <c r="BJ303" t="s">
        <v>3183</v>
      </c>
      <c r="BK303" t="s">
        <v>99</v>
      </c>
      <c r="BL303" t="s">
        <v>1050</v>
      </c>
      <c r="BM303" t="s">
        <v>6227</v>
      </c>
      <c r="BN303" t="s">
        <v>74</v>
      </c>
      <c r="BO303" t="s">
        <v>831</v>
      </c>
      <c r="BP303" t="s">
        <v>74</v>
      </c>
      <c r="BQ303" t="s">
        <v>74</v>
      </c>
      <c r="BR303" t="s">
        <v>103</v>
      </c>
      <c r="BS303" t="s">
        <v>6289</v>
      </c>
      <c r="BT303" t="str">
        <f>HYPERLINK("https%3A%2F%2Fwww.webofscience.com%2Fwos%2Fwoscc%2Ffull-record%2FWOS:000327393700013","View Full Record in Web of Science")</f>
        <v>View Full Record in Web of Science</v>
      </c>
    </row>
    <row r="304" spans="1:72" x14ac:dyDescent="0.15">
      <c r="A304" t="s">
        <v>72</v>
      </c>
      <c r="B304" t="s">
        <v>1016</v>
      </c>
      <c r="C304" t="s">
        <v>74</v>
      </c>
      <c r="D304" t="s">
        <v>74</v>
      </c>
      <c r="E304" t="s">
        <v>74</v>
      </c>
      <c r="F304" t="s">
        <v>1016</v>
      </c>
      <c r="G304" t="s">
        <v>74</v>
      </c>
      <c r="H304" t="s">
        <v>74</v>
      </c>
      <c r="I304" t="s">
        <v>6290</v>
      </c>
      <c r="J304" t="s">
        <v>6291</v>
      </c>
      <c r="K304" t="s">
        <v>74</v>
      </c>
      <c r="L304" t="s">
        <v>74</v>
      </c>
      <c r="M304" t="s">
        <v>78</v>
      </c>
      <c r="N304" t="s">
        <v>1019</v>
      </c>
      <c r="O304" t="s">
        <v>74</v>
      </c>
      <c r="P304" t="s">
        <v>74</v>
      </c>
      <c r="Q304" t="s">
        <v>74</v>
      </c>
      <c r="R304" t="s">
        <v>74</v>
      </c>
      <c r="S304" t="s">
        <v>74</v>
      </c>
      <c r="T304" t="s">
        <v>74</v>
      </c>
      <c r="U304" t="s">
        <v>74</v>
      </c>
      <c r="V304" t="s">
        <v>74</v>
      </c>
      <c r="W304" t="s">
        <v>74</v>
      </c>
      <c r="X304" t="s">
        <v>74</v>
      </c>
      <c r="Y304" t="s">
        <v>74</v>
      </c>
      <c r="Z304" t="s">
        <v>74</v>
      </c>
      <c r="AA304" t="s">
        <v>74</v>
      </c>
      <c r="AB304" t="s">
        <v>74</v>
      </c>
      <c r="AC304" t="s">
        <v>74</v>
      </c>
      <c r="AD304" t="s">
        <v>74</v>
      </c>
      <c r="AE304" t="s">
        <v>74</v>
      </c>
      <c r="AF304" t="s">
        <v>74</v>
      </c>
      <c r="AG304">
        <v>0</v>
      </c>
      <c r="AH304">
        <v>0</v>
      </c>
      <c r="AI304">
        <v>0</v>
      </c>
      <c r="AJ304">
        <v>0</v>
      </c>
      <c r="AK304">
        <v>2</v>
      </c>
      <c r="AL304" t="s">
        <v>624</v>
      </c>
      <c r="AM304" t="s">
        <v>411</v>
      </c>
      <c r="AN304" t="s">
        <v>412</v>
      </c>
      <c r="AO304" t="s">
        <v>6292</v>
      </c>
      <c r="AP304" t="s">
        <v>6293</v>
      </c>
      <c r="AQ304" t="s">
        <v>74</v>
      </c>
      <c r="AR304" t="s">
        <v>6291</v>
      </c>
      <c r="AS304" t="s">
        <v>6294</v>
      </c>
      <c r="AT304" t="s">
        <v>4901</v>
      </c>
      <c r="AU304">
        <v>2013</v>
      </c>
      <c r="AV304">
        <v>68</v>
      </c>
      <c r="AW304">
        <v>12</v>
      </c>
      <c r="AX304" t="s">
        <v>74</v>
      </c>
      <c r="AY304" t="s">
        <v>74</v>
      </c>
      <c r="AZ304" t="s">
        <v>74</v>
      </c>
      <c r="BA304" t="s">
        <v>74</v>
      </c>
      <c r="BB304">
        <v>310</v>
      </c>
      <c r="BC304">
        <v>310</v>
      </c>
      <c r="BD304" t="s">
        <v>74</v>
      </c>
      <c r="BE304" t="s">
        <v>74</v>
      </c>
      <c r="BF304" t="s">
        <v>74</v>
      </c>
      <c r="BG304" t="s">
        <v>74</v>
      </c>
      <c r="BH304" t="s">
        <v>74</v>
      </c>
      <c r="BI304">
        <v>1</v>
      </c>
      <c r="BJ304" t="s">
        <v>1503</v>
      </c>
      <c r="BK304" t="s">
        <v>99</v>
      </c>
      <c r="BL304" t="s">
        <v>1503</v>
      </c>
      <c r="BM304" t="s">
        <v>6295</v>
      </c>
      <c r="BN304" t="s">
        <v>74</v>
      </c>
      <c r="BO304" t="s">
        <v>74</v>
      </c>
      <c r="BP304" t="s">
        <v>74</v>
      </c>
      <c r="BQ304" t="s">
        <v>74</v>
      </c>
      <c r="BR304" t="s">
        <v>103</v>
      </c>
      <c r="BS304" t="s">
        <v>6296</v>
      </c>
      <c r="BT304" t="str">
        <f>HYPERLINK("https%3A%2F%2Fwww.webofscience.com%2Fwos%2Fwoscc%2Ffull-record%2FWOS:000327434400006","View Full Record in Web of Science")</f>
        <v>View Full Record in Web of Science</v>
      </c>
    </row>
    <row r="305" spans="1:72" x14ac:dyDescent="0.15">
      <c r="A305" t="s">
        <v>72</v>
      </c>
      <c r="B305" t="s">
        <v>6297</v>
      </c>
      <c r="C305" t="s">
        <v>74</v>
      </c>
      <c r="D305" t="s">
        <v>74</v>
      </c>
      <c r="E305" t="s">
        <v>74</v>
      </c>
      <c r="F305" t="s">
        <v>6298</v>
      </c>
      <c r="G305" t="s">
        <v>74</v>
      </c>
      <c r="H305" t="s">
        <v>74</v>
      </c>
      <c r="I305" t="s">
        <v>6299</v>
      </c>
      <c r="J305" t="s">
        <v>6300</v>
      </c>
      <c r="K305" t="s">
        <v>74</v>
      </c>
      <c r="L305" t="s">
        <v>74</v>
      </c>
      <c r="M305" t="s">
        <v>78</v>
      </c>
      <c r="N305" t="s">
        <v>79</v>
      </c>
      <c r="O305" t="s">
        <v>74</v>
      </c>
      <c r="P305" t="s">
        <v>74</v>
      </c>
      <c r="Q305" t="s">
        <v>74</v>
      </c>
      <c r="R305" t="s">
        <v>74</v>
      </c>
      <c r="S305" t="s">
        <v>74</v>
      </c>
      <c r="T305" t="s">
        <v>6301</v>
      </c>
      <c r="U305" t="s">
        <v>6302</v>
      </c>
      <c r="V305" t="s">
        <v>6303</v>
      </c>
      <c r="W305" t="s">
        <v>6304</v>
      </c>
      <c r="X305" t="s">
        <v>6305</v>
      </c>
      <c r="Y305" t="s">
        <v>6306</v>
      </c>
      <c r="Z305" t="s">
        <v>6307</v>
      </c>
      <c r="AA305" t="s">
        <v>6308</v>
      </c>
      <c r="AB305" t="s">
        <v>6309</v>
      </c>
      <c r="AC305" t="s">
        <v>6310</v>
      </c>
      <c r="AD305" t="s">
        <v>6311</v>
      </c>
      <c r="AE305" t="s">
        <v>6312</v>
      </c>
      <c r="AF305" t="s">
        <v>74</v>
      </c>
      <c r="AG305">
        <v>72</v>
      </c>
      <c r="AH305">
        <v>42</v>
      </c>
      <c r="AI305">
        <v>46</v>
      </c>
      <c r="AJ305">
        <v>2</v>
      </c>
      <c r="AK305">
        <v>21</v>
      </c>
      <c r="AL305" t="s">
        <v>1067</v>
      </c>
      <c r="AM305" t="s">
        <v>921</v>
      </c>
      <c r="AN305" t="s">
        <v>2493</v>
      </c>
      <c r="AO305" t="s">
        <v>6313</v>
      </c>
      <c r="AP305" t="s">
        <v>6314</v>
      </c>
      <c r="AQ305" t="s">
        <v>74</v>
      </c>
      <c r="AR305" t="s">
        <v>6315</v>
      </c>
      <c r="AS305" t="s">
        <v>6316</v>
      </c>
      <c r="AT305" t="s">
        <v>4901</v>
      </c>
      <c r="AU305">
        <v>2013</v>
      </c>
      <c r="AV305">
        <v>41</v>
      </c>
      <c r="AW305" t="s">
        <v>6317</v>
      </c>
      <c r="AX305" t="s">
        <v>74</v>
      </c>
      <c r="AY305" t="s">
        <v>74</v>
      </c>
      <c r="AZ305" t="s">
        <v>74</v>
      </c>
      <c r="BA305" t="s">
        <v>74</v>
      </c>
      <c r="BB305">
        <v>3145</v>
      </c>
      <c r="BC305">
        <v>3165</v>
      </c>
      <c r="BD305" t="s">
        <v>74</v>
      </c>
      <c r="BE305" t="s">
        <v>6318</v>
      </c>
      <c r="BF305" t="str">
        <f>HYPERLINK("http://dx.doi.org/10.1007/s00382-013-1718-8","http://dx.doi.org/10.1007/s00382-013-1718-8")</f>
        <v>http://dx.doi.org/10.1007/s00382-013-1718-8</v>
      </c>
      <c r="BG305" t="s">
        <v>74</v>
      </c>
      <c r="BH305" t="s">
        <v>74</v>
      </c>
      <c r="BI305">
        <v>21</v>
      </c>
      <c r="BJ305" t="s">
        <v>1503</v>
      </c>
      <c r="BK305" t="s">
        <v>99</v>
      </c>
      <c r="BL305" t="s">
        <v>1503</v>
      </c>
      <c r="BM305" t="s">
        <v>6319</v>
      </c>
      <c r="BN305" t="s">
        <v>74</v>
      </c>
      <c r="BO305" t="s">
        <v>74</v>
      </c>
      <c r="BP305" t="s">
        <v>74</v>
      </c>
      <c r="BQ305" t="s">
        <v>74</v>
      </c>
      <c r="BR305" t="s">
        <v>103</v>
      </c>
      <c r="BS305" t="s">
        <v>6320</v>
      </c>
      <c r="BT305" t="str">
        <f>HYPERLINK("https%3A%2F%2Fwww.webofscience.com%2Fwos%2Fwoscc%2Ffull-record%2FWOS:000327080400019","View Full Record in Web of Science")</f>
        <v>View Full Record in Web of Science</v>
      </c>
    </row>
    <row r="306" spans="1:72" x14ac:dyDescent="0.15">
      <c r="A306" t="s">
        <v>72</v>
      </c>
      <c r="B306" t="s">
        <v>6321</v>
      </c>
      <c r="C306" t="s">
        <v>74</v>
      </c>
      <c r="D306" t="s">
        <v>74</v>
      </c>
      <c r="E306" t="s">
        <v>74</v>
      </c>
      <c r="F306" t="s">
        <v>6322</v>
      </c>
      <c r="G306" t="s">
        <v>74</v>
      </c>
      <c r="H306" t="s">
        <v>74</v>
      </c>
      <c r="I306" t="s">
        <v>6323</v>
      </c>
      <c r="J306" t="s">
        <v>6300</v>
      </c>
      <c r="K306" t="s">
        <v>74</v>
      </c>
      <c r="L306" t="s">
        <v>74</v>
      </c>
      <c r="M306" t="s">
        <v>78</v>
      </c>
      <c r="N306" t="s">
        <v>79</v>
      </c>
      <c r="O306" t="s">
        <v>74</v>
      </c>
      <c r="P306" t="s">
        <v>74</v>
      </c>
      <c r="Q306" t="s">
        <v>74</v>
      </c>
      <c r="R306" t="s">
        <v>74</v>
      </c>
      <c r="S306" t="s">
        <v>74</v>
      </c>
      <c r="T306" t="s">
        <v>6324</v>
      </c>
      <c r="U306" t="s">
        <v>6325</v>
      </c>
      <c r="V306" t="s">
        <v>6326</v>
      </c>
      <c r="W306" t="s">
        <v>6327</v>
      </c>
      <c r="X306" t="s">
        <v>6328</v>
      </c>
      <c r="Y306" t="s">
        <v>6329</v>
      </c>
      <c r="Z306" t="s">
        <v>6330</v>
      </c>
      <c r="AA306" t="s">
        <v>6331</v>
      </c>
      <c r="AB306" t="s">
        <v>6332</v>
      </c>
      <c r="AC306" t="s">
        <v>6333</v>
      </c>
      <c r="AD306" t="s">
        <v>6334</v>
      </c>
      <c r="AE306" t="s">
        <v>6335</v>
      </c>
      <c r="AF306" t="s">
        <v>74</v>
      </c>
      <c r="AG306">
        <v>50</v>
      </c>
      <c r="AH306">
        <v>34</v>
      </c>
      <c r="AI306">
        <v>35</v>
      </c>
      <c r="AJ306">
        <v>0</v>
      </c>
      <c r="AK306">
        <v>36</v>
      </c>
      <c r="AL306" t="s">
        <v>1067</v>
      </c>
      <c r="AM306" t="s">
        <v>921</v>
      </c>
      <c r="AN306" t="s">
        <v>2493</v>
      </c>
      <c r="AO306" t="s">
        <v>6313</v>
      </c>
      <c r="AP306" t="s">
        <v>6314</v>
      </c>
      <c r="AQ306" t="s">
        <v>74</v>
      </c>
      <c r="AR306" t="s">
        <v>6315</v>
      </c>
      <c r="AS306" t="s">
        <v>6316</v>
      </c>
      <c r="AT306" t="s">
        <v>4901</v>
      </c>
      <c r="AU306">
        <v>2013</v>
      </c>
      <c r="AV306">
        <v>41</v>
      </c>
      <c r="AW306" t="s">
        <v>6317</v>
      </c>
      <c r="AX306" t="s">
        <v>74</v>
      </c>
      <c r="AY306" t="s">
        <v>74</v>
      </c>
      <c r="AZ306" t="s">
        <v>74</v>
      </c>
      <c r="BA306" t="s">
        <v>74</v>
      </c>
      <c r="BB306">
        <v>3247</v>
      </c>
      <c r="BC306">
        <v>3260</v>
      </c>
      <c r="BD306" t="s">
        <v>74</v>
      </c>
      <c r="BE306" t="s">
        <v>6336</v>
      </c>
      <c r="BF306" t="str">
        <f>HYPERLINK("http://dx.doi.org/10.1007/s00382-013-1903-9","http://dx.doi.org/10.1007/s00382-013-1903-9")</f>
        <v>http://dx.doi.org/10.1007/s00382-013-1903-9</v>
      </c>
      <c r="BG306" t="s">
        <v>74</v>
      </c>
      <c r="BH306" t="s">
        <v>74</v>
      </c>
      <c r="BI306">
        <v>14</v>
      </c>
      <c r="BJ306" t="s">
        <v>1503</v>
      </c>
      <c r="BK306" t="s">
        <v>99</v>
      </c>
      <c r="BL306" t="s">
        <v>1503</v>
      </c>
      <c r="BM306" t="s">
        <v>6319</v>
      </c>
      <c r="BN306" t="s">
        <v>74</v>
      </c>
      <c r="BO306" t="s">
        <v>74</v>
      </c>
      <c r="BP306" t="s">
        <v>74</v>
      </c>
      <c r="BQ306" t="s">
        <v>74</v>
      </c>
      <c r="BR306" t="s">
        <v>103</v>
      </c>
      <c r="BS306" t="s">
        <v>6337</v>
      </c>
      <c r="BT306" t="str">
        <f>HYPERLINK("https%3A%2F%2Fwww.webofscience.com%2Fwos%2Fwoscc%2Ffull-record%2FWOS:000327080400023","View Full Record in Web of Science")</f>
        <v>View Full Record in Web of Science</v>
      </c>
    </row>
    <row r="307" spans="1:72" x14ac:dyDescent="0.15">
      <c r="A307" t="s">
        <v>72</v>
      </c>
      <c r="B307" t="s">
        <v>6338</v>
      </c>
      <c r="C307" t="s">
        <v>74</v>
      </c>
      <c r="D307" t="s">
        <v>74</v>
      </c>
      <c r="E307" t="s">
        <v>74</v>
      </c>
      <c r="F307" t="s">
        <v>6339</v>
      </c>
      <c r="G307" t="s">
        <v>74</v>
      </c>
      <c r="H307" t="s">
        <v>74</v>
      </c>
      <c r="I307" t="s">
        <v>6340</v>
      </c>
      <c r="J307" t="s">
        <v>6300</v>
      </c>
      <c r="K307" t="s">
        <v>74</v>
      </c>
      <c r="L307" t="s">
        <v>74</v>
      </c>
      <c r="M307" t="s">
        <v>78</v>
      </c>
      <c r="N307" t="s">
        <v>79</v>
      </c>
      <c r="O307" t="s">
        <v>74</v>
      </c>
      <c r="P307" t="s">
        <v>74</v>
      </c>
      <c r="Q307" t="s">
        <v>74</v>
      </c>
      <c r="R307" t="s">
        <v>74</v>
      </c>
      <c r="S307" t="s">
        <v>74</v>
      </c>
      <c r="T307" t="s">
        <v>74</v>
      </c>
      <c r="U307" t="s">
        <v>6341</v>
      </c>
      <c r="V307" t="s">
        <v>6342</v>
      </c>
      <c r="W307" t="s">
        <v>6343</v>
      </c>
      <c r="X307" t="s">
        <v>146</v>
      </c>
      <c r="Y307" t="s">
        <v>6344</v>
      </c>
      <c r="Z307" t="s">
        <v>6345</v>
      </c>
      <c r="AA307" t="s">
        <v>6346</v>
      </c>
      <c r="AB307" t="s">
        <v>6347</v>
      </c>
      <c r="AC307" t="s">
        <v>6348</v>
      </c>
      <c r="AD307" t="s">
        <v>1723</v>
      </c>
      <c r="AE307" t="s">
        <v>6349</v>
      </c>
      <c r="AF307" t="s">
        <v>74</v>
      </c>
      <c r="AG307">
        <v>44</v>
      </c>
      <c r="AH307">
        <v>56</v>
      </c>
      <c r="AI307">
        <v>61</v>
      </c>
      <c r="AJ307">
        <v>2</v>
      </c>
      <c r="AK307">
        <v>59</v>
      </c>
      <c r="AL307" t="s">
        <v>1067</v>
      </c>
      <c r="AM307" t="s">
        <v>921</v>
      </c>
      <c r="AN307" t="s">
        <v>2493</v>
      </c>
      <c r="AO307" t="s">
        <v>6313</v>
      </c>
      <c r="AP307" t="s">
        <v>6314</v>
      </c>
      <c r="AQ307" t="s">
        <v>74</v>
      </c>
      <c r="AR307" t="s">
        <v>6315</v>
      </c>
      <c r="AS307" t="s">
        <v>6316</v>
      </c>
      <c r="AT307" t="s">
        <v>4901</v>
      </c>
      <c r="AU307">
        <v>2013</v>
      </c>
      <c r="AV307">
        <v>41</v>
      </c>
      <c r="AW307" t="s">
        <v>6317</v>
      </c>
      <c r="AX307" t="s">
        <v>74</v>
      </c>
      <c r="AY307" t="s">
        <v>74</v>
      </c>
      <c r="AZ307" t="s">
        <v>74</v>
      </c>
      <c r="BA307" t="s">
        <v>74</v>
      </c>
      <c r="BB307">
        <v>3283</v>
      </c>
      <c r="BC307">
        <v>3300</v>
      </c>
      <c r="BD307" t="s">
        <v>74</v>
      </c>
      <c r="BE307" t="s">
        <v>6350</v>
      </c>
      <c r="BF307" t="str">
        <f>HYPERLINK("http://dx.doi.org/10.1007/s00382-013-1743-7","http://dx.doi.org/10.1007/s00382-013-1743-7")</f>
        <v>http://dx.doi.org/10.1007/s00382-013-1743-7</v>
      </c>
      <c r="BG307" t="s">
        <v>74</v>
      </c>
      <c r="BH307" t="s">
        <v>74</v>
      </c>
      <c r="BI307">
        <v>18</v>
      </c>
      <c r="BJ307" t="s">
        <v>1503</v>
      </c>
      <c r="BK307" t="s">
        <v>99</v>
      </c>
      <c r="BL307" t="s">
        <v>1503</v>
      </c>
      <c r="BM307" t="s">
        <v>6319</v>
      </c>
      <c r="BN307" t="s">
        <v>74</v>
      </c>
      <c r="BO307" t="s">
        <v>74</v>
      </c>
      <c r="BP307" t="s">
        <v>74</v>
      </c>
      <c r="BQ307" t="s">
        <v>74</v>
      </c>
      <c r="BR307" t="s">
        <v>103</v>
      </c>
      <c r="BS307" t="s">
        <v>6351</v>
      </c>
      <c r="BT307" t="str">
        <f>HYPERLINK("https%3A%2F%2Fwww.webofscience.com%2Fwos%2Fwoscc%2Ffull-record%2FWOS:000327080400025","View Full Record in Web of Science")</f>
        <v>View Full Record in Web of Science</v>
      </c>
    </row>
    <row r="308" spans="1:72" x14ac:dyDescent="0.15">
      <c r="A308" t="s">
        <v>72</v>
      </c>
      <c r="B308" t="s">
        <v>6352</v>
      </c>
      <c r="C308" t="s">
        <v>74</v>
      </c>
      <c r="D308" t="s">
        <v>74</v>
      </c>
      <c r="E308" t="s">
        <v>74</v>
      </c>
      <c r="F308" t="s">
        <v>6353</v>
      </c>
      <c r="G308" t="s">
        <v>74</v>
      </c>
      <c r="H308" t="s">
        <v>74</v>
      </c>
      <c r="I308" t="s">
        <v>6354</v>
      </c>
      <c r="J308" t="s">
        <v>6355</v>
      </c>
      <c r="K308" t="s">
        <v>74</v>
      </c>
      <c r="L308" t="s">
        <v>74</v>
      </c>
      <c r="M308" t="s">
        <v>78</v>
      </c>
      <c r="N308" t="s">
        <v>79</v>
      </c>
      <c r="O308" t="s">
        <v>74</v>
      </c>
      <c r="P308" t="s">
        <v>74</v>
      </c>
      <c r="Q308" t="s">
        <v>74</v>
      </c>
      <c r="R308" t="s">
        <v>74</v>
      </c>
      <c r="S308" t="s">
        <v>74</v>
      </c>
      <c r="T308" t="s">
        <v>6356</v>
      </c>
      <c r="U308" t="s">
        <v>6357</v>
      </c>
      <c r="V308" t="s">
        <v>6358</v>
      </c>
      <c r="W308" t="s">
        <v>6359</v>
      </c>
      <c r="X308" t="s">
        <v>6360</v>
      </c>
      <c r="Y308" t="s">
        <v>6361</v>
      </c>
      <c r="Z308" t="s">
        <v>6362</v>
      </c>
      <c r="AA308" t="s">
        <v>74</v>
      </c>
      <c r="AB308" t="s">
        <v>6363</v>
      </c>
      <c r="AC308" t="s">
        <v>6364</v>
      </c>
      <c r="AD308" t="s">
        <v>1564</v>
      </c>
      <c r="AE308" t="s">
        <v>6365</v>
      </c>
      <c r="AF308" t="s">
        <v>74</v>
      </c>
      <c r="AG308">
        <v>87</v>
      </c>
      <c r="AH308">
        <v>21</v>
      </c>
      <c r="AI308">
        <v>22</v>
      </c>
      <c r="AJ308">
        <v>0</v>
      </c>
      <c r="AK308">
        <v>50</v>
      </c>
      <c r="AL308" t="s">
        <v>872</v>
      </c>
      <c r="AM308" t="s">
        <v>252</v>
      </c>
      <c r="AN308" t="s">
        <v>873</v>
      </c>
      <c r="AO308" t="s">
        <v>6366</v>
      </c>
      <c r="AP308" t="s">
        <v>6367</v>
      </c>
      <c r="AQ308" t="s">
        <v>74</v>
      </c>
      <c r="AR308" t="s">
        <v>6368</v>
      </c>
      <c r="AS308" t="s">
        <v>6369</v>
      </c>
      <c r="AT308" t="s">
        <v>4901</v>
      </c>
      <c r="AU308">
        <v>2013</v>
      </c>
      <c r="AV308">
        <v>82</v>
      </c>
      <c r="AW308" t="s">
        <v>74</v>
      </c>
      <c r="AX308" t="s">
        <v>74</v>
      </c>
      <c r="AY308" t="s">
        <v>74</v>
      </c>
      <c r="AZ308" t="s">
        <v>74</v>
      </c>
      <c r="BA308" t="s">
        <v>74</v>
      </c>
      <c r="BB308">
        <v>17</v>
      </c>
      <c r="BC308">
        <v>31</v>
      </c>
      <c r="BD308" t="s">
        <v>74</v>
      </c>
      <c r="BE308" t="s">
        <v>6370</v>
      </c>
      <c r="BF308" t="str">
        <f>HYPERLINK("http://dx.doi.org/10.1016/j.dsr.2013.08.001","http://dx.doi.org/10.1016/j.dsr.2013.08.001")</f>
        <v>http://dx.doi.org/10.1016/j.dsr.2013.08.001</v>
      </c>
      <c r="BG308" t="s">
        <v>74</v>
      </c>
      <c r="BH308" t="s">
        <v>74</v>
      </c>
      <c r="BI308">
        <v>15</v>
      </c>
      <c r="BJ308" t="s">
        <v>1613</v>
      </c>
      <c r="BK308" t="s">
        <v>99</v>
      </c>
      <c r="BL308" t="s">
        <v>1613</v>
      </c>
      <c r="BM308" t="s">
        <v>6371</v>
      </c>
      <c r="BN308" t="s">
        <v>74</v>
      </c>
      <c r="BO308" t="s">
        <v>74</v>
      </c>
      <c r="BP308" t="s">
        <v>74</v>
      </c>
      <c r="BQ308" t="s">
        <v>74</v>
      </c>
      <c r="BR308" t="s">
        <v>103</v>
      </c>
      <c r="BS308" t="s">
        <v>6372</v>
      </c>
      <c r="BT308" t="str">
        <f>HYPERLINK("https%3A%2F%2Fwww.webofscience.com%2Fwos%2Fwoscc%2Ffull-record%2FWOS:000327169100003","View Full Record in Web of Science")</f>
        <v>View Full Record in Web of Science</v>
      </c>
    </row>
    <row r="309" spans="1:72" x14ac:dyDescent="0.15">
      <c r="A309" t="s">
        <v>72</v>
      </c>
      <c r="B309" t="s">
        <v>6373</v>
      </c>
      <c r="C309" t="s">
        <v>74</v>
      </c>
      <c r="D309" t="s">
        <v>74</v>
      </c>
      <c r="E309" t="s">
        <v>74</v>
      </c>
      <c r="F309" t="s">
        <v>6374</v>
      </c>
      <c r="G309" t="s">
        <v>74</v>
      </c>
      <c r="H309" t="s">
        <v>74</v>
      </c>
      <c r="I309" t="s">
        <v>6375</v>
      </c>
      <c r="J309" t="s">
        <v>6355</v>
      </c>
      <c r="K309" t="s">
        <v>74</v>
      </c>
      <c r="L309" t="s">
        <v>74</v>
      </c>
      <c r="M309" t="s">
        <v>78</v>
      </c>
      <c r="N309" t="s">
        <v>79</v>
      </c>
      <c r="O309" t="s">
        <v>74</v>
      </c>
      <c r="P309" t="s">
        <v>74</v>
      </c>
      <c r="Q309" t="s">
        <v>74</v>
      </c>
      <c r="R309" t="s">
        <v>74</v>
      </c>
      <c r="S309" t="s">
        <v>74</v>
      </c>
      <c r="T309" t="s">
        <v>6376</v>
      </c>
      <c r="U309" t="s">
        <v>6377</v>
      </c>
      <c r="V309" t="s">
        <v>6378</v>
      </c>
      <c r="W309" t="s">
        <v>6379</v>
      </c>
      <c r="X309" t="s">
        <v>6380</v>
      </c>
      <c r="Y309" t="s">
        <v>6381</v>
      </c>
      <c r="Z309" t="s">
        <v>6382</v>
      </c>
      <c r="AA309" t="s">
        <v>6383</v>
      </c>
      <c r="AB309" t="s">
        <v>6384</v>
      </c>
      <c r="AC309" t="s">
        <v>6385</v>
      </c>
      <c r="AD309" t="s">
        <v>6386</v>
      </c>
      <c r="AE309" t="s">
        <v>6387</v>
      </c>
      <c r="AF309" t="s">
        <v>74</v>
      </c>
      <c r="AG309">
        <v>76</v>
      </c>
      <c r="AH309">
        <v>11</v>
      </c>
      <c r="AI309">
        <v>11</v>
      </c>
      <c r="AJ309">
        <v>2</v>
      </c>
      <c r="AK309">
        <v>30</v>
      </c>
      <c r="AL309" t="s">
        <v>872</v>
      </c>
      <c r="AM309" t="s">
        <v>252</v>
      </c>
      <c r="AN309" t="s">
        <v>873</v>
      </c>
      <c r="AO309" t="s">
        <v>6366</v>
      </c>
      <c r="AP309" t="s">
        <v>6367</v>
      </c>
      <c r="AQ309" t="s">
        <v>74</v>
      </c>
      <c r="AR309" t="s">
        <v>6368</v>
      </c>
      <c r="AS309" t="s">
        <v>6369</v>
      </c>
      <c r="AT309" t="s">
        <v>4901</v>
      </c>
      <c r="AU309">
        <v>2013</v>
      </c>
      <c r="AV309">
        <v>82</v>
      </c>
      <c r="AW309" t="s">
        <v>74</v>
      </c>
      <c r="AX309" t="s">
        <v>74</v>
      </c>
      <c r="AY309" t="s">
        <v>74</v>
      </c>
      <c r="AZ309" t="s">
        <v>74</v>
      </c>
      <c r="BA309" t="s">
        <v>74</v>
      </c>
      <c r="BB309">
        <v>44</v>
      </c>
      <c r="BC309">
        <v>59</v>
      </c>
      <c r="BD309" t="s">
        <v>74</v>
      </c>
      <c r="BE309" t="s">
        <v>6388</v>
      </c>
      <c r="BF309" t="str">
        <f>HYPERLINK("http://dx.doi.org/10.1016/j.dsr.2013.07.010","http://dx.doi.org/10.1016/j.dsr.2013.07.010")</f>
        <v>http://dx.doi.org/10.1016/j.dsr.2013.07.010</v>
      </c>
      <c r="BG309" t="s">
        <v>74</v>
      </c>
      <c r="BH309" t="s">
        <v>74</v>
      </c>
      <c r="BI309">
        <v>16</v>
      </c>
      <c r="BJ309" t="s">
        <v>1613</v>
      </c>
      <c r="BK309" t="s">
        <v>99</v>
      </c>
      <c r="BL309" t="s">
        <v>1613</v>
      </c>
      <c r="BM309" t="s">
        <v>6371</v>
      </c>
      <c r="BN309" t="s">
        <v>74</v>
      </c>
      <c r="BO309" t="s">
        <v>831</v>
      </c>
      <c r="BP309" t="s">
        <v>74</v>
      </c>
      <c r="BQ309" t="s">
        <v>74</v>
      </c>
      <c r="BR309" t="s">
        <v>103</v>
      </c>
      <c r="BS309" t="s">
        <v>6389</v>
      </c>
      <c r="BT309" t="str">
        <f>HYPERLINK("https%3A%2F%2Fwww.webofscience.com%2Fwos%2Fwoscc%2Ffull-record%2FWOS:000327169100005","View Full Record in Web of Science")</f>
        <v>View Full Record in Web of Science</v>
      </c>
    </row>
    <row r="310" spans="1:72" x14ac:dyDescent="0.15">
      <c r="A310" t="s">
        <v>72</v>
      </c>
      <c r="B310" t="s">
        <v>6390</v>
      </c>
      <c r="C310" t="s">
        <v>74</v>
      </c>
      <c r="D310" t="s">
        <v>74</v>
      </c>
      <c r="E310" t="s">
        <v>74</v>
      </c>
      <c r="F310" t="s">
        <v>6391</v>
      </c>
      <c r="G310" t="s">
        <v>74</v>
      </c>
      <c r="H310" t="s">
        <v>74</v>
      </c>
      <c r="I310" t="s">
        <v>6392</v>
      </c>
      <c r="J310" t="s">
        <v>6393</v>
      </c>
      <c r="K310" t="s">
        <v>74</v>
      </c>
      <c r="L310" t="s">
        <v>74</v>
      </c>
      <c r="M310" t="s">
        <v>78</v>
      </c>
      <c r="N310" t="s">
        <v>79</v>
      </c>
      <c r="O310" t="s">
        <v>74</v>
      </c>
      <c r="P310" t="s">
        <v>74</v>
      </c>
      <c r="Q310" t="s">
        <v>74</v>
      </c>
      <c r="R310" t="s">
        <v>74</v>
      </c>
      <c r="S310" t="s">
        <v>74</v>
      </c>
      <c r="T310" t="s">
        <v>6394</v>
      </c>
      <c r="U310" t="s">
        <v>74</v>
      </c>
      <c r="V310" t="s">
        <v>6395</v>
      </c>
      <c r="W310" t="s">
        <v>6396</v>
      </c>
      <c r="X310" t="s">
        <v>6397</v>
      </c>
      <c r="Y310" t="s">
        <v>6398</v>
      </c>
      <c r="Z310" t="s">
        <v>6399</v>
      </c>
      <c r="AA310" t="s">
        <v>74</v>
      </c>
      <c r="AB310" t="s">
        <v>74</v>
      </c>
      <c r="AC310" t="s">
        <v>74</v>
      </c>
      <c r="AD310" t="s">
        <v>74</v>
      </c>
      <c r="AE310" t="s">
        <v>74</v>
      </c>
      <c r="AF310" t="s">
        <v>74</v>
      </c>
      <c r="AG310">
        <v>14</v>
      </c>
      <c r="AH310">
        <v>3</v>
      </c>
      <c r="AI310">
        <v>3</v>
      </c>
      <c r="AJ310">
        <v>0</v>
      </c>
      <c r="AK310">
        <v>10</v>
      </c>
      <c r="AL310" t="s">
        <v>1067</v>
      </c>
      <c r="AM310" t="s">
        <v>921</v>
      </c>
      <c r="AN310" t="s">
        <v>2690</v>
      </c>
      <c r="AO310" t="s">
        <v>6400</v>
      </c>
      <c r="AP310" t="s">
        <v>6401</v>
      </c>
      <c r="AQ310" t="s">
        <v>74</v>
      </c>
      <c r="AR310" t="s">
        <v>6402</v>
      </c>
      <c r="AS310" t="s">
        <v>6403</v>
      </c>
      <c r="AT310" t="s">
        <v>4901</v>
      </c>
      <c r="AU310">
        <v>2013</v>
      </c>
      <c r="AV310">
        <v>41</v>
      </c>
      <c r="AW310">
        <v>4</v>
      </c>
      <c r="AX310" t="s">
        <v>74</v>
      </c>
      <c r="AY310" t="s">
        <v>74</v>
      </c>
      <c r="AZ310" t="s">
        <v>74</v>
      </c>
      <c r="BA310" t="s">
        <v>74</v>
      </c>
      <c r="BB310">
        <v>947</v>
      </c>
      <c r="BC310">
        <v>956</v>
      </c>
      <c r="BD310" t="s">
        <v>74</v>
      </c>
      <c r="BE310" t="s">
        <v>6404</v>
      </c>
      <c r="BF310" t="str">
        <f>HYPERLINK("http://dx.doi.org/10.1007/s12524-013-0287-y","http://dx.doi.org/10.1007/s12524-013-0287-y")</f>
        <v>http://dx.doi.org/10.1007/s12524-013-0287-y</v>
      </c>
      <c r="BG310" t="s">
        <v>74</v>
      </c>
      <c r="BH310" t="s">
        <v>74</v>
      </c>
      <c r="BI310">
        <v>10</v>
      </c>
      <c r="BJ310" t="s">
        <v>6405</v>
      </c>
      <c r="BK310" t="s">
        <v>99</v>
      </c>
      <c r="BL310" t="s">
        <v>6406</v>
      </c>
      <c r="BM310" t="s">
        <v>6407</v>
      </c>
      <c r="BN310" t="s">
        <v>74</v>
      </c>
      <c r="BO310" t="s">
        <v>74</v>
      </c>
      <c r="BP310" t="s">
        <v>74</v>
      </c>
      <c r="BQ310" t="s">
        <v>74</v>
      </c>
      <c r="BR310" t="s">
        <v>103</v>
      </c>
      <c r="BS310" t="s">
        <v>6408</v>
      </c>
      <c r="BT310" t="str">
        <f>HYPERLINK("https%3A%2F%2Fwww.webofscience.com%2Fwos%2Fwoscc%2Ffull-record%2FWOS:000326935700020","View Full Record in Web of Science")</f>
        <v>View Full Record in Web of Science</v>
      </c>
    </row>
    <row r="311" spans="1:72" x14ac:dyDescent="0.15">
      <c r="A311" t="s">
        <v>72</v>
      </c>
      <c r="B311" t="s">
        <v>6409</v>
      </c>
      <c r="C311" t="s">
        <v>74</v>
      </c>
      <c r="D311" t="s">
        <v>74</v>
      </c>
      <c r="E311" t="s">
        <v>74</v>
      </c>
      <c r="F311" t="s">
        <v>6410</v>
      </c>
      <c r="G311" t="s">
        <v>74</v>
      </c>
      <c r="H311" t="s">
        <v>74</v>
      </c>
      <c r="I311" t="s">
        <v>6411</v>
      </c>
      <c r="J311" t="s">
        <v>6412</v>
      </c>
      <c r="K311" t="s">
        <v>74</v>
      </c>
      <c r="L311" t="s">
        <v>74</v>
      </c>
      <c r="M311" t="s">
        <v>78</v>
      </c>
      <c r="N311" t="s">
        <v>79</v>
      </c>
      <c r="O311" t="s">
        <v>74</v>
      </c>
      <c r="P311" t="s">
        <v>74</v>
      </c>
      <c r="Q311" t="s">
        <v>74</v>
      </c>
      <c r="R311" t="s">
        <v>74</v>
      </c>
      <c r="S311" t="s">
        <v>74</v>
      </c>
      <c r="T311" t="s">
        <v>6413</v>
      </c>
      <c r="U311" t="s">
        <v>6414</v>
      </c>
      <c r="V311" t="s">
        <v>6415</v>
      </c>
      <c r="W311" t="s">
        <v>6416</v>
      </c>
      <c r="X311" t="s">
        <v>6417</v>
      </c>
      <c r="Y311" t="s">
        <v>6418</v>
      </c>
      <c r="Z311" t="s">
        <v>6419</v>
      </c>
      <c r="AA311" t="s">
        <v>6420</v>
      </c>
      <c r="AB311" t="s">
        <v>6421</v>
      </c>
      <c r="AC311" t="s">
        <v>6422</v>
      </c>
      <c r="AD311" t="s">
        <v>6423</v>
      </c>
      <c r="AE311" t="s">
        <v>6424</v>
      </c>
      <c r="AF311" t="s">
        <v>74</v>
      </c>
      <c r="AG311">
        <v>37</v>
      </c>
      <c r="AH311">
        <v>10</v>
      </c>
      <c r="AI311">
        <v>10</v>
      </c>
      <c r="AJ311">
        <v>2</v>
      </c>
      <c r="AK311">
        <v>28</v>
      </c>
      <c r="AL311" t="s">
        <v>1067</v>
      </c>
      <c r="AM311" t="s">
        <v>1068</v>
      </c>
      <c r="AN311" t="s">
        <v>1163</v>
      </c>
      <c r="AO311" t="s">
        <v>6425</v>
      </c>
      <c r="AP311" t="s">
        <v>6426</v>
      </c>
      <c r="AQ311" t="s">
        <v>74</v>
      </c>
      <c r="AR311" t="s">
        <v>6427</v>
      </c>
      <c r="AS311" t="s">
        <v>6428</v>
      </c>
      <c r="AT311" t="s">
        <v>4901</v>
      </c>
      <c r="AU311">
        <v>2013</v>
      </c>
      <c r="AV311">
        <v>39</v>
      </c>
      <c r="AW311">
        <v>6</v>
      </c>
      <c r="AX311" t="s">
        <v>74</v>
      </c>
      <c r="AY311" t="s">
        <v>74</v>
      </c>
      <c r="AZ311" t="s">
        <v>74</v>
      </c>
      <c r="BA311" t="s">
        <v>74</v>
      </c>
      <c r="BB311">
        <v>1591</v>
      </c>
      <c r="BC311">
        <v>1601</v>
      </c>
      <c r="BD311" t="s">
        <v>74</v>
      </c>
      <c r="BE311" t="s">
        <v>6429</v>
      </c>
      <c r="BF311" t="str">
        <f>HYPERLINK("http://dx.doi.org/10.1007/s10695-013-9811-9","http://dx.doi.org/10.1007/s10695-013-9811-9")</f>
        <v>http://dx.doi.org/10.1007/s10695-013-9811-9</v>
      </c>
      <c r="BG311" t="s">
        <v>74</v>
      </c>
      <c r="BH311" t="s">
        <v>74</v>
      </c>
      <c r="BI311">
        <v>11</v>
      </c>
      <c r="BJ311" t="s">
        <v>6430</v>
      </c>
      <c r="BK311" t="s">
        <v>99</v>
      </c>
      <c r="BL311" t="s">
        <v>6430</v>
      </c>
      <c r="BM311" t="s">
        <v>6431</v>
      </c>
      <c r="BN311">
        <v>23748964</v>
      </c>
      <c r="BO311" t="s">
        <v>74</v>
      </c>
      <c r="BP311" t="s">
        <v>74</v>
      </c>
      <c r="BQ311" t="s">
        <v>74</v>
      </c>
      <c r="BR311" t="s">
        <v>103</v>
      </c>
      <c r="BS311" t="s">
        <v>6432</v>
      </c>
      <c r="BT311" t="str">
        <f>HYPERLINK("https%3A%2F%2Fwww.webofscience.com%2Fwos%2Fwoscc%2Ffull-record%2FWOS:000326800100020","View Full Record in Web of Science")</f>
        <v>View Full Record in Web of Science</v>
      </c>
    </row>
    <row r="312" spans="1:72" x14ac:dyDescent="0.15">
      <c r="A312" t="s">
        <v>72</v>
      </c>
      <c r="B312" t="s">
        <v>6433</v>
      </c>
      <c r="C312" t="s">
        <v>74</v>
      </c>
      <c r="D312" t="s">
        <v>74</v>
      </c>
      <c r="E312" t="s">
        <v>74</v>
      </c>
      <c r="F312" t="s">
        <v>6434</v>
      </c>
      <c r="G312" t="s">
        <v>74</v>
      </c>
      <c r="H312" t="s">
        <v>74</v>
      </c>
      <c r="I312" t="s">
        <v>6435</v>
      </c>
      <c r="J312" t="s">
        <v>6436</v>
      </c>
      <c r="K312" t="s">
        <v>74</v>
      </c>
      <c r="L312" t="s">
        <v>74</v>
      </c>
      <c r="M312" t="s">
        <v>78</v>
      </c>
      <c r="N312" t="s">
        <v>79</v>
      </c>
      <c r="O312" t="s">
        <v>74</v>
      </c>
      <c r="P312" t="s">
        <v>74</v>
      </c>
      <c r="Q312" t="s">
        <v>74</v>
      </c>
      <c r="R312" t="s">
        <v>74</v>
      </c>
      <c r="S312" t="s">
        <v>74</v>
      </c>
      <c r="T312" t="s">
        <v>6437</v>
      </c>
      <c r="U312" t="s">
        <v>6438</v>
      </c>
      <c r="V312" t="s">
        <v>6439</v>
      </c>
      <c r="W312" t="s">
        <v>6440</v>
      </c>
      <c r="X312" t="s">
        <v>6441</v>
      </c>
      <c r="Y312" t="s">
        <v>6442</v>
      </c>
      <c r="Z312" t="s">
        <v>6443</v>
      </c>
      <c r="AA312" t="s">
        <v>74</v>
      </c>
      <c r="AB312" t="s">
        <v>6444</v>
      </c>
      <c r="AC312" t="s">
        <v>6445</v>
      </c>
      <c r="AD312" t="s">
        <v>6446</v>
      </c>
      <c r="AE312" t="s">
        <v>6447</v>
      </c>
      <c r="AF312" t="s">
        <v>74</v>
      </c>
      <c r="AG312">
        <v>78</v>
      </c>
      <c r="AH312">
        <v>24</v>
      </c>
      <c r="AI312">
        <v>26</v>
      </c>
      <c r="AJ312">
        <v>2</v>
      </c>
      <c r="AK312">
        <v>34</v>
      </c>
      <c r="AL312" t="s">
        <v>1067</v>
      </c>
      <c r="AM312" t="s">
        <v>1068</v>
      </c>
      <c r="AN312" t="s">
        <v>1163</v>
      </c>
      <c r="AO312" t="s">
        <v>6448</v>
      </c>
      <c r="AP312" t="s">
        <v>6449</v>
      </c>
      <c r="AQ312" t="s">
        <v>74</v>
      </c>
      <c r="AR312" t="s">
        <v>6450</v>
      </c>
      <c r="AS312" t="s">
        <v>6451</v>
      </c>
      <c r="AT312" t="s">
        <v>4901</v>
      </c>
      <c r="AU312">
        <v>2013</v>
      </c>
      <c r="AV312">
        <v>50</v>
      </c>
      <c r="AW312">
        <v>4</v>
      </c>
      <c r="AX312" t="s">
        <v>74</v>
      </c>
      <c r="AY312" t="s">
        <v>74</v>
      </c>
      <c r="AZ312" t="s">
        <v>74</v>
      </c>
      <c r="BA312" t="s">
        <v>74</v>
      </c>
      <c r="BB312">
        <v>433</v>
      </c>
      <c r="BC312">
        <v>446</v>
      </c>
      <c r="BD312" t="s">
        <v>74</v>
      </c>
      <c r="BE312" t="s">
        <v>6452</v>
      </c>
      <c r="BF312" t="str">
        <f>HYPERLINK("http://dx.doi.org/10.1007/s10933-013-9736-4","http://dx.doi.org/10.1007/s10933-013-9736-4")</f>
        <v>http://dx.doi.org/10.1007/s10933-013-9736-4</v>
      </c>
      <c r="BG312" t="s">
        <v>74</v>
      </c>
      <c r="BH312" t="s">
        <v>74</v>
      </c>
      <c r="BI312">
        <v>14</v>
      </c>
      <c r="BJ312" t="s">
        <v>6453</v>
      </c>
      <c r="BK312" t="s">
        <v>99</v>
      </c>
      <c r="BL312" t="s">
        <v>6454</v>
      </c>
      <c r="BM312" t="s">
        <v>6455</v>
      </c>
      <c r="BN312" t="s">
        <v>74</v>
      </c>
      <c r="BO312" t="s">
        <v>831</v>
      </c>
      <c r="BP312" t="s">
        <v>74</v>
      </c>
      <c r="BQ312" t="s">
        <v>74</v>
      </c>
      <c r="BR312" t="s">
        <v>103</v>
      </c>
      <c r="BS312" t="s">
        <v>6456</v>
      </c>
      <c r="BT312" t="str">
        <f>HYPERLINK("https%3A%2F%2Fwww.webofscience.com%2Fwos%2Fwoscc%2Ffull-record%2FWOS:000326622200002","View Full Record in Web of Science")</f>
        <v>View Full Record in Web of Science</v>
      </c>
    </row>
    <row r="313" spans="1:72" x14ac:dyDescent="0.15">
      <c r="A313" t="s">
        <v>72</v>
      </c>
      <c r="B313" t="s">
        <v>6457</v>
      </c>
      <c r="C313" t="s">
        <v>74</v>
      </c>
      <c r="D313" t="s">
        <v>74</v>
      </c>
      <c r="E313" t="s">
        <v>74</v>
      </c>
      <c r="F313" t="s">
        <v>6458</v>
      </c>
      <c r="G313" t="s">
        <v>74</v>
      </c>
      <c r="H313" t="s">
        <v>74</v>
      </c>
      <c r="I313" t="s">
        <v>6459</v>
      </c>
      <c r="J313" t="s">
        <v>5635</v>
      </c>
      <c r="K313" t="s">
        <v>74</v>
      </c>
      <c r="L313" t="s">
        <v>74</v>
      </c>
      <c r="M313" t="s">
        <v>78</v>
      </c>
      <c r="N313" t="s">
        <v>2830</v>
      </c>
      <c r="O313" t="s">
        <v>74</v>
      </c>
      <c r="P313" t="s">
        <v>74</v>
      </c>
      <c r="Q313" t="s">
        <v>74</v>
      </c>
      <c r="R313" t="s">
        <v>74</v>
      </c>
      <c r="S313" t="s">
        <v>74</v>
      </c>
      <c r="T313" t="s">
        <v>74</v>
      </c>
      <c r="U313" t="s">
        <v>74</v>
      </c>
      <c r="V313" t="s">
        <v>74</v>
      </c>
      <c r="W313" t="s">
        <v>74</v>
      </c>
      <c r="X313" t="s">
        <v>74</v>
      </c>
      <c r="Y313" t="s">
        <v>74</v>
      </c>
      <c r="Z313" t="s">
        <v>74</v>
      </c>
      <c r="AA313" t="s">
        <v>74</v>
      </c>
      <c r="AB313" t="s">
        <v>6460</v>
      </c>
      <c r="AC313" t="s">
        <v>74</v>
      </c>
      <c r="AD313" t="s">
        <v>74</v>
      </c>
      <c r="AE313" t="s">
        <v>74</v>
      </c>
      <c r="AF313" t="s">
        <v>74</v>
      </c>
      <c r="AG313">
        <v>0</v>
      </c>
      <c r="AH313">
        <v>0</v>
      </c>
      <c r="AI313">
        <v>0</v>
      </c>
      <c r="AJ313">
        <v>0</v>
      </c>
      <c r="AK313">
        <v>5</v>
      </c>
      <c r="AL313" t="s">
        <v>1748</v>
      </c>
      <c r="AM313" t="s">
        <v>921</v>
      </c>
      <c r="AN313" t="s">
        <v>3232</v>
      </c>
      <c r="AO313" t="s">
        <v>5647</v>
      </c>
      <c r="AP313" t="s">
        <v>5648</v>
      </c>
      <c r="AQ313" t="s">
        <v>74</v>
      </c>
      <c r="AR313" t="s">
        <v>5649</v>
      </c>
      <c r="AS313" t="s">
        <v>5650</v>
      </c>
      <c r="AT313" t="s">
        <v>4901</v>
      </c>
      <c r="AU313">
        <v>2013</v>
      </c>
      <c r="AV313">
        <v>25</v>
      </c>
      <c r="AW313">
        <v>6</v>
      </c>
      <c r="AX313" t="s">
        <v>74</v>
      </c>
      <c r="AY313" t="s">
        <v>74</v>
      </c>
      <c r="AZ313" t="s">
        <v>74</v>
      </c>
      <c r="BA313" t="s">
        <v>74</v>
      </c>
      <c r="BB313">
        <v>729</v>
      </c>
      <c r="BC313">
        <v>729</v>
      </c>
      <c r="BD313" t="s">
        <v>74</v>
      </c>
      <c r="BE313" t="s">
        <v>6461</v>
      </c>
      <c r="BF313" t="str">
        <f>HYPERLINK("http://dx.doi.org/10.1017/S0954102013000904","http://dx.doi.org/10.1017/S0954102013000904")</f>
        <v>http://dx.doi.org/10.1017/S0954102013000904</v>
      </c>
      <c r="BG313" t="s">
        <v>74</v>
      </c>
      <c r="BH313" t="s">
        <v>74</v>
      </c>
      <c r="BI313">
        <v>1</v>
      </c>
      <c r="BJ313" t="s">
        <v>5652</v>
      </c>
      <c r="BK313" t="s">
        <v>99</v>
      </c>
      <c r="BL313" t="s">
        <v>5653</v>
      </c>
      <c r="BM313" t="s">
        <v>5654</v>
      </c>
      <c r="BN313" t="s">
        <v>74</v>
      </c>
      <c r="BO313" t="s">
        <v>475</v>
      </c>
      <c r="BP313" t="s">
        <v>74</v>
      </c>
      <c r="BQ313" t="s">
        <v>74</v>
      </c>
      <c r="BR313" t="s">
        <v>103</v>
      </c>
      <c r="BS313" t="s">
        <v>6462</v>
      </c>
      <c r="BT313" t="str">
        <f>HYPERLINK("https%3A%2F%2Fwww.webofscience.com%2Fwos%2Fwoscc%2Ffull-record%2FWOS:000328547200001","View Full Record in Web of Science")</f>
        <v>View Full Record in Web of Science</v>
      </c>
    </row>
    <row r="314" spans="1:72" x14ac:dyDescent="0.15">
      <c r="A314" t="s">
        <v>72</v>
      </c>
      <c r="B314" t="s">
        <v>6463</v>
      </c>
      <c r="C314" t="s">
        <v>74</v>
      </c>
      <c r="D314" t="s">
        <v>74</v>
      </c>
      <c r="E314" t="s">
        <v>74</v>
      </c>
      <c r="F314" t="s">
        <v>6464</v>
      </c>
      <c r="G314" t="s">
        <v>74</v>
      </c>
      <c r="H314" t="s">
        <v>74</v>
      </c>
      <c r="I314" t="s">
        <v>6465</v>
      </c>
      <c r="J314" t="s">
        <v>5635</v>
      </c>
      <c r="K314" t="s">
        <v>74</v>
      </c>
      <c r="L314" t="s">
        <v>74</v>
      </c>
      <c r="M314" t="s">
        <v>78</v>
      </c>
      <c r="N314" t="s">
        <v>79</v>
      </c>
      <c r="O314" t="s">
        <v>74</v>
      </c>
      <c r="P314" t="s">
        <v>74</v>
      </c>
      <c r="Q314" t="s">
        <v>74</v>
      </c>
      <c r="R314" t="s">
        <v>74</v>
      </c>
      <c r="S314" t="s">
        <v>74</v>
      </c>
      <c r="T314" t="s">
        <v>6466</v>
      </c>
      <c r="U314" t="s">
        <v>6467</v>
      </c>
      <c r="V314" t="s">
        <v>6468</v>
      </c>
      <c r="W314" t="s">
        <v>6469</v>
      </c>
      <c r="X314" t="s">
        <v>6470</v>
      </c>
      <c r="Y314" t="s">
        <v>6471</v>
      </c>
      <c r="Z314" t="s">
        <v>6472</v>
      </c>
      <c r="AA314" t="s">
        <v>74</v>
      </c>
      <c r="AB314" t="s">
        <v>6473</v>
      </c>
      <c r="AC314" t="s">
        <v>6474</v>
      </c>
      <c r="AD314" t="s">
        <v>6475</v>
      </c>
      <c r="AE314" t="s">
        <v>6476</v>
      </c>
      <c r="AF314" t="s">
        <v>74</v>
      </c>
      <c r="AG314">
        <v>50</v>
      </c>
      <c r="AH314">
        <v>26</v>
      </c>
      <c r="AI314">
        <v>30</v>
      </c>
      <c r="AJ314">
        <v>0</v>
      </c>
      <c r="AK314">
        <v>34</v>
      </c>
      <c r="AL314" t="s">
        <v>1748</v>
      </c>
      <c r="AM314" t="s">
        <v>921</v>
      </c>
      <c r="AN314" t="s">
        <v>3232</v>
      </c>
      <c r="AO314" t="s">
        <v>5647</v>
      </c>
      <c r="AP314" t="s">
        <v>5648</v>
      </c>
      <c r="AQ314" t="s">
        <v>74</v>
      </c>
      <c r="AR314" t="s">
        <v>5649</v>
      </c>
      <c r="AS314" t="s">
        <v>5650</v>
      </c>
      <c r="AT314" t="s">
        <v>4901</v>
      </c>
      <c r="AU314">
        <v>2013</v>
      </c>
      <c r="AV314">
        <v>25</v>
      </c>
      <c r="AW314">
        <v>6</v>
      </c>
      <c r="AX314" t="s">
        <v>74</v>
      </c>
      <c r="AY314" t="s">
        <v>74</v>
      </c>
      <c r="AZ314" t="s">
        <v>74</v>
      </c>
      <c r="BA314" t="s">
        <v>74</v>
      </c>
      <c r="BB314">
        <v>741</v>
      </c>
      <c r="BC314">
        <v>751</v>
      </c>
      <c r="BD314" t="s">
        <v>74</v>
      </c>
      <c r="BE314" t="s">
        <v>6477</v>
      </c>
      <c r="BF314" t="str">
        <f>HYPERLINK("http://dx.doi.org/10.1017/S0954102013000229","http://dx.doi.org/10.1017/S0954102013000229")</f>
        <v>http://dx.doi.org/10.1017/S0954102013000229</v>
      </c>
      <c r="BG314" t="s">
        <v>74</v>
      </c>
      <c r="BH314" t="s">
        <v>74</v>
      </c>
      <c r="BI314">
        <v>11</v>
      </c>
      <c r="BJ314" t="s">
        <v>5652</v>
      </c>
      <c r="BK314" t="s">
        <v>99</v>
      </c>
      <c r="BL314" t="s">
        <v>5653</v>
      </c>
      <c r="BM314" t="s">
        <v>5654</v>
      </c>
      <c r="BN314" t="s">
        <v>74</v>
      </c>
      <c r="BO314" t="s">
        <v>74</v>
      </c>
      <c r="BP314" t="s">
        <v>74</v>
      </c>
      <c r="BQ314" t="s">
        <v>74</v>
      </c>
      <c r="BR314" t="s">
        <v>103</v>
      </c>
      <c r="BS314" t="s">
        <v>6478</v>
      </c>
      <c r="BT314" t="str">
        <f>HYPERLINK("https%3A%2F%2Fwww.webofscience.com%2Fwos%2Fwoscc%2Ffull-record%2FWOS:000328547200003","View Full Record in Web of Science")</f>
        <v>View Full Record in Web of Science</v>
      </c>
    </row>
    <row r="315" spans="1:72" x14ac:dyDescent="0.15">
      <c r="A315" t="s">
        <v>72</v>
      </c>
      <c r="B315" t="s">
        <v>6479</v>
      </c>
      <c r="C315" t="s">
        <v>74</v>
      </c>
      <c r="D315" t="s">
        <v>74</v>
      </c>
      <c r="E315" t="s">
        <v>74</v>
      </c>
      <c r="F315" t="s">
        <v>6480</v>
      </c>
      <c r="G315" t="s">
        <v>74</v>
      </c>
      <c r="H315" t="s">
        <v>74</v>
      </c>
      <c r="I315" t="s">
        <v>6481</v>
      </c>
      <c r="J315" t="s">
        <v>6482</v>
      </c>
      <c r="K315" t="s">
        <v>74</v>
      </c>
      <c r="L315" t="s">
        <v>74</v>
      </c>
      <c r="M315" t="s">
        <v>78</v>
      </c>
      <c r="N315" t="s">
        <v>79</v>
      </c>
      <c r="O315" t="s">
        <v>74</v>
      </c>
      <c r="P315" t="s">
        <v>74</v>
      </c>
      <c r="Q315" t="s">
        <v>74</v>
      </c>
      <c r="R315" t="s">
        <v>74</v>
      </c>
      <c r="S315" t="s">
        <v>74</v>
      </c>
      <c r="T315" t="s">
        <v>6483</v>
      </c>
      <c r="U315" t="s">
        <v>6484</v>
      </c>
      <c r="V315" t="s">
        <v>6485</v>
      </c>
      <c r="W315" t="s">
        <v>6486</v>
      </c>
      <c r="X315" t="s">
        <v>6487</v>
      </c>
      <c r="Y315" t="s">
        <v>6488</v>
      </c>
      <c r="Z315" t="s">
        <v>6489</v>
      </c>
      <c r="AA315" t="s">
        <v>6490</v>
      </c>
      <c r="AB315" t="s">
        <v>6491</v>
      </c>
      <c r="AC315" t="s">
        <v>6492</v>
      </c>
      <c r="AD315" t="s">
        <v>6493</v>
      </c>
      <c r="AE315" t="s">
        <v>6494</v>
      </c>
      <c r="AF315" t="s">
        <v>74</v>
      </c>
      <c r="AG315">
        <v>76</v>
      </c>
      <c r="AH315">
        <v>17</v>
      </c>
      <c r="AI315">
        <v>20</v>
      </c>
      <c r="AJ315">
        <v>3</v>
      </c>
      <c r="AK315">
        <v>75</v>
      </c>
      <c r="AL315" t="s">
        <v>1067</v>
      </c>
      <c r="AM315" t="s">
        <v>1068</v>
      </c>
      <c r="AN315" t="s">
        <v>1163</v>
      </c>
      <c r="AO315" t="s">
        <v>6495</v>
      </c>
      <c r="AP315" t="s">
        <v>6496</v>
      </c>
      <c r="AQ315" t="s">
        <v>74</v>
      </c>
      <c r="AR315" t="s">
        <v>6497</v>
      </c>
      <c r="AS315" t="s">
        <v>6498</v>
      </c>
      <c r="AT315" t="s">
        <v>4901</v>
      </c>
      <c r="AU315">
        <v>2013</v>
      </c>
      <c r="AV315">
        <v>47</v>
      </c>
      <c r="AW315">
        <v>4</v>
      </c>
      <c r="AX315" t="s">
        <v>74</v>
      </c>
      <c r="AY315" t="s">
        <v>74</v>
      </c>
      <c r="AZ315" t="s">
        <v>74</v>
      </c>
      <c r="BA315" t="s">
        <v>74</v>
      </c>
      <c r="BB315">
        <v>467</v>
      </c>
      <c r="BC315">
        <v>480</v>
      </c>
      <c r="BD315" t="s">
        <v>74</v>
      </c>
      <c r="BE315" t="s">
        <v>6499</v>
      </c>
      <c r="BF315" t="str">
        <f>HYPERLINK("http://dx.doi.org/10.1007/s10452-013-9459-7","http://dx.doi.org/10.1007/s10452-013-9459-7")</f>
        <v>http://dx.doi.org/10.1007/s10452-013-9459-7</v>
      </c>
      <c r="BG315" t="s">
        <v>74</v>
      </c>
      <c r="BH315" t="s">
        <v>74</v>
      </c>
      <c r="BI315">
        <v>14</v>
      </c>
      <c r="BJ315" t="s">
        <v>6500</v>
      </c>
      <c r="BK315" t="s">
        <v>99</v>
      </c>
      <c r="BL315" t="s">
        <v>680</v>
      </c>
      <c r="BM315" t="s">
        <v>6501</v>
      </c>
      <c r="BN315" t="s">
        <v>74</v>
      </c>
      <c r="BO315" t="s">
        <v>74</v>
      </c>
      <c r="BP315" t="s">
        <v>74</v>
      </c>
      <c r="BQ315" t="s">
        <v>74</v>
      </c>
      <c r="BR315" t="s">
        <v>103</v>
      </c>
      <c r="BS315" t="s">
        <v>6502</v>
      </c>
      <c r="BT315" t="str">
        <f>HYPERLINK("https%3A%2F%2Fwww.webofscience.com%2Fwos%2Fwoscc%2Ffull-record%2FWOS:000327070200009","View Full Record in Web of Science")</f>
        <v>View Full Record in Web of Science</v>
      </c>
    </row>
    <row r="316" spans="1:72" x14ac:dyDescent="0.15">
      <c r="A316" t="s">
        <v>72</v>
      </c>
      <c r="B316" t="s">
        <v>6503</v>
      </c>
      <c r="C316" t="s">
        <v>74</v>
      </c>
      <c r="D316" t="s">
        <v>74</v>
      </c>
      <c r="E316" t="s">
        <v>74</v>
      </c>
      <c r="F316" t="s">
        <v>6504</v>
      </c>
      <c r="G316" t="s">
        <v>74</v>
      </c>
      <c r="H316" t="s">
        <v>74</v>
      </c>
      <c r="I316" t="s">
        <v>6505</v>
      </c>
      <c r="J316" t="s">
        <v>6506</v>
      </c>
      <c r="K316" t="s">
        <v>74</v>
      </c>
      <c r="L316" t="s">
        <v>74</v>
      </c>
      <c r="M316" t="s">
        <v>78</v>
      </c>
      <c r="N316" t="s">
        <v>79</v>
      </c>
      <c r="O316" t="s">
        <v>74</v>
      </c>
      <c r="P316" t="s">
        <v>74</v>
      </c>
      <c r="Q316" t="s">
        <v>74</v>
      </c>
      <c r="R316" t="s">
        <v>74</v>
      </c>
      <c r="S316" t="s">
        <v>74</v>
      </c>
      <c r="T316" t="s">
        <v>6507</v>
      </c>
      <c r="U316" t="s">
        <v>6508</v>
      </c>
      <c r="V316" t="s">
        <v>6509</v>
      </c>
      <c r="W316" t="s">
        <v>6510</v>
      </c>
      <c r="X316" t="s">
        <v>6511</v>
      </c>
      <c r="Y316" t="s">
        <v>6512</v>
      </c>
      <c r="Z316" t="s">
        <v>6513</v>
      </c>
      <c r="AA316" t="s">
        <v>6514</v>
      </c>
      <c r="AB316" t="s">
        <v>6515</v>
      </c>
      <c r="AC316" t="s">
        <v>74</v>
      </c>
      <c r="AD316" t="s">
        <v>74</v>
      </c>
      <c r="AE316" t="s">
        <v>74</v>
      </c>
      <c r="AF316" t="s">
        <v>74</v>
      </c>
      <c r="AG316">
        <v>38</v>
      </c>
      <c r="AH316">
        <v>15</v>
      </c>
      <c r="AI316">
        <v>17</v>
      </c>
      <c r="AJ316">
        <v>1</v>
      </c>
      <c r="AK316">
        <v>165</v>
      </c>
      <c r="AL316" t="s">
        <v>6516</v>
      </c>
      <c r="AM316" t="s">
        <v>849</v>
      </c>
      <c r="AN316" t="s">
        <v>6517</v>
      </c>
      <c r="AO316" t="s">
        <v>6518</v>
      </c>
      <c r="AP316" t="s">
        <v>6519</v>
      </c>
      <c r="AQ316" t="s">
        <v>74</v>
      </c>
      <c r="AR316" t="s">
        <v>6520</v>
      </c>
      <c r="AS316" t="s">
        <v>6521</v>
      </c>
      <c r="AT316" t="s">
        <v>4901</v>
      </c>
      <c r="AU316">
        <v>2013</v>
      </c>
      <c r="AV316">
        <v>8</v>
      </c>
      <c r="AW316" t="s">
        <v>953</v>
      </c>
      <c r="AX316" t="s">
        <v>74</v>
      </c>
      <c r="AY316" t="s">
        <v>74</v>
      </c>
      <c r="AZ316" t="s">
        <v>74</v>
      </c>
      <c r="BA316" t="s">
        <v>74</v>
      </c>
      <c r="BB316" t="s">
        <v>74</v>
      </c>
      <c r="BC316" t="s">
        <v>74</v>
      </c>
      <c r="BD316">
        <v>129</v>
      </c>
      <c r="BE316" t="s">
        <v>6522</v>
      </c>
      <c r="BF316" t="str">
        <f>HYPERLINK("http://dx.doi.org/10.1007/s11657-013-0129-0","http://dx.doi.org/10.1007/s11657-013-0129-0")</f>
        <v>http://dx.doi.org/10.1007/s11657-013-0129-0</v>
      </c>
      <c r="BG316" t="s">
        <v>74</v>
      </c>
      <c r="BH316" t="s">
        <v>74</v>
      </c>
      <c r="BI316">
        <v>10</v>
      </c>
      <c r="BJ316" t="s">
        <v>6523</v>
      </c>
      <c r="BK316" t="s">
        <v>99</v>
      </c>
      <c r="BL316" t="s">
        <v>6523</v>
      </c>
      <c r="BM316" t="s">
        <v>6524</v>
      </c>
      <c r="BN316">
        <v>23475735</v>
      </c>
      <c r="BO316" t="s">
        <v>74</v>
      </c>
      <c r="BP316" t="s">
        <v>74</v>
      </c>
      <c r="BQ316" t="s">
        <v>74</v>
      </c>
      <c r="BR316" t="s">
        <v>103</v>
      </c>
      <c r="BS316" t="s">
        <v>6525</v>
      </c>
      <c r="BT316" t="str">
        <f>HYPERLINK("https%3A%2F%2Fwww.webofscience.com%2Fwos%2Fwoscc%2Ffull-record%2FWOS:000209644900016","View Full Record in Web of Science")</f>
        <v>View Full Record in Web of Science</v>
      </c>
    </row>
    <row r="317" spans="1:72" x14ac:dyDescent="0.15">
      <c r="A317" t="s">
        <v>72</v>
      </c>
      <c r="B317" t="s">
        <v>6526</v>
      </c>
      <c r="C317" t="s">
        <v>74</v>
      </c>
      <c r="D317" t="s">
        <v>74</v>
      </c>
      <c r="E317" t="s">
        <v>74</v>
      </c>
      <c r="F317" t="s">
        <v>6527</v>
      </c>
      <c r="G317" t="s">
        <v>74</v>
      </c>
      <c r="H317" t="s">
        <v>74</v>
      </c>
      <c r="I317" t="s">
        <v>6528</v>
      </c>
      <c r="J317" t="s">
        <v>5946</v>
      </c>
      <c r="K317" t="s">
        <v>74</v>
      </c>
      <c r="L317" t="s">
        <v>74</v>
      </c>
      <c r="M317" t="s">
        <v>78</v>
      </c>
      <c r="N317" t="s">
        <v>79</v>
      </c>
      <c r="O317" t="s">
        <v>74</v>
      </c>
      <c r="P317" t="s">
        <v>74</v>
      </c>
      <c r="Q317" t="s">
        <v>74</v>
      </c>
      <c r="R317" t="s">
        <v>74</v>
      </c>
      <c r="S317" t="s">
        <v>74</v>
      </c>
      <c r="T317" t="s">
        <v>6529</v>
      </c>
      <c r="U317" t="s">
        <v>6530</v>
      </c>
      <c r="V317" t="s">
        <v>6531</v>
      </c>
      <c r="W317" t="s">
        <v>6532</v>
      </c>
      <c r="X317" t="s">
        <v>6533</v>
      </c>
      <c r="Y317" t="s">
        <v>6534</v>
      </c>
      <c r="Z317" t="s">
        <v>6535</v>
      </c>
      <c r="AA317" t="s">
        <v>6536</v>
      </c>
      <c r="AB317" t="s">
        <v>6537</v>
      </c>
      <c r="AC317" t="s">
        <v>6538</v>
      </c>
      <c r="AD317" t="s">
        <v>6539</v>
      </c>
      <c r="AE317" t="s">
        <v>6540</v>
      </c>
      <c r="AF317" t="s">
        <v>74</v>
      </c>
      <c r="AG317">
        <v>35</v>
      </c>
      <c r="AH317">
        <v>12</v>
      </c>
      <c r="AI317">
        <v>12</v>
      </c>
      <c r="AJ317">
        <v>1</v>
      </c>
      <c r="AK317">
        <v>24</v>
      </c>
      <c r="AL317" t="s">
        <v>872</v>
      </c>
      <c r="AM317" t="s">
        <v>252</v>
      </c>
      <c r="AN317" t="s">
        <v>873</v>
      </c>
      <c r="AO317" t="s">
        <v>5956</v>
      </c>
      <c r="AP317" t="s">
        <v>5957</v>
      </c>
      <c r="AQ317" t="s">
        <v>74</v>
      </c>
      <c r="AR317" t="s">
        <v>5958</v>
      </c>
      <c r="AS317" t="s">
        <v>5959</v>
      </c>
      <c r="AT317" t="s">
        <v>4901</v>
      </c>
      <c r="AU317">
        <v>2013</v>
      </c>
      <c r="AV317">
        <v>81</v>
      </c>
      <c r="AW317" t="s">
        <v>74</v>
      </c>
      <c r="AX317" t="s">
        <v>74</v>
      </c>
      <c r="AY317" t="s">
        <v>74</v>
      </c>
      <c r="AZ317" t="s">
        <v>74</v>
      </c>
      <c r="BA317" t="s">
        <v>74</v>
      </c>
      <c r="BB317">
        <v>320</v>
      </c>
      <c r="BC317">
        <v>329</v>
      </c>
      <c r="BD317" t="s">
        <v>74</v>
      </c>
      <c r="BE317" t="s">
        <v>6541</v>
      </c>
      <c r="BF317" t="str">
        <f>HYPERLINK("http://dx.doi.org/10.1016/j.atmosenv.2013.09.009","http://dx.doi.org/10.1016/j.atmosenv.2013.09.009")</f>
        <v>http://dx.doi.org/10.1016/j.atmosenv.2013.09.009</v>
      </c>
      <c r="BG317" t="s">
        <v>74</v>
      </c>
      <c r="BH317" t="s">
        <v>74</v>
      </c>
      <c r="BI317">
        <v>10</v>
      </c>
      <c r="BJ317" t="s">
        <v>5023</v>
      </c>
      <c r="BK317" t="s">
        <v>99</v>
      </c>
      <c r="BL317" t="s">
        <v>3933</v>
      </c>
      <c r="BM317" t="s">
        <v>6542</v>
      </c>
      <c r="BN317" t="s">
        <v>74</v>
      </c>
      <c r="BO317" t="s">
        <v>450</v>
      </c>
      <c r="BP317" t="s">
        <v>74</v>
      </c>
      <c r="BQ317" t="s">
        <v>74</v>
      </c>
      <c r="BR317" t="s">
        <v>103</v>
      </c>
      <c r="BS317" t="s">
        <v>6543</v>
      </c>
      <c r="BT317" t="str">
        <f>HYPERLINK("https%3A%2F%2Fwww.webofscience.com%2Fwos%2Fwoscc%2Ffull-record%2FWOS:000329377600035","View Full Record in Web of Science")</f>
        <v>View Full Record in Web of Science</v>
      </c>
    </row>
    <row r="318" spans="1:72" x14ac:dyDescent="0.15">
      <c r="A318" t="s">
        <v>72</v>
      </c>
      <c r="B318" t="s">
        <v>6544</v>
      </c>
      <c r="C318" t="s">
        <v>74</v>
      </c>
      <c r="D318" t="s">
        <v>74</v>
      </c>
      <c r="E318" t="s">
        <v>74</v>
      </c>
      <c r="F318" t="s">
        <v>6545</v>
      </c>
      <c r="G318" t="s">
        <v>74</v>
      </c>
      <c r="H318" t="s">
        <v>74</v>
      </c>
      <c r="I318" t="s">
        <v>6546</v>
      </c>
      <c r="J318" t="s">
        <v>6547</v>
      </c>
      <c r="K318" t="s">
        <v>74</v>
      </c>
      <c r="L318" t="s">
        <v>74</v>
      </c>
      <c r="M318" t="s">
        <v>78</v>
      </c>
      <c r="N318" t="s">
        <v>79</v>
      </c>
      <c r="O318" t="s">
        <v>74</v>
      </c>
      <c r="P318" t="s">
        <v>74</v>
      </c>
      <c r="Q318" t="s">
        <v>74</v>
      </c>
      <c r="R318" t="s">
        <v>74</v>
      </c>
      <c r="S318" t="s">
        <v>74</v>
      </c>
      <c r="T318" t="s">
        <v>74</v>
      </c>
      <c r="U318" t="s">
        <v>6548</v>
      </c>
      <c r="V318" t="s">
        <v>6549</v>
      </c>
      <c r="W318" t="s">
        <v>6550</v>
      </c>
      <c r="X318" t="s">
        <v>6551</v>
      </c>
      <c r="Y318" t="s">
        <v>6552</v>
      </c>
      <c r="Z318" t="s">
        <v>6553</v>
      </c>
      <c r="AA318" t="s">
        <v>6554</v>
      </c>
      <c r="AB318" t="s">
        <v>6555</v>
      </c>
      <c r="AC318" t="s">
        <v>74</v>
      </c>
      <c r="AD318" t="s">
        <v>74</v>
      </c>
      <c r="AE318" t="s">
        <v>74</v>
      </c>
      <c r="AF318" t="s">
        <v>74</v>
      </c>
      <c r="AG318">
        <v>87</v>
      </c>
      <c r="AH318">
        <v>33</v>
      </c>
      <c r="AI318">
        <v>36</v>
      </c>
      <c r="AJ318">
        <v>0</v>
      </c>
      <c r="AK318">
        <v>17</v>
      </c>
      <c r="AL318" t="s">
        <v>6556</v>
      </c>
      <c r="AM318" t="s">
        <v>6557</v>
      </c>
      <c r="AN318" t="s">
        <v>6558</v>
      </c>
      <c r="AO318" t="s">
        <v>6559</v>
      </c>
      <c r="AP318" t="s">
        <v>6560</v>
      </c>
      <c r="AQ318" t="s">
        <v>74</v>
      </c>
      <c r="AR318" t="s">
        <v>6561</v>
      </c>
      <c r="AS318" t="s">
        <v>6562</v>
      </c>
      <c r="AT318" t="s">
        <v>4901</v>
      </c>
      <c r="AU318">
        <v>2013</v>
      </c>
      <c r="AV318" t="s">
        <v>74</v>
      </c>
      <c r="AW318">
        <v>77</v>
      </c>
      <c r="AX318" t="s">
        <v>74</v>
      </c>
      <c r="AY318" t="s">
        <v>74</v>
      </c>
      <c r="AZ318" t="s">
        <v>74</v>
      </c>
      <c r="BA318" t="s">
        <v>74</v>
      </c>
      <c r="BB318">
        <v>66</v>
      </c>
      <c r="BC318">
        <v>81</v>
      </c>
      <c r="BD318" t="s">
        <v>74</v>
      </c>
      <c r="BE318" t="s">
        <v>74</v>
      </c>
      <c r="BF318" t="s">
        <v>74</v>
      </c>
      <c r="BG318" t="s">
        <v>74</v>
      </c>
      <c r="BH318" t="s">
        <v>74</v>
      </c>
      <c r="BI318">
        <v>16</v>
      </c>
      <c r="BJ318" t="s">
        <v>6563</v>
      </c>
      <c r="BK318" t="s">
        <v>6564</v>
      </c>
      <c r="BL318" t="s">
        <v>6563</v>
      </c>
      <c r="BM318" t="s">
        <v>6565</v>
      </c>
      <c r="BN318" t="s">
        <v>74</v>
      </c>
      <c r="BO318" t="s">
        <v>74</v>
      </c>
      <c r="BP318" t="s">
        <v>74</v>
      </c>
      <c r="BQ318" t="s">
        <v>74</v>
      </c>
      <c r="BR318" t="s">
        <v>103</v>
      </c>
      <c r="BS318" t="s">
        <v>6566</v>
      </c>
      <c r="BT318" t="str">
        <f>HYPERLINK("https%3A%2F%2Fwww.webofscience.com%2Fwos%2Fwoscc%2Ffull-record%2FWOS:000327677000008","View Full Record in Web of Science")</f>
        <v>View Full Record in Web of Science</v>
      </c>
    </row>
    <row r="319" spans="1:72" x14ac:dyDescent="0.15">
      <c r="A319" t="s">
        <v>72</v>
      </c>
      <c r="B319" t="s">
        <v>6567</v>
      </c>
      <c r="C319" t="s">
        <v>74</v>
      </c>
      <c r="D319" t="s">
        <v>74</v>
      </c>
      <c r="E319" t="s">
        <v>74</v>
      </c>
      <c r="F319" t="s">
        <v>6568</v>
      </c>
      <c r="G319" t="s">
        <v>74</v>
      </c>
      <c r="H319" t="s">
        <v>74</v>
      </c>
      <c r="I319" t="s">
        <v>6569</v>
      </c>
      <c r="J319" t="s">
        <v>6570</v>
      </c>
      <c r="K319" t="s">
        <v>74</v>
      </c>
      <c r="L319" t="s">
        <v>74</v>
      </c>
      <c r="M319" t="s">
        <v>78</v>
      </c>
      <c r="N319" t="s">
        <v>79</v>
      </c>
      <c r="O319" t="s">
        <v>74</v>
      </c>
      <c r="P319" t="s">
        <v>74</v>
      </c>
      <c r="Q319" t="s">
        <v>74</v>
      </c>
      <c r="R319" t="s">
        <v>74</v>
      </c>
      <c r="S319" t="s">
        <v>74</v>
      </c>
      <c r="T319" t="s">
        <v>74</v>
      </c>
      <c r="U319" t="s">
        <v>6571</v>
      </c>
      <c r="V319" t="s">
        <v>6572</v>
      </c>
      <c r="W319" t="s">
        <v>6573</v>
      </c>
      <c r="X319" t="s">
        <v>6574</v>
      </c>
      <c r="Y319" t="s">
        <v>6575</v>
      </c>
      <c r="Z319" t="s">
        <v>74</v>
      </c>
      <c r="AA319" t="s">
        <v>74</v>
      </c>
      <c r="AB319" t="s">
        <v>6576</v>
      </c>
      <c r="AC319" t="s">
        <v>74</v>
      </c>
      <c r="AD319" t="s">
        <v>74</v>
      </c>
      <c r="AE319" t="s">
        <v>74</v>
      </c>
      <c r="AF319" t="s">
        <v>74</v>
      </c>
      <c r="AG319">
        <v>73</v>
      </c>
      <c r="AH319">
        <v>1</v>
      </c>
      <c r="AI319">
        <v>2</v>
      </c>
      <c r="AJ319">
        <v>0</v>
      </c>
      <c r="AK319">
        <v>21</v>
      </c>
      <c r="AL319" t="s">
        <v>410</v>
      </c>
      <c r="AM319" t="s">
        <v>411</v>
      </c>
      <c r="AN319" t="s">
        <v>412</v>
      </c>
      <c r="AO319" t="s">
        <v>6577</v>
      </c>
      <c r="AP319" t="s">
        <v>6578</v>
      </c>
      <c r="AQ319" t="s">
        <v>74</v>
      </c>
      <c r="AR319" t="s">
        <v>6579</v>
      </c>
      <c r="AS319" t="s">
        <v>6580</v>
      </c>
      <c r="AT319" t="s">
        <v>4901</v>
      </c>
      <c r="AU319">
        <v>2013</v>
      </c>
      <c r="AV319">
        <v>59</v>
      </c>
      <c r="AW319">
        <v>4</v>
      </c>
      <c r="AX319" t="s">
        <v>74</v>
      </c>
      <c r="AY319" t="s">
        <v>74</v>
      </c>
      <c r="AZ319" t="s">
        <v>74</v>
      </c>
      <c r="BA319" t="s">
        <v>74</v>
      </c>
      <c r="BB319">
        <v>532</v>
      </c>
      <c r="BC319">
        <v>546</v>
      </c>
      <c r="BD319" t="s">
        <v>74</v>
      </c>
      <c r="BE319" t="s">
        <v>6581</v>
      </c>
      <c r="BF319" t="str">
        <f>HYPERLINK("http://dx.doi.org/10.1111/ajph.12031","http://dx.doi.org/10.1111/ajph.12031")</f>
        <v>http://dx.doi.org/10.1111/ajph.12031</v>
      </c>
      <c r="BG319" t="s">
        <v>74</v>
      </c>
      <c r="BH319" t="s">
        <v>74</v>
      </c>
      <c r="BI319">
        <v>15</v>
      </c>
      <c r="BJ319" t="s">
        <v>6582</v>
      </c>
      <c r="BK319" t="s">
        <v>4922</v>
      </c>
      <c r="BL319" t="s">
        <v>6583</v>
      </c>
      <c r="BM319" t="s">
        <v>6584</v>
      </c>
      <c r="BN319" t="s">
        <v>74</v>
      </c>
      <c r="BO319" t="s">
        <v>475</v>
      </c>
      <c r="BP319" t="s">
        <v>74</v>
      </c>
      <c r="BQ319" t="s">
        <v>74</v>
      </c>
      <c r="BR319" t="s">
        <v>103</v>
      </c>
      <c r="BS319" t="s">
        <v>6585</v>
      </c>
      <c r="BT319" t="str">
        <f>HYPERLINK("https%3A%2F%2Fwww.webofscience.com%2Fwos%2Fwoscc%2Ffull-record%2FWOS:000328650200003","View Full Record in Web of Science")</f>
        <v>View Full Record in Web of Science</v>
      </c>
    </row>
    <row r="320" spans="1:72" x14ac:dyDescent="0.15">
      <c r="A320" t="s">
        <v>72</v>
      </c>
      <c r="B320" t="s">
        <v>6586</v>
      </c>
      <c r="C320" t="s">
        <v>74</v>
      </c>
      <c r="D320" t="s">
        <v>74</v>
      </c>
      <c r="E320" t="s">
        <v>74</v>
      </c>
      <c r="F320" t="s">
        <v>6587</v>
      </c>
      <c r="G320" t="s">
        <v>74</v>
      </c>
      <c r="H320" t="s">
        <v>74</v>
      </c>
      <c r="I320" t="s">
        <v>6588</v>
      </c>
      <c r="J320" t="s">
        <v>6589</v>
      </c>
      <c r="K320" t="s">
        <v>74</v>
      </c>
      <c r="L320" t="s">
        <v>74</v>
      </c>
      <c r="M320" t="s">
        <v>78</v>
      </c>
      <c r="N320" t="s">
        <v>79</v>
      </c>
      <c r="O320" t="s">
        <v>74</v>
      </c>
      <c r="P320" t="s">
        <v>74</v>
      </c>
      <c r="Q320" t="s">
        <v>74</v>
      </c>
      <c r="R320" t="s">
        <v>74</v>
      </c>
      <c r="S320" t="s">
        <v>74</v>
      </c>
      <c r="T320" t="s">
        <v>6590</v>
      </c>
      <c r="U320" t="s">
        <v>6591</v>
      </c>
      <c r="V320" t="s">
        <v>6592</v>
      </c>
      <c r="W320" t="s">
        <v>6593</v>
      </c>
      <c r="X320" t="s">
        <v>6594</v>
      </c>
      <c r="Y320" t="s">
        <v>6595</v>
      </c>
      <c r="Z320" t="s">
        <v>6596</v>
      </c>
      <c r="AA320" t="s">
        <v>6597</v>
      </c>
      <c r="AB320" t="s">
        <v>74</v>
      </c>
      <c r="AC320" t="s">
        <v>6598</v>
      </c>
      <c r="AD320" t="s">
        <v>6599</v>
      </c>
      <c r="AE320" t="s">
        <v>6600</v>
      </c>
      <c r="AF320" t="s">
        <v>74</v>
      </c>
      <c r="AG320">
        <v>44</v>
      </c>
      <c r="AH320">
        <v>8</v>
      </c>
      <c r="AI320">
        <v>8</v>
      </c>
      <c r="AJ320">
        <v>0</v>
      </c>
      <c r="AK320">
        <v>1</v>
      </c>
      <c r="AL320" t="s">
        <v>6601</v>
      </c>
      <c r="AM320" t="s">
        <v>4060</v>
      </c>
      <c r="AN320" t="s">
        <v>6602</v>
      </c>
      <c r="AO320" t="s">
        <v>6603</v>
      </c>
      <c r="AP320" t="s">
        <v>6604</v>
      </c>
      <c r="AQ320" t="s">
        <v>74</v>
      </c>
      <c r="AR320" t="s">
        <v>6605</v>
      </c>
      <c r="AS320" t="s">
        <v>6606</v>
      </c>
      <c r="AT320" t="s">
        <v>4901</v>
      </c>
      <c r="AU320">
        <v>2013</v>
      </c>
      <c r="AV320">
        <v>6</v>
      </c>
      <c r="AW320">
        <v>1</v>
      </c>
      <c r="AX320" t="s">
        <v>74</v>
      </c>
      <c r="AY320" t="s">
        <v>74</v>
      </c>
      <c r="AZ320" t="s">
        <v>74</v>
      </c>
      <c r="BA320" t="s">
        <v>74</v>
      </c>
      <c r="BB320">
        <v>7</v>
      </c>
      <c r="BC320">
        <v>25</v>
      </c>
      <c r="BD320" t="s">
        <v>74</v>
      </c>
      <c r="BE320" t="s">
        <v>6607</v>
      </c>
      <c r="BF320" t="str">
        <f>HYPERLINK("http://dx.doi.org/10.2478/bgeo-2013-0001","http://dx.doi.org/10.2478/bgeo-2013-0001")</f>
        <v>http://dx.doi.org/10.2478/bgeo-2013-0001</v>
      </c>
      <c r="BG320" t="s">
        <v>74</v>
      </c>
      <c r="BH320" t="s">
        <v>74</v>
      </c>
      <c r="BI320">
        <v>19</v>
      </c>
      <c r="BJ320" t="s">
        <v>3204</v>
      </c>
      <c r="BK320" t="s">
        <v>494</v>
      </c>
      <c r="BL320" t="s">
        <v>3205</v>
      </c>
      <c r="BM320" t="s">
        <v>6608</v>
      </c>
      <c r="BN320" t="s">
        <v>74</v>
      </c>
      <c r="BO320" t="s">
        <v>657</v>
      </c>
      <c r="BP320" t="s">
        <v>74</v>
      </c>
      <c r="BQ320" t="s">
        <v>74</v>
      </c>
      <c r="BR320" t="s">
        <v>103</v>
      </c>
      <c r="BS320" t="s">
        <v>6609</v>
      </c>
      <c r="BT320" t="str">
        <f>HYPERLINK("https%3A%2F%2Fwww.webofscience.com%2Fwos%2Fwoscc%2Ffull-record%2FWOS:000215140800001","View Full Record in Web of Science")</f>
        <v>View Full Record in Web of Science</v>
      </c>
    </row>
    <row r="321" spans="1:72" x14ac:dyDescent="0.15">
      <c r="A321" t="s">
        <v>72</v>
      </c>
      <c r="B321" t="s">
        <v>6610</v>
      </c>
      <c r="C321" t="s">
        <v>74</v>
      </c>
      <c r="D321" t="s">
        <v>74</v>
      </c>
      <c r="E321" t="s">
        <v>74</v>
      </c>
      <c r="F321" t="s">
        <v>6611</v>
      </c>
      <c r="G321" t="s">
        <v>74</v>
      </c>
      <c r="H321" t="s">
        <v>74</v>
      </c>
      <c r="I321" t="s">
        <v>6612</v>
      </c>
      <c r="J321" t="s">
        <v>6589</v>
      </c>
      <c r="K321" t="s">
        <v>74</v>
      </c>
      <c r="L321" t="s">
        <v>74</v>
      </c>
      <c r="M321" t="s">
        <v>78</v>
      </c>
      <c r="N321" t="s">
        <v>79</v>
      </c>
      <c r="O321" t="s">
        <v>74</v>
      </c>
      <c r="P321" t="s">
        <v>74</v>
      </c>
      <c r="Q321" t="s">
        <v>74</v>
      </c>
      <c r="R321" t="s">
        <v>74</v>
      </c>
      <c r="S321" t="s">
        <v>74</v>
      </c>
      <c r="T321" t="s">
        <v>6613</v>
      </c>
      <c r="U321" t="s">
        <v>74</v>
      </c>
      <c r="V321" t="s">
        <v>6614</v>
      </c>
      <c r="W321" t="s">
        <v>6615</v>
      </c>
      <c r="X321" t="s">
        <v>6616</v>
      </c>
      <c r="Y321" t="s">
        <v>6617</v>
      </c>
      <c r="Z321" t="s">
        <v>6618</v>
      </c>
      <c r="AA321" t="s">
        <v>6619</v>
      </c>
      <c r="AB321" t="s">
        <v>6620</v>
      </c>
      <c r="AC321" t="s">
        <v>6621</v>
      </c>
      <c r="AD321" t="s">
        <v>6622</v>
      </c>
      <c r="AE321" t="s">
        <v>6623</v>
      </c>
      <c r="AF321" t="s">
        <v>74</v>
      </c>
      <c r="AG321">
        <v>31</v>
      </c>
      <c r="AH321">
        <v>13</v>
      </c>
      <c r="AI321">
        <v>14</v>
      </c>
      <c r="AJ321">
        <v>0</v>
      </c>
      <c r="AK321">
        <v>2</v>
      </c>
      <c r="AL321" t="s">
        <v>6624</v>
      </c>
      <c r="AM321" t="s">
        <v>4060</v>
      </c>
      <c r="AN321" t="s">
        <v>6625</v>
      </c>
      <c r="AO321" t="s">
        <v>6603</v>
      </c>
      <c r="AP321" t="s">
        <v>6604</v>
      </c>
      <c r="AQ321" t="s">
        <v>74</v>
      </c>
      <c r="AR321" t="s">
        <v>6605</v>
      </c>
      <c r="AS321" t="s">
        <v>6606</v>
      </c>
      <c r="AT321" t="s">
        <v>4901</v>
      </c>
      <c r="AU321">
        <v>2013</v>
      </c>
      <c r="AV321">
        <v>6</v>
      </c>
      <c r="AW321">
        <v>1</v>
      </c>
      <c r="AX321" t="s">
        <v>74</v>
      </c>
      <c r="AY321" t="s">
        <v>74</v>
      </c>
      <c r="AZ321" t="s">
        <v>74</v>
      </c>
      <c r="BA321" t="s">
        <v>74</v>
      </c>
      <c r="BB321">
        <v>59</v>
      </c>
      <c r="BC321">
        <v>80</v>
      </c>
      <c r="BD321" t="s">
        <v>74</v>
      </c>
      <c r="BE321" t="s">
        <v>6626</v>
      </c>
      <c r="BF321" t="str">
        <f>HYPERLINK("http://dx.doi.org/10.2478/bgeo-2013-0004","http://dx.doi.org/10.2478/bgeo-2013-0004")</f>
        <v>http://dx.doi.org/10.2478/bgeo-2013-0004</v>
      </c>
      <c r="BG321" t="s">
        <v>74</v>
      </c>
      <c r="BH321" t="s">
        <v>74</v>
      </c>
      <c r="BI321">
        <v>22</v>
      </c>
      <c r="BJ321" t="s">
        <v>3204</v>
      </c>
      <c r="BK321" t="s">
        <v>494</v>
      </c>
      <c r="BL321" t="s">
        <v>3205</v>
      </c>
      <c r="BM321" t="s">
        <v>6608</v>
      </c>
      <c r="BN321" t="s">
        <v>74</v>
      </c>
      <c r="BO321" t="s">
        <v>657</v>
      </c>
      <c r="BP321" t="s">
        <v>74</v>
      </c>
      <c r="BQ321" t="s">
        <v>74</v>
      </c>
      <c r="BR321" t="s">
        <v>103</v>
      </c>
      <c r="BS321" t="s">
        <v>6627</v>
      </c>
      <c r="BT321" t="str">
        <f>HYPERLINK("https%3A%2F%2Fwww.webofscience.com%2Fwos%2Fwoscc%2Ffull-record%2FWOS:000215140800004","View Full Record in Web of Science")</f>
        <v>View Full Record in Web of Science</v>
      </c>
    </row>
    <row r="322" spans="1:72" x14ac:dyDescent="0.15">
      <c r="A322" t="s">
        <v>72</v>
      </c>
      <c r="B322" t="s">
        <v>6628</v>
      </c>
      <c r="C322" t="s">
        <v>74</v>
      </c>
      <c r="D322" t="s">
        <v>74</v>
      </c>
      <c r="E322" t="s">
        <v>74</v>
      </c>
      <c r="F322" t="s">
        <v>6629</v>
      </c>
      <c r="G322" t="s">
        <v>74</v>
      </c>
      <c r="H322" t="s">
        <v>74</v>
      </c>
      <c r="I322" t="s">
        <v>6630</v>
      </c>
      <c r="J322" t="s">
        <v>6631</v>
      </c>
      <c r="K322" t="s">
        <v>74</v>
      </c>
      <c r="L322" t="s">
        <v>74</v>
      </c>
      <c r="M322" t="s">
        <v>78</v>
      </c>
      <c r="N322" t="s">
        <v>213</v>
      </c>
      <c r="O322" t="s">
        <v>74</v>
      </c>
      <c r="P322" t="s">
        <v>74</v>
      </c>
      <c r="Q322" t="s">
        <v>74</v>
      </c>
      <c r="R322" t="s">
        <v>74</v>
      </c>
      <c r="S322" t="s">
        <v>74</v>
      </c>
      <c r="T322" t="s">
        <v>74</v>
      </c>
      <c r="U322" t="s">
        <v>6632</v>
      </c>
      <c r="V322" t="s">
        <v>6633</v>
      </c>
      <c r="W322" t="s">
        <v>6634</v>
      </c>
      <c r="X322" t="s">
        <v>6635</v>
      </c>
      <c r="Y322" t="s">
        <v>6636</v>
      </c>
      <c r="Z322" t="s">
        <v>6637</v>
      </c>
      <c r="AA322" t="s">
        <v>6638</v>
      </c>
      <c r="AB322" t="s">
        <v>74</v>
      </c>
      <c r="AC322" t="s">
        <v>6639</v>
      </c>
      <c r="AD322" t="s">
        <v>6640</v>
      </c>
      <c r="AE322" t="s">
        <v>6641</v>
      </c>
      <c r="AF322" t="s">
        <v>74</v>
      </c>
      <c r="AG322">
        <v>178</v>
      </c>
      <c r="AH322">
        <v>552</v>
      </c>
      <c r="AI322">
        <v>600</v>
      </c>
      <c r="AJ322">
        <v>15</v>
      </c>
      <c r="AK322">
        <v>180</v>
      </c>
      <c r="AL322" t="s">
        <v>1495</v>
      </c>
      <c r="AM322" t="s">
        <v>1496</v>
      </c>
      <c r="AN322" t="s">
        <v>1497</v>
      </c>
      <c r="AO322" t="s">
        <v>6642</v>
      </c>
      <c r="AP322" t="s">
        <v>6643</v>
      </c>
      <c r="AQ322" t="s">
        <v>74</v>
      </c>
      <c r="AR322" t="s">
        <v>6644</v>
      </c>
      <c r="AS322" t="s">
        <v>6645</v>
      </c>
      <c r="AT322" t="s">
        <v>4901</v>
      </c>
      <c r="AU322">
        <v>2013</v>
      </c>
      <c r="AV322">
        <v>94</v>
      </c>
      <c r="AW322">
        <v>12</v>
      </c>
      <c r="AX322" t="s">
        <v>74</v>
      </c>
      <c r="AY322" t="s">
        <v>74</v>
      </c>
      <c r="AZ322" t="s">
        <v>74</v>
      </c>
      <c r="BA322" t="s">
        <v>74</v>
      </c>
      <c r="BB322">
        <v>1849</v>
      </c>
      <c r="BC322">
        <v>1870</v>
      </c>
      <c r="BD322" t="s">
        <v>74</v>
      </c>
      <c r="BE322" t="s">
        <v>6646</v>
      </c>
      <c r="BF322" t="str">
        <f>HYPERLINK("http://dx.doi.org/10.1175/BAMS-D-12-00026.1","http://dx.doi.org/10.1175/BAMS-D-12-00026.1")</f>
        <v>http://dx.doi.org/10.1175/BAMS-D-12-00026.1</v>
      </c>
      <c r="BG322" t="s">
        <v>74</v>
      </c>
      <c r="BH322" t="s">
        <v>74</v>
      </c>
      <c r="BI322">
        <v>22</v>
      </c>
      <c r="BJ322" t="s">
        <v>1503</v>
      </c>
      <c r="BK322" t="s">
        <v>99</v>
      </c>
      <c r="BL322" t="s">
        <v>1503</v>
      </c>
      <c r="BM322" t="s">
        <v>6647</v>
      </c>
      <c r="BN322" t="s">
        <v>74</v>
      </c>
      <c r="BO322" t="s">
        <v>524</v>
      </c>
      <c r="BP322" t="s">
        <v>120</v>
      </c>
      <c r="BQ322" t="s">
        <v>121</v>
      </c>
      <c r="BR322" t="s">
        <v>103</v>
      </c>
      <c r="BS322" t="s">
        <v>6648</v>
      </c>
      <c r="BT322" t="str">
        <f>HYPERLINK("https%3A%2F%2Fwww.webofscience.com%2Fwos%2Fwoscc%2Ffull-record%2FWOS:000329551600009","View Full Record in Web of Science")</f>
        <v>View Full Record in Web of Science</v>
      </c>
    </row>
    <row r="323" spans="1:72" x14ac:dyDescent="0.15">
      <c r="A323" t="s">
        <v>72</v>
      </c>
      <c r="B323" t="s">
        <v>6649</v>
      </c>
      <c r="C323" t="s">
        <v>74</v>
      </c>
      <c r="D323" t="s">
        <v>74</v>
      </c>
      <c r="E323" t="s">
        <v>74</v>
      </c>
      <c r="F323" t="s">
        <v>6650</v>
      </c>
      <c r="G323" t="s">
        <v>74</v>
      </c>
      <c r="H323" t="s">
        <v>74</v>
      </c>
      <c r="I323" t="s">
        <v>6651</v>
      </c>
      <c r="J323" t="s">
        <v>6652</v>
      </c>
      <c r="K323" t="s">
        <v>74</v>
      </c>
      <c r="L323" t="s">
        <v>74</v>
      </c>
      <c r="M323" t="s">
        <v>78</v>
      </c>
      <c r="N323" t="s">
        <v>2830</v>
      </c>
      <c r="O323" t="s">
        <v>74</v>
      </c>
      <c r="P323" t="s">
        <v>74</v>
      </c>
      <c r="Q323" t="s">
        <v>74</v>
      </c>
      <c r="R323" t="s">
        <v>74</v>
      </c>
      <c r="S323" t="s">
        <v>74</v>
      </c>
      <c r="T323" t="s">
        <v>74</v>
      </c>
      <c r="U323" t="s">
        <v>74</v>
      </c>
      <c r="V323" t="s">
        <v>74</v>
      </c>
      <c r="W323" t="s">
        <v>6653</v>
      </c>
      <c r="X323" t="s">
        <v>6654</v>
      </c>
      <c r="Y323" t="s">
        <v>6655</v>
      </c>
      <c r="Z323" t="s">
        <v>6656</v>
      </c>
      <c r="AA323" t="s">
        <v>74</v>
      </c>
      <c r="AB323" t="s">
        <v>74</v>
      </c>
      <c r="AC323" t="s">
        <v>74</v>
      </c>
      <c r="AD323" t="s">
        <v>74</v>
      </c>
      <c r="AE323" t="s">
        <v>74</v>
      </c>
      <c r="AF323" t="s">
        <v>74</v>
      </c>
      <c r="AG323">
        <v>0</v>
      </c>
      <c r="AH323">
        <v>0</v>
      </c>
      <c r="AI323">
        <v>0</v>
      </c>
      <c r="AJ323">
        <v>1</v>
      </c>
      <c r="AK323">
        <v>11</v>
      </c>
      <c r="AL323" t="s">
        <v>582</v>
      </c>
      <c r="AM323" t="s">
        <v>305</v>
      </c>
      <c r="AN323" t="s">
        <v>583</v>
      </c>
      <c r="AO323" t="s">
        <v>6657</v>
      </c>
      <c r="AP323" t="s">
        <v>6658</v>
      </c>
      <c r="AQ323" t="s">
        <v>74</v>
      </c>
      <c r="AR323" t="s">
        <v>6659</v>
      </c>
      <c r="AS323" t="s">
        <v>6660</v>
      </c>
      <c r="AT323" t="s">
        <v>4901</v>
      </c>
      <c r="AU323">
        <v>2013</v>
      </c>
      <c r="AV323">
        <v>96</v>
      </c>
      <c r="AW323" t="s">
        <v>74</v>
      </c>
      <c r="AX323" t="s">
        <v>74</v>
      </c>
      <c r="AY323" t="s">
        <v>74</v>
      </c>
      <c r="AZ323" t="s">
        <v>74</v>
      </c>
      <c r="BA323" t="s">
        <v>74</v>
      </c>
      <c r="BB323">
        <v>69</v>
      </c>
      <c r="BC323">
        <v>70</v>
      </c>
      <c r="BD323" t="s">
        <v>74</v>
      </c>
      <c r="BE323" t="s">
        <v>6661</v>
      </c>
      <c r="BF323" t="str">
        <f>HYPERLINK("http://dx.doi.org/10.1016/j.coldregions.2013.08.010","http://dx.doi.org/10.1016/j.coldregions.2013.08.010")</f>
        <v>http://dx.doi.org/10.1016/j.coldregions.2013.08.010</v>
      </c>
      <c r="BG323" t="s">
        <v>74</v>
      </c>
      <c r="BH323" t="s">
        <v>74</v>
      </c>
      <c r="BI323">
        <v>2</v>
      </c>
      <c r="BJ323" t="s">
        <v>6662</v>
      </c>
      <c r="BK323" t="s">
        <v>99</v>
      </c>
      <c r="BL323" t="s">
        <v>6663</v>
      </c>
      <c r="BM323" t="s">
        <v>6664</v>
      </c>
      <c r="BN323" t="s">
        <v>74</v>
      </c>
      <c r="BO323" t="s">
        <v>74</v>
      </c>
      <c r="BP323" t="s">
        <v>74</v>
      </c>
      <c r="BQ323" t="s">
        <v>74</v>
      </c>
      <c r="BR323" t="s">
        <v>103</v>
      </c>
      <c r="BS323" t="s">
        <v>6665</v>
      </c>
      <c r="BT323" t="str">
        <f>HYPERLINK("https%3A%2F%2Fwww.webofscience.com%2Fwos%2Fwoscc%2Ffull-record%2FWOS:000327576000008","View Full Record in Web of Science")</f>
        <v>View Full Record in Web of Science</v>
      </c>
    </row>
    <row r="324" spans="1:72" x14ac:dyDescent="0.15">
      <c r="A324" t="s">
        <v>72</v>
      </c>
      <c r="B324" t="s">
        <v>6666</v>
      </c>
      <c r="C324" t="s">
        <v>74</v>
      </c>
      <c r="D324" t="s">
        <v>74</v>
      </c>
      <c r="E324" t="s">
        <v>74</v>
      </c>
      <c r="F324" t="s">
        <v>6667</v>
      </c>
      <c r="G324" t="s">
        <v>74</v>
      </c>
      <c r="H324" t="s">
        <v>74</v>
      </c>
      <c r="I324" t="s">
        <v>6668</v>
      </c>
      <c r="J324" t="s">
        <v>6669</v>
      </c>
      <c r="K324" t="s">
        <v>74</v>
      </c>
      <c r="L324" t="s">
        <v>74</v>
      </c>
      <c r="M324" t="s">
        <v>78</v>
      </c>
      <c r="N324" t="s">
        <v>79</v>
      </c>
      <c r="O324" t="s">
        <v>74</v>
      </c>
      <c r="P324" t="s">
        <v>74</v>
      </c>
      <c r="Q324" t="s">
        <v>74</v>
      </c>
      <c r="R324" t="s">
        <v>74</v>
      </c>
      <c r="S324" t="s">
        <v>74</v>
      </c>
      <c r="T324" t="s">
        <v>6670</v>
      </c>
      <c r="U324" t="s">
        <v>6671</v>
      </c>
      <c r="V324" t="s">
        <v>6672</v>
      </c>
      <c r="W324" t="s">
        <v>6673</v>
      </c>
      <c r="X324" t="s">
        <v>6674</v>
      </c>
      <c r="Y324" t="s">
        <v>6675</v>
      </c>
      <c r="Z324" t="s">
        <v>6676</v>
      </c>
      <c r="AA324" t="s">
        <v>6677</v>
      </c>
      <c r="AB324" t="s">
        <v>6678</v>
      </c>
      <c r="AC324" t="s">
        <v>6679</v>
      </c>
      <c r="AD324" t="s">
        <v>6680</v>
      </c>
      <c r="AE324" t="s">
        <v>6681</v>
      </c>
      <c r="AF324" t="s">
        <v>74</v>
      </c>
      <c r="AG324">
        <v>63</v>
      </c>
      <c r="AH324">
        <v>19</v>
      </c>
      <c r="AI324">
        <v>20</v>
      </c>
      <c r="AJ324">
        <v>0</v>
      </c>
      <c r="AK324">
        <v>26</v>
      </c>
      <c r="AL324" t="s">
        <v>410</v>
      </c>
      <c r="AM324" t="s">
        <v>411</v>
      </c>
      <c r="AN324" t="s">
        <v>412</v>
      </c>
      <c r="AO324" t="s">
        <v>6682</v>
      </c>
      <c r="AP324" t="s">
        <v>6683</v>
      </c>
      <c r="AQ324" t="s">
        <v>74</v>
      </c>
      <c r="AR324" t="s">
        <v>6684</v>
      </c>
      <c r="AS324" t="s">
        <v>6685</v>
      </c>
      <c r="AT324" t="s">
        <v>4901</v>
      </c>
      <c r="AU324">
        <v>2013</v>
      </c>
      <c r="AV324">
        <v>19</v>
      </c>
      <c r="AW324">
        <v>12</v>
      </c>
      <c r="AX324" t="s">
        <v>74</v>
      </c>
      <c r="AY324" t="s">
        <v>74</v>
      </c>
      <c r="AZ324" t="s">
        <v>74</v>
      </c>
      <c r="BA324" t="s">
        <v>74</v>
      </c>
      <c r="BB324">
        <v>1506</v>
      </c>
      <c r="BC324">
        <v>1517</v>
      </c>
      <c r="BD324" t="s">
        <v>74</v>
      </c>
      <c r="BE324" t="s">
        <v>6686</v>
      </c>
      <c r="BF324" t="str">
        <f>HYPERLINK("http://dx.doi.org/10.1111/ddi.12119","http://dx.doi.org/10.1111/ddi.12119")</f>
        <v>http://dx.doi.org/10.1111/ddi.12119</v>
      </c>
      <c r="BG324" t="s">
        <v>74</v>
      </c>
      <c r="BH324" t="s">
        <v>74</v>
      </c>
      <c r="BI324">
        <v>12</v>
      </c>
      <c r="BJ324" t="s">
        <v>3183</v>
      </c>
      <c r="BK324" t="s">
        <v>99</v>
      </c>
      <c r="BL324" t="s">
        <v>1050</v>
      </c>
      <c r="BM324" t="s">
        <v>6687</v>
      </c>
      <c r="BN324" t="s">
        <v>74</v>
      </c>
      <c r="BO324" t="s">
        <v>74</v>
      </c>
      <c r="BP324" t="s">
        <v>74</v>
      </c>
      <c r="BQ324" t="s">
        <v>74</v>
      </c>
      <c r="BR324" t="s">
        <v>103</v>
      </c>
      <c r="BS324" t="s">
        <v>6688</v>
      </c>
      <c r="BT324" t="str">
        <f>HYPERLINK("https%3A%2F%2Fwww.webofscience.com%2Fwos%2Fwoscc%2Ffull-record%2FWOS:000329778600005","View Full Record in Web of Science")</f>
        <v>View Full Record in Web of Science</v>
      </c>
    </row>
    <row r="325" spans="1:72" x14ac:dyDescent="0.15">
      <c r="A325" t="s">
        <v>72</v>
      </c>
      <c r="B325" t="s">
        <v>6689</v>
      </c>
      <c r="C325" t="s">
        <v>74</v>
      </c>
      <c r="D325" t="s">
        <v>74</v>
      </c>
      <c r="E325" t="s">
        <v>74</v>
      </c>
      <c r="F325" t="s">
        <v>6690</v>
      </c>
      <c r="G325" t="s">
        <v>74</v>
      </c>
      <c r="H325" t="s">
        <v>74</v>
      </c>
      <c r="I325" t="s">
        <v>6691</v>
      </c>
      <c r="J325" t="s">
        <v>6692</v>
      </c>
      <c r="K325" t="s">
        <v>74</v>
      </c>
      <c r="L325" t="s">
        <v>74</v>
      </c>
      <c r="M325" t="s">
        <v>78</v>
      </c>
      <c r="N325" t="s">
        <v>79</v>
      </c>
      <c r="O325" t="s">
        <v>74</v>
      </c>
      <c r="P325" t="s">
        <v>74</v>
      </c>
      <c r="Q325" t="s">
        <v>74</v>
      </c>
      <c r="R325" t="s">
        <v>74</v>
      </c>
      <c r="S325" t="s">
        <v>74</v>
      </c>
      <c r="T325" t="s">
        <v>6693</v>
      </c>
      <c r="U325" t="s">
        <v>6694</v>
      </c>
      <c r="V325" t="s">
        <v>6695</v>
      </c>
      <c r="W325" t="s">
        <v>6696</v>
      </c>
      <c r="X325" t="s">
        <v>6697</v>
      </c>
      <c r="Y325" t="s">
        <v>6698</v>
      </c>
      <c r="Z325" t="s">
        <v>6699</v>
      </c>
      <c r="AA325" t="s">
        <v>6700</v>
      </c>
      <c r="AB325" t="s">
        <v>6701</v>
      </c>
      <c r="AC325" t="s">
        <v>6702</v>
      </c>
      <c r="AD325" t="s">
        <v>6703</v>
      </c>
      <c r="AE325" t="s">
        <v>6704</v>
      </c>
      <c r="AF325" t="s">
        <v>74</v>
      </c>
      <c r="AG325">
        <v>98</v>
      </c>
      <c r="AH325">
        <v>56</v>
      </c>
      <c r="AI325">
        <v>64</v>
      </c>
      <c r="AJ325">
        <v>0</v>
      </c>
      <c r="AK325">
        <v>80</v>
      </c>
      <c r="AL325" t="s">
        <v>410</v>
      </c>
      <c r="AM325" t="s">
        <v>411</v>
      </c>
      <c r="AN325" t="s">
        <v>412</v>
      </c>
      <c r="AO325" t="s">
        <v>6705</v>
      </c>
      <c r="AP325" t="s">
        <v>6706</v>
      </c>
      <c r="AQ325" t="s">
        <v>74</v>
      </c>
      <c r="AR325" t="s">
        <v>6707</v>
      </c>
      <c r="AS325" t="s">
        <v>6708</v>
      </c>
      <c r="AT325" t="s">
        <v>4901</v>
      </c>
      <c r="AU325">
        <v>2013</v>
      </c>
      <c r="AV325">
        <v>23</v>
      </c>
      <c r="AW325">
        <v>8</v>
      </c>
      <c r="AX325" t="s">
        <v>74</v>
      </c>
      <c r="AY325" t="s">
        <v>74</v>
      </c>
      <c r="AZ325" t="s">
        <v>74</v>
      </c>
      <c r="BA325" t="s">
        <v>74</v>
      </c>
      <c r="BB325">
        <v>1745</v>
      </c>
      <c r="BC325">
        <v>1764</v>
      </c>
      <c r="BD325" t="s">
        <v>74</v>
      </c>
      <c r="BE325" t="s">
        <v>6709</v>
      </c>
      <c r="BF325" t="str">
        <f>HYPERLINK("http://dx.doi.org/10.1890/11-0902.1","http://dx.doi.org/10.1890/11-0902.1")</f>
        <v>http://dx.doi.org/10.1890/11-0902.1</v>
      </c>
      <c r="BG325" t="s">
        <v>74</v>
      </c>
      <c r="BH325" t="s">
        <v>74</v>
      </c>
      <c r="BI325">
        <v>20</v>
      </c>
      <c r="BJ325" t="s">
        <v>3238</v>
      </c>
      <c r="BK325" t="s">
        <v>99</v>
      </c>
      <c r="BL325" t="s">
        <v>420</v>
      </c>
      <c r="BM325" t="s">
        <v>6710</v>
      </c>
      <c r="BN325">
        <v>24555307</v>
      </c>
      <c r="BO325" t="s">
        <v>6711</v>
      </c>
      <c r="BP325" t="s">
        <v>74</v>
      </c>
      <c r="BQ325" t="s">
        <v>74</v>
      </c>
      <c r="BR325" t="s">
        <v>103</v>
      </c>
      <c r="BS325" t="s">
        <v>6712</v>
      </c>
      <c r="BT325" t="str">
        <f>HYPERLINK("https%3A%2F%2Fwww.webofscience.com%2Fwos%2Fwoscc%2Ffull-record%2FWOS:000328568400003","View Full Record in Web of Science")</f>
        <v>View Full Record in Web of Science</v>
      </c>
    </row>
    <row r="326" spans="1:72" x14ac:dyDescent="0.15">
      <c r="A326" t="s">
        <v>72</v>
      </c>
      <c r="B326" t="s">
        <v>6713</v>
      </c>
      <c r="C326" t="s">
        <v>74</v>
      </c>
      <c r="D326" t="s">
        <v>74</v>
      </c>
      <c r="E326" t="s">
        <v>74</v>
      </c>
      <c r="F326" t="s">
        <v>6714</v>
      </c>
      <c r="G326" t="s">
        <v>74</v>
      </c>
      <c r="H326" t="s">
        <v>74</v>
      </c>
      <c r="I326" t="s">
        <v>6715</v>
      </c>
      <c r="J326" t="s">
        <v>6692</v>
      </c>
      <c r="K326" t="s">
        <v>74</v>
      </c>
      <c r="L326" t="s">
        <v>74</v>
      </c>
      <c r="M326" t="s">
        <v>78</v>
      </c>
      <c r="N326" t="s">
        <v>79</v>
      </c>
      <c r="O326" t="s">
        <v>74</v>
      </c>
      <c r="P326" t="s">
        <v>74</v>
      </c>
      <c r="Q326" t="s">
        <v>74</v>
      </c>
      <c r="R326" t="s">
        <v>74</v>
      </c>
      <c r="S326" t="s">
        <v>74</v>
      </c>
      <c r="T326" t="s">
        <v>6716</v>
      </c>
      <c r="U326" t="s">
        <v>6717</v>
      </c>
      <c r="V326" t="s">
        <v>6718</v>
      </c>
      <c r="W326" t="s">
        <v>6719</v>
      </c>
      <c r="X326" t="s">
        <v>6720</v>
      </c>
      <c r="Y326" t="s">
        <v>6721</v>
      </c>
      <c r="Z326" t="s">
        <v>6722</v>
      </c>
      <c r="AA326" t="s">
        <v>6723</v>
      </c>
      <c r="AB326" t="s">
        <v>6724</v>
      </c>
      <c r="AC326" t="s">
        <v>6725</v>
      </c>
      <c r="AD326" t="s">
        <v>6726</v>
      </c>
      <c r="AE326" t="s">
        <v>6727</v>
      </c>
      <c r="AF326" t="s">
        <v>74</v>
      </c>
      <c r="AG326">
        <v>52</v>
      </c>
      <c r="AH326">
        <v>6</v>
      </c>
      <c r="AI326">
        <v>7</v>
      </c>
      <c r="AJ326">
        <v>1</v>
      </c>
      <c r="AK326">
        <v>22</v>
      </c>
      <c r="AL326" t="s">
        <v>410</v>
      </c>
      <c r="AM326" t="s">
        <v>411</v>
      </c>
      <c r="AN326" t="s">
        <v>412</v>
      </c>
      <c r="AO326" t="s">
        <v>6705</v>
      </c>
      <c r="AP326" t="s">
        <v>6706</v>
      </c>
      <c r="AQ326" t="s">
        <v>74</v>
      </c>
      <c r="AR326" t="s">
        <v>6707</v>
      </c>
      <c r="AS326" t="s">
        <v>6708</v>
      </c>
      <c r="AT326" t="s">
        <v>4901</v>
      </c>
      <c r="AU326">
        <v>2013</v>
      </c>
      <c r="AV326">
        <v>23</v>
      </c>
      <c r="AW326">
        <v>8</v>
      </c>
      <c r="AX326" t="s">
        <v>74</v>
      </c>
      <c r="AY326" t="s">
        <v>74</v>
      </c>
      <c r="AZ326" t="s">
        <v>74</v>
      </c>
      <c r="BA326" t="s">
        <v>74</v>
      </c>
      <c r="BB326">
        <v>1765</v>
      </c>
      <c r="BC326">
        <v>1777</v>
      </c>
      <c r="BD326" t="s">
        <v>74</v>
      </c>
      <c r="BE326" t="s">
        <v>6728</v>
      </c>
      <c r="BF326" t="str">
        <f>HYPERLINK("http://dx.doi.org/10.1890/11-1069.1","http://dx.doi.org/10.1890/11-1069.1")</f>
        <v>http://dx.doi.org/10.1890/11-1069.1</v>
      </c>
      <c r="BG326" t="s">
        <v>74</v>
      </c>
      <c r="BH326" t="s">
        <v>74</v>
      </c>
      <c r="BI326">
        <v>13</v>
      </c>
      <c r="BJ326" t="s">
        <v>3238</v>
      </c>
      <c r="BK326" t="s">
        <v>99</v>
      </c>
      <c r="BL326" t="s">
        <v>420</v>
      </c>
      <c r="BM326" t="s">
        <v>6710</v>
      </c>
      <c r="BN326">
        <v>24555308</v>
      </c>
      <c r="BO326" t="s">
        <v>74</v>
      </c>
      <c r="BP326" t="s">
        <v>74</v>
      </c>
      <c r="BQ326" t="s">
        <v>74</v>
      </c>
      <c r="BR326" t="s">
        <v>103</v>
      </c>
      <c r="BS326" t="s">
        <v>6729</v>
      </c>
      <c r="BT326" t="str">
        <f>HYPERLINK("https%3A%2F%2Fwww.webofscience.com%2Fwos%2Fwoscc%2Ffull-record%2FWOS:000328568400004","View Full Record in Web of Science")</f>
        <v>View Full Record in Web of Science</v>
      </c>
    </row>
    <row r="327" spans="1:72" x14ac:dyDescent="0.15">
      <c r="A327" t="s">
        <v>72</v>
      </c>
      <c r="B327" t="s">
        <v>6730</v>
      </c>
      <c r="C327" t="s">
        <v>74</v>
      </c>
      <c r="D327" t="s">
        <v>74</v>
      </c>
      <c r="E327" t="s">
        <v>74</v>
      </c>
      <c r="F327" t="s">
        <v>6731</v>
      </c>
      <c r="G327" t="s">
        <v>74</v>
      </c>
      <c r="H327" t="s">
        <v>74</v>
      </c>
      <c r="I327" t="s">
        <v>6732</v>
      </c>
      <c r="J327" t="s">
        <v>6733</v>
      </c>
      <c r="K327" t="s">
        <v>74</v>
      </c>
      <c r="L327" t="s">
        <v>74</v>
      </c>
      <c r="M327" t="s">
        <v>78</v>
      </c>
      <c r="N327" t="s">
        <v>79</v>
      </c>
      <c r="O327" t="s">
        <v>74</v>
      </c>
      <c r="P327" t="s">
        <v>74</v>
      </c>
      <c r="Q327" t="s">
        <v>74</v>
      </c>
      <c r="R327" t="s">
        <v>74</v>
      </c>
      <c r="S327" t="s">
        <v>74</v>
      </c>
      <c r="T327" t="s">
        <v>6734</v>
      </c>
      <c r="U327" t="s">
        <v>6735</v>
      </c>
      <c r="V327" t="s">
        <v>6736</v>
      </c>
      <c r="W327" t="s">
        <v>6737</v>
      </c>
      <c r="X327" t="s">
        <v>709</v>
      </c>
      <c r="Y327" t="s">
        <v>6738</v>
      </c>
      <c r="Z327" t="s">
        <v>6739</v>
      </c>
      <c r="AA327" t="s">
        <v>6740</v>
      </c>
      <c r="AB327" t="s">
        <v>74</v>
      </c>
      <c r="AC327" t="s">
        <v>6741</v>
      </c>
      <c r="AD327" t="s">
        <v>6742</v>
      </c>
      <c r="AE327" t="s">
        <v>6743</v>
      </c>
      <c r="AF327" t="s">
        <v>74</v>
      </c>
      <c r="AG327">
        <v>45</v>
      </c>
      <c r="AH327">
        <v>12</v>
      </c>
      <c r="AI327">
        <v>12</v>
      </c>
      <c r="AJ327">
        <v>0</v>
      </c>
      <c r="AK327">
        <v>25</v>
      </c>
      <c r="AL327" t="s">
        <v>1748</v>
      </c>
      <c r="AM327" t="s">
        <v>921</v>
      </c>
      <c r="AN327" t="s">
        <v>3232</v>
      </c>
      <c r="AO327" t="s">
        <v>6744</v>
      </c>
      <c r="AP327" t="s">
        <v>6745</v>
      </c>
      <c r="AQ327" t="s">
        <v>74</v>
      </c>
      <c r="AR327" t="s">
        <v>6746</v>
      </c>
      <c r="AS327" t="s">
        <v>6747</v>
      </c>
      <c r="AT327" t="s">
        <v>4901</v>
      </c>
      <c r="AU327">
        <v>2013</v>
      </c>
      <c r="AV327">
        <v>40</v>
      </c>
      <c r="AW327">
        <v>4</v>
      </c>
      <c r="AX327" t="s">
        <v>74</v>
      </c>
      <c r="AY327" t="s">
        <v>74</v>
      </c>
      <c r="AZ327" t="s">
        <v>74</v>
      </c>
      <c r="BA327" t="s">
        <v>74</v>
      </c>
      <c r="BB327">
        <v>394</v>
      </c>
      <c r="BC327">
        <v>405</v>
      </c>
      <c r="BD327" t="s">
        <v>74</v>
      </c>
      <c r="BE327" t="s">
        <v>6748</v>
      </c>
      <c r="BF327" t="str">
        <f>HYPERLINK("http://dx.doi.org/10.1017/S0376892913000088","http://dx.doi.org/10.1017/S0376892913000088")</f>
        <v>http://dx.doi.org/10.1017/S0376892913000088</v>
      </c>
      <c r="BG327" t="s">
        <v>74</v>
      </c>
      <c r="BH327" t="s">
        <v>74</v>
      </c>
      <c r="BI327">
        <v>12</v>
      </c>
      <c r="BJ327" t="s">
        <v>6749</v>
      </c>
      <c r="BK327" t="s">
        <v>99</v>
      </c>
      <c r="BL327" t="s">
        <v>1050</v>
      </c>
      <c r="BM327" t="s">
        <v>6750</v>
      </c>
      <c r="BN327" t="s">
        <v>74</v>
      </c>
      <c r="BO327" t="s">
        <v>1630</v>
      </c>
      <c r="BP327" t="s">
        <v>74</v>
      </c>
      <c r="BQ327" t="s">
        <v>74</v>
      </c>
      <c r="BR327" t="s">
        <v>103</v>
      </c>
      <c r="BS327" t="s">
        <v>6751</v>
      </c>
      <c r="BT327" t="str">
        <f>HYPERLINK("https%3A%2F%2Fwww.webofscience.com%2Fwos%2Fwoscc%2Ffull-record%2FWOS:000330369300010","View Full Record in Web of Science")</f>
        <v>View Full Record in Web of Science</v>
      </c>
    </row>
    <row r="328" spans="1:72" x14ac:dyDescent="0.15">
      <c r="A328" t="s">
        <v>72</v>
      </c>
      <c r="B328" t="s">
        <v>6752</v>
      </c>
      <c r="C328" t="s">
        <v>74</v>
      </c>
      <c r="D328" t="s">
        <v>74</v>
      </c>
      <c r="E328" t="s">
        <v>74</v>
      </c>
      <c r="F328" t="s">
        <v>6753</v>
      </c>
      <c r="G328" t="s">
        <v>74</v>
      </c>
      <c r="H328" t="s">
        <v>74</v>
      </c>
      <c r="I328" t="s">
        <v>6754</v>
      </c>
      <c r="J328" t="s">
        <v>6755</v>
      </c>
      <c r="K328" t="s">
        <v>74</v>
      </c>
      <c r="L328" t="s">
        <v>74</v>
      </c>
      <c r="M328" t="s">
        <v>78</v>
      </c>
      <c r="N328" t="s">
        <v>213</v>
      </c>
      <c r="O328" t="s">
        <v>74</v>
      </c>
      <c r="P328" t="s">
        <v>74</v>
      </c>
      <c r="Q328" t="s">
        <v>74</v>
      </c>
      <c r="R328" t="s">
        <v>74</v>
      </c>
      <c r="S328" t="s">
        <v>74</v>
      </c>
      <c r="T328" t="s">
        <v>6756</v>
      </c>
      <c r="U328" t="s">
        <v>6757</v>
      </c>
      <c r="V328" t="s">
        <v>6758</v>
      </c>
      <c r="W328" t="s">
        <v>6759</v>
      </c>
      <c r="X328" t="s">
        <v>6760</v>
      </c>
      <c r="Y328" t="s">
        <v>6761</v>
      </c>
      <c r="Z328" t="s">
        <v>6762</v>
      </c>
      <c r="AA328" t="s">
        <v>6763</v>
      </c>
      <c r="AB328" t="s">
        <v>74</v>
      </c>
      <c r="AC328" t="s">
        <v>6764</v>
      </c>
      <c r="AD328" t="s">
        <v>6765</v>
      </c>
      <c r="AE328" t="s">
        <v>6766</v>
      </c>
      <c r="AF328" t="s">
        <v>74</v>
      </c>
      <c r="AG328">
        <v>116</v>
      </c>
      <c r="AH328">
        <v>29</v>
      </c>
      <c r="AI328">
        <v>30</v>
      </c>
      <c r="AJ328">
        <v>3</v>
      </c>
      <c r="AK328">
        <v>40</v>
      </c>
      <c r="AL328" t="s">
        <v>1606</v>
      </c>
      <c r="AM328" t="s">
        <v>808</v>
      </c>
      <c r="AN328" t="s">
        <v>1607</v>
      </c>
      <c r="AO328" t="s">
        <v>74</v>
      </c>
      <c r="AP328" t="s">
        <v>6767</v>
      </c>
      <c r="AQ328" t="s">
        <v>74</v>
      </c>
      <c r="AR328" t="s">
        <v>6768</v>
      </c>
      <c r="AS328" t="s">
        <v>6769</v>
      </c>
      <c r="AT328" t="s">
        <v>4901</v>
      </c>
      <c r="AU328">
        <v>2013</v>
      </c>
      <c r="AV328">
        <v>14</v>
      </c>
      <c r="AW328">
        <v>12</v>
      </c>
      <c r="AX328" t="s">
        <v>74</v>
      </c>
      <c r="AY328" t="s">
        <v>74</v>
      </c>
      <c r="AZ328" t="s">
        <v>74</v>
      </c>
      <c r="BA328" t="s">
        <v>74</v>
      </c>
      <c r="BB328">
        <v>5323</v>
      </c>
      <c r="BC328">
        <v>5340</v>
      </c>
      <c r="BD328" t="s">
        <v>74</v>
      </c>
      <c r="BE328" t="s">
        <v>6770</v>
      </c>
      <c r="BF328" t="str">
        <f>HYPERLINK("http://dx.doi.org/10.1002/2013GC004889","http://dx.doi.org/10.1002/2013GC004889")</f>
        <v>http://dx.doi.org/10.1002/2013GC004889</v>
      </c>
      <c r="BG328" t="s">
        <v>74</v>
      </c>
      <c r="BH328" t="s">
        <v>74</v>
      </c>
      <c r="BI328">
        <v>18</v>
      </c>
      <c r="BJ328" t="s">
        <v>313</v>
      </c>
      <c r="BK328" t="s">
        <v>99</v>
      </c>
      <c r="BL328" t="s">
        <v>313</v>
      </c>
      <c r="BM328" t="s">
        <v>6771</v>
      </c>
      <c r="BN328" t="s">
        <v>74</v>
      </c>
      <c r="BO328" t="s">
        <v>475</v>
      </c>
      <c r="BP328" t="s">
        <v>74</v>
      </c>
      <c r="BQ328" t="s">
        <v>74</v>
      </c>
      <c r="BR328" t="s">
        <v>103</v>
      </c>
      <c r="BS328" t="s">
        <v>6772</v>
      </c>
      <c r="BT328" t="str">
        <f>HYPERLINK("https%3A%2F%2Fwww.webofscience.com%2Fwos%2Fwoscc%2Ffull-record%2FWOS:000330833500020","View Full Record in Web of Science")</f>
        <v>View Full Record in Web of Science</v>
      </c>
    </row>
    <row r="329" spans="1:72" x14ac:dyDescent="0.15">
      <c r="A329" t="s">
        <v>72</v>
      </c>
      <c r="B329" t="s">
        <v>6773</v>
      </c>
      <c r="C329" t="s">
        <v>74</v>
      </c>
      <c r="D329" t="s">
        <v>74</v>
      </c>
      <c r="E329" t="s">
        <v>74</v>
      </c>
      <c r="F329" t="s">
        <v>6774</v>
      </c>
      <c r="G329" t="s">
        <v>74</v>
      </c>
      <c r="H329" t="s">
        <v>74</v>
      </c>
      <c r="I329" t="s">
        <v>6775</v>
      </c>
      <c r="J329" t="s">
        <v>861</v>
      </c>
      <c r="K329" t="s">
        <v>74</v>
      </c>
      <c r="L329" t="s">
        <v>74</v>
      </c>
      <c r="M329" t="s">
        <v>78</v>
      </c>
      <c r="N329" t="s">
        <v>79</v>
      </c>
      <c r="O329" t="s">
        <v>74</v>
      </c>
      <c r="P329" t="s">
        <v>74</v>
      </c>
      <c r="Q329" t="s">
        <v>74</v>
      </c>
      <c r="R329" t="s">
        <v>74</v>
      </c>
      <c r="S329" t="s">
        <v>74</v>
      </c>
      <c r="T329" t="s">
        <v>74</v>
      </c>
      <c r="U329" t="s">
        <v>6776</v>
      </c>
      <c r="V329" t="s">
        <v>6777</v>
      </c>
      <c r="W329" t="s">
        <v>6778</v>
      </c>
      <c r="X329" t="s">
        <v>6779</v>
      </c>
      <c r="Y329" t="s">
        <v>6780</v>
      </c>
      <c r="Z329" t="s">
        <v>6781</v>
      </c>
      <c r="AA329" t="s">
        <v>74</v>
      </c>
      <c r="AB329" t="s">
        <v>6782</v>
      </c>
      <c r="AC329" t="s">
        <v>6783</v>
      </c>
      <c r="AD329" t="s">
        <v>6783</v>
      </c>
      <c r="AE329" t="s">
        <v>6784</v>
      </c>
      <c r="AF329" t="s">
        <v>74</v>
      </c>
      <c r="AG329">
        <v>147</v>
      </c>
      <c r="AH329">
        <v>44</v>
      </c>
      <c r="AI329">
        <v>48</v>
      </c>
      <c r="AJ329">
        <v>1</v>
      </c>
      <c r="AK329">
        <v>41</v>
      </c>
      <c r="AL329" t="s">
        <v>872</v>
      </c>
      <c r="AM329" t="s">
        <v>252</v>
      </c>
      <c r="AN329" t="s">
        <v>873</v>
      </c>
      <c r="AO329" t="s">
        <v>874</v>
      </c>
      <c r="AP329" t="s">
        <v>875</v>
      </c>
      <c r="AQ329" t="s">
        <v>74</v>
      </c>
      <c r="AR329" t="s">
        <v>876</v>
      </c>
      <c r="AS329" t="s">
        <v>877</v>
      </c>
      <c r="AT329" t="s">
        <v>4919</v>
      </c>
      <c r="AU329">
        <v>2013</v>
      </c>
      <c r="AV329">
        <v>122</v>
      </c>
      <c r="AW329" t="s">
        <v>74</v>
      </c>
      <c r="AX329" t="s">
        <v>74</v>
      </c>
      <c r="AY329" t="s">
        <v>74</v>
      </c>
      <c r="AZ329" t="s">
        <v>74</v>
      </c>
      <c r="BA329" t="s">
        <v>74</v>
      </c>
      <c r="BB329">
        <v>127</v>
      </c>
      <c r="BC329">
        <v>152</v>
      </c>
      <c r="BD329" t="s">
        <v>74</v>
      </c>
      <c r="BE329" t="s">
        <v>6785</v>
      </c>
      <c r="BF329" t="str">
        <f>HYPERLINK("http://dx.doi.org/10.1016/j.gca.2013.08.025","http://dx.doi.org/10.1016/j.gca.2013.08.025")</f>
        <v>http://dx.doi.org/10.1016/j.gca.2013.08.025</v>
      </c>
      <c r="BG329" t="s">
        <v>74</v>
      </c>
      <c r="BH329" t="s">
        <v>74</v>
      </c>
      <c r="BI329">
        <v>26</v>
      </c>
      <c r="BJ329" t="s">
        <v>313</v>
      </c>
      <c r="BK329" t="s">
        <v>99</v>
      </c>
      <c r="BL329" t="s">
        <v>313</v>
      </c>
      <c r="BM329" t="s">
        <v>6786</v>
      </c>
      <c r="BN329" t="s">
        <v>74</v>
      </c>
      <c r="BO329" t="s">
        <v>74</v>
      </c>
      <c r="BP329" t="s">
        <v>74</v>
      </c>
      <c r="BQ329" t="s">
        <v>74</v>
      </c>
      <c r="BR329" t="s">
        <v>103</v>
      </c>
      <c r="BS329" t="s">
        <v>6787</v>
      </c>
      <c r="BT329" t="str">
        <f>HYPERLINK("https%3A%2F%2Fwww.webofscience.com%2Fwos%2Fwoscc%2Ffull-record%2FWOS:000326269800008","View Full Record in Web of Science")</f>
        <v>View Full Record in Web of Science</v>
      </c>
    </row>
    <row r="330" spans="1:72" x14ac:dyDescent="0.15">
      <c r="A330" t="s">
        <v>72</v>
      </c>
      <c r="B330" t="s">
        <v>6788</v>
      </c>
      <c r="C330" t="s">
        <v>74</v>
      </c>
      <c r="D330" t="s">
        <v>74</v>
      </c>
      <c r="E330" t="s">
        <v>74</v>
      </c>
      <c r="F330" t="s">
        <v>6789</v>
      </c>
      <c r="G330" t="s">
        <v>74</v>
      </c>
      <c r="H330" t="s">
        <v>74</v>
      </c>
      <c r="I330" t="s">
        <v>6790</v>
      </c>
      <c r="J330" t="s">
        <v>861</v>
      </c>
      <c r="K330" t="s">
        <v>74</v>
      </c>
      <c r="L330" t="s">
        <v>74</v>
      </c>
      <c r="M330" t="s">
        <v>78</v>
      </c>
      <c r="N330" t="s">
        <v>79</v>
      </c>
      <c r="O330" t="s">
        <v>74</v>
      </c>
      <c r="P330" t="s">
        <v>74</v>
      </c>
      <c r="Q330" t="s">
        <v>74</v>
      </c>
      <c r="R330" t="s">
        <v>74</v>
      </c>
      <c r="S330" t="s">
        <v>74</v>
      </c>
      <c r="T330" t="s">
        <v>74</v>
      </c>
      <c r="U330" t="s">
        <v>6791</v>
      </c>
      <c r="V330" t="s">
        <v>6792</v>
      </c>
      <c r="W330" t="s">
        <v>6793</v>
      </c>
      <c r="X330" t="s">
        <v>6794</v>
      </c>
      <c r="Y330" t="s">
        <v>6795</v>
      </c>
      <c r="Z330" t="s">
        <v>6796</v>
      </c>
      <c r="AA330" t="s">
        <v>6797</v>
      </c>
      <c r="AB330" t="s">
        <v>6798</v>
      </c>
      <c r="AC330" t="s">
        <v>6799</v>
      </c>
      <c r="AD330" t="s">
        <v>6800</v>
      </c>
      <c r="AE330" t="s">
        <v>6801</v>
      </c>
      <c r="AF330" t="s">
        <v>74</v>
      </c>
      <c r="AG330">
        <v>49</v>
      </c>
      <c r="AH330">
        <v>170</v>
      </c>
      <c r="AI330">
        <v>187</v>
      </c>
      <c r="AJ330">
        <v>2</v>
      </c>
      <c r="AK330">
        <v>33</v>
      </c>
      <c r="AL330" t="s">
        <v>872</v>
      </c>
      <c r="AM330" t="s">
        <v>252</v>
      </c>
      <c r="AN330" t="s">
        <v>873</v>
      </c>
      <c r="AO330" t="s">
        <v>874</v>
      </c>
      <c r="AP330" t="s">
        <v>875</v>
      </c>
      <c r="AQ330" t="s">
        <v>74</v>
      </c>
      <c r="AR330" t="s">
        <v>876</v>
      </c>
      <c r="AS330" t="s">
        <v>877</v>
      </c>
      <c r="AT330" t="s">
        <v>4919</v>
      </c>
      <c r="AU330">
        <v>2013</v>
      </c>
      <c r="AV330">
        <v>122</v>
      </c>
      <c r="AW330" t="s">
        <v>74</v>
      </c>
      <c r="AX330" t="s">
        <v>74</v>
      </c>
      <c r="AY330" t="s">
        <v>74</v>
      </c>
      <c r="AZ330" t="s">
        <v>74</v>
      </c>
      <c r="BA330" t="s">
        <v>74</v>
      </c>
      <c r="BB330">
        <v>478</v>
      </c>
      <c r="BC330">
        <v>497</v>
      </c>
      <c r="BD330" t="s">
        <v>74</v>
      </c>
      <c r="BE330" t="s">
        <v>6802</v>
      </c>
      <c r="BF330" t="str">
        <f>HYPERLINK("http://dx.doi.org/10.1016/j.gca.2013.05.041","http://dx.doi.org/10.1016/j.gca.2013.05.041")</f>
        <v>http://dx.doi.org/10.1016/j.gca.2013.05.041</v>
      </c>
      <c r="BG330" t="s">
        <v>74</v>
      </c>
      <c r="BH330" t="s">
        <v>74</v>
      </c>
      <c r="BI330">
        <v>20</v>
      </c>
      <c r="BJ330" t="s">
        <v>313</v>
      </c>
      <c r="BK330" t="s">
        <v>99</v>
      </c>
      <c r="BL330" t="s">
        <v>313</v>
      </c>
      <c r="BM330" t="s">
        <v>6786</v>
      </c>
      <c r="BN330" t="s">
        <v>74</v>
      </c>
      <c r="BO330" t="s">
        <v>1707</v>
      </c>
      <c r="BP330" t="s">
        <v>74</v>
      </c>
      <c r="BQ330" t="s">
        <v>74</v>
      </c>
      <c r="BR330" t="s">
        <v>103</v>
      </c>
      <c r="BS330" t="s">
        <v>6803</v>
      </c>
      <c r="BT330" t="str">
        <f>HYPERLINK("https%3A%2F%2Fwww.webofscience.com%2Fwos%2Fwoscc%2Ffull-record%2FWOS:000326269800027","View Full Record in Web of Science")</f>
        <v>View Full Record in Web of Science</v>
      </c>
    </row>
    <row r="331" spans="1:72" x14ac:dyDescent="0.15">
      <c r="A331" t="s">
        <v>72</v>
      </c>
      <c r="B331" t="s">
        <v>6804</v>
      </c>
      <c r="C331" t="s">
        <v>74</v>
      </c>
      <c r="D331" t="s">
        <v>74</v>
      </c>
      <c r="E331" t="s">
        <v>74</v>
      </c>
      <c r="F331" t="s">
        <v>6805</v>
      </c>
      <c r="G331" t="s">
        <v>74</v>
      </c>
      <c r="H331" t="s">
        <v>74</v>
      </c>
      <c r="I331" t="s">
        <v>6806</v>
      </c>
      <c r="J331" t="s">
        <v>6130</v>
      </c>
      <c r="K331" t="s">
        <v>74</v>
      </c>
      <c r="L331" t="s">
        <v>74</v>
      </c>
      <c r="M331" t="s">
        <v>78</v>
      </c>
      <c r="N331" t="s">
        <v>79</v>
      </c>
      <c r="O331" t="s">
        <v>74</v>
      </c>
      <c r="P331" t="s">
        <v>74</v>
      </c>
      <c r="Q331" t="s">
        <v>74</v>
      </c>
      <c r="R331" t="s">
        <v>74</v>
      </c>
      <c r="S331" t="s">
        <v>74</v>
      </c>
      <c r="T331" t="s">
        <v>6807</v>
      </c>
      <c r="U331" t="s">
        <v>6808</v>
      </c>
      <c r="V331" t="s">
        <v>6809</v>
      </c>
      <c r="W331" t="s">
        <v>6810</v>
      </c>
      <c r="X331" t="s">
        <v>6811</v>
      </c>
      <c r="Y331" t="s">
        <v>6812</v>
      </c>
      <c r="Z331" t="s">
        <v>6813</v>
      </c>
      <c r="AA331" t="s">
        <v>6814</v>
      </c>
      <c r="AB331" t="s">
        <v>6815</v>
      </c>
      <c r="AC331" t="s">
        <v>6816</v>
      </c>
      <c r="AD331" t="s">
        <v>6817</v>
      </c>
      <c r="AE331" t="s">
        <v>6818</v>
      </c>
      <c r="AF331" t="s">
        <v>74</v>
      </c>
      <c r="AG331">
        <v>50</v>
      </c>
      <c r="AH331">
        <v>16</v>
      </c>
      <c r="AI331">
        <v>18</v>
      </c>
      <c r="AJ331">
        <v>0</v>
      </c>
      <c r="AK331">
        <v>17</v>
      </c>
      <c r="AL331" t="s">
        <v>276</v>
      </c>
      <c r="AM331" t="s">
        <v>277</v>
      </c>
      <c r="AN331" t="s">
        <v>2752</v>
      </c>
      <c r="AO331" t="s">
        <v>6140</v>
      </c>
      <c r="AP331" t="s">
        <v>6141</v>
      </c>
      <c r="AQ331" t="s">
        <v>74</v>
      </c>
      <c r="AR331" t="s">
        <v>6142</v>
      </c>
      <c r="AS331" t="s">
        <v>6143</v>
      </c>
      <c r="AT331" t="s">
        <v>4901</v>
      </c>
      <c r="AU331">
        <v>2013</v>
      </c>
      <c r="AV331">
        <v>95</v>
      </c>
      <c r="AW331">
        <v>4</v>
      </c>
      <c r="AX331" t="s">
        <v>74</v>
      </c>
      <c r="AY331" t="s">
        <v>74</v>
      </c>
      <c r="AZ331" t="s">
        <v>74</v>
      </c>
      <c r="BA331" t="s">
        <v>74</v>
      </c>
      <c r="BB331">
        <v>305</v>
      </c>
      <c r="BC331">
        <v>313</v>
      </c>
      <c r="BD331" t="s">
        <v>74</v>
      </c>
      <c r="BE331" t="s">
        <v>6819</v>
      </c>
      <c r="BF331" t="str">
        <f>HYPERLINK("http://dx.doi.org/10.1111/geoa.12025","http://dx.doi.org/10.1111/geoa.12025")</f>
        <v>http://dx.doi.org/10.1111/geoa.12025</v>
      </c>
      <c r="BG331" t="s">
        <v>74</v>
      </c>
      <c r="BH331" t="s">
        <v>74</v>
      </c>
      <c r="BI331">
        <v>9</v>
      </c>
      <c r="BJ331" t="s">
        <v>1075</v>
      </c>
      <c r="BK331" t="s">
        <v>99</v>
      </c>
      <c r="BL331" t="s">
        <v>100</v>
      </c>
      <c r="BM331" t="s">
        <v>6145</v>
      </c>
      <c r="BN331" t="s">
        <v>74</v>
      </c>
      <c r="BO331" t="s">
        <v>74</v>
      </c>
      <c r="BP331" t="s">
        <v>74</v>
      </c>
      <c r="BQ331" t="s">
        <v>74</v>
      </c>
      <c r="BR331" t="s">
        <v>103</v>
      </c>
      <c r="BS331" t="s">
        <v>6820</v>
      </c>
      <c r="BT331" t="str">
        <f>HYPERLINK("https%3A%2F%2Fwww.webofscience.com%2Fwos%2Fwoscc%2Ffull-record%2FWOS:000327553200005","View Full Record in Web of Science")</f>
        <v>View Full Record in Web of Science</v>
      </c>
    </row>
    <row r="332" spans="1:72" x14ac:dyDescent="0.15">
      <c r="A332" t="s">
        <v>72</v>
      </c>
      <c r="B332" t="s">
        <v>6821</v>
      </c>
      <c r="C332" t="s">
        <v>74</v>
      </c>
      <c r="D332" t="s">
        <v>74</v>
      </c>
      <c r="E332" t="s">
        <v>74</v>
      </c>
      <c r="F332" t="s">
        <v>6822</v>
      </c>
      <c r="G332" t="s">
        <v>74</v>
      </c>
      <c r="H332" t="s">
        <v>74</v>
      </c>
      <c r="I332" t="s">
        <v>6823</v>
      </c>
      <c r="J332" t="s">
        <v>6824</v>
      </c>
      <c r="K332" t="s">
        <v>74</v>
      </c>
      <c r="L332" t="s">
        <v>74</v>
      </c>
      <c r="M332" t="s">
        <v>78</v>
      </c>
      <c r="N332" t="s">
        <v>79</v>
      </c>
      <c r="O332" t="s">
        <v>74</v>
      </c>
      <c r="P332" t="s">
        <v>74</v>
      </c>
      <c r="Q332" t="s">
        <v>74</v>
      </c>
      <c r="R332" t="s">
        <v>74</v>
      </c>
      <c r="S332" t="s">
        <v>74</v>
      </c>
      <c r="T332" t="s">
        <v>74</v>
      </c>
      <c r="U332" t="s">
        <v>6825</v>
      </c>
      <c r="V332" t="s">
        <v>6826</v>
      </c>
      <c r="W332" t="s">
        <v>6827</v>
      </c>
      <c r="X332" t="s">
        <v>6828</v>
      </c>
      <c r="Y332" t="s">
        <v>6829</v>
      </c>
      <c r="Z332" t="s">
        <v>6830</v>
      </c>
      <c r="AA332" t="s">
        <v>74</v>
      </c>
      <c r="AB332" t="s">
        <v>6831</v>
      </c>
      <c r="AC332" t="s">
        <v>6832</v>
      </c>
      <c r="AD332" t="s">
        <v>6833</v>
      </c>
      <c r="AE332" t="s">
        <v>6834</v>
      </c>
      <c r="AF332" t="s">
        <v>74</v>
      </c>
      <c r="AG332">
        <v>35</v>
      </c>
      <c r="AH332">
        <v>68</v>
      </c>
      <c r="AI332">
        <v>80</v>
      </c>
      <c r="AJ332">
        <v>1</v>
      </c>
      <c r="AK332">
        <v>23</v>
      </c>
      <c r="AL332" t="s">
        <v>946</v>
      </c>
      <c r="AM332" t="s">
        <v>947</v>
      </c>
      <c r="AN332" t="s">
        <v>948</v>
      </c>
      <c r="AO332" t="s">
        <v>6835</v>
      </c>
      <c r="AP332" t="s">
        <v>6836</v>
      </c>
      <c r="AQ332" t="s">
        <v>74</v>
      </c>
      <c r="AR332" t="s">
        <v>6824</v>
      </c>
      <c r="AS332" t="s">
        <v>338</v>
      </c>
      <c r="AT332" t="s">
        <v>4901</v>
      </c>
      <c r="AU332">
        <v>2013</v>
      </c>
      <c r="AV332">
        <v>41</v>
      </c>
      <c r="AW332">
        <v>12</v>
      </c>
      <c r="AX332" t="s">
        <v>74</v>
      </c>
      <c r="AY332" t="s">
        <v>74</v>
      </c>
      <c r="AZ332" t="s">
        <v>74</v>
      </c>
      <c r="BA332" t="s">
        <v>74</v>
      </c>
      <c r="BB332">
        <v>1227</v>
      </c>
      <c r="BC332">
        <v>1230</v>
      </c>
      <c r="BD332" t="s">
        <v>74</v>
      </c>
      <c r="BE332" t="s">
        <v>6837</v>
      </c>
      <c r="BF332" t="str">
        <f>HYPERLINK("http://dx.doi.org/10.1130/G34891.1","http://dx.doi.org/10.1130/G34891.1")</f>
        <v>http://dx.doi.org/10.1130/G34891.1</v>
      </c>
      <c r="BG332" t="s">
        <v>74</v>
      </c>
      <c r="BH332" t="s">
        <v>74</v>
      </c>
      <c r="BI332">
        <v>4</v>
      </c>
      <c r="BJ332" t="s">
        <v>338</v>
      </c>
      <c r="BK332" t="s">
        <v>99</v>
      </c>
      <c r="BL332" t="s">
        <v>338</v>
      </c>
      <c r="BM332" t="s">
        <v>6838</v>
      </c>
      <c r="BN332" t="s">
        <v>74</v>
      </c>
      <c r="BO332" t="s">
        <v>450</v>
      </c>
      <c r="BP332" t="s">
        <v>74</v>
      </c>
      <c r="BQ332" t="s">
        <v>74</v>
      </c>
      <c r="BR332" t="s">
        <v>103</v>
      </c>
      <c r="BS332" t="s">
        <v>6839</v>
      </c>
      <c r="BT332" t="str">
        <f>HYPERLINK("https%3A%2F%2Fwww.webofscience.com%2Fwos%2Fwoscc%2Ffull-record%2FWOS:000329786200019","View Full Record in Web of Science")</f>
        <v>View Full Record in Web of Science</v>
      </c>
    </row>
    <row r="333" spans="1:72" x14ac:dyDescent="0.15">
      <c r="A333" t="s">
        <v>72</v>
      </c>
      <c r="B333" t="s">
        <v>6840</v>
      </c>
      <c r="C333" t="s">
        <v>74</v>
      </c>
      <c r="D333" t="s">
        <v>74</v>
      </c>
      <c r="E333" t="s">
        <v>74</v>
      </c>
      <c r="F333" t="s">
        <v>6841</v>
      </c>
      <c r="G333" t="s">
        <v>74</v>
      </c>
      <c r="H333" t="s">
        <v>74</v>
      </c>
      <c r="I333" t="s">
        <v>6842</v>
      </c>
      <c r="J333" t="s">
        <v>6843</v>
      </c>
      <c r="K333" t="s">
        <v>74</v>
      </c>
      <c r="L333" t="s">
        <v>74</v>
      </c>
      <c r="M333" t="s">
        <v>78</v>
      </c>
      <c r="N333" t="s">
        <v>79</v>
      </c>
      <c r="O333" t="s">
        <v>74</v>
      </c>
      <c r="P333" t="s">
        <v>74</v>
      </c>
      <c r="Q333" t="s">
        <v>74</v>
      </c>
      <c r="R333" t="s">
        <v>74</v>
      </c>
      <c r="S333" t="s">
        <v>74</v>
      </c>
      <c r="T333" t="s">
        <v>74</v>
      </c>
      <c r="U333" t="s">
        <v>6844</v>
      </c>
      <c r="V333" t="s">
        <v>6845</v>
      </c>
      <c r="W333" t="s">
        <v>6846</v>
      </c>
      <c r="X333" t="s">
        <v>6847</v>
      </c>
      <c r="Y333" t="s">
        <v>6848</v>
      </c>
      <c r="Z333" t="s">
        <v>74</v>
      </c>
      <c r="AA333" t="s">
        <v>74</v>
      </c>
      <c r="AB333" t="s">
        <v>6849</v>
      </c>
      <c r="AC333" t="s">
        <v>74</v>
      </c>
      <c r="AD333" t="s">
        <v>74</v>
      </c>
      <c r="AE333" t="s">
        <v>74</v>
      </c>
      <c r="AF333" t="s">
        <v>74</v>
      </c>
      <c r="AG333">
        <v>76</v>
      </c>
      <c r="AH333">
        <v>27</v>
      </c>
      <c r="AI333">
        <v>35</v>
      </c>
      <c r="AJ333">
        <v>0</v>
      </c>
      <c r="AK333">
        <v>21</v>
      </c>
      <c r="AL333" t="s">
        <v>946</v>
      </c>
      <c r="AM333" t="s">
        <v>947</v>
      </c>
      <c r="AN333" t="s">
        <v>948</v>
      </c>
      <c r="AO333" t="s">
        <v>6850</v>
      </c>
      <c r="AP333" t="s">
        <v>74</v>
      </c>
      <c r="AQ333" t="s">
        <v>74</v>
      </c>
      <c r="AR333" t="s">
        <v>6843</v>
      </c>
      <c r="AS333" t="s">
        <v>6851</v>
      </c>
      <c r="AT333" t="s">
        <v>4901</v>
      </c>
      <c r="AU333">
        <v>2013</v>
      </c>
      <c r="AV333">
        <v>9</v>
      </c>
      <c r="AW333">
        <v>6</v>
      </c>
      <c r="AX333" t="s">
        <v>74</v>
      </c>
      <c r="AY333" t="s">
        <v>74</v>
      </c>
      <c r="AZ333" t="s">
        <v>74</v>
      </c>
      <c r="BA333" t="s">
        <v>74</v>
      </c>
      <c r="BB333">
        <v>1434</v>
      </c>
      <c r="BC333">
        <v>1456</v>
      </c>
      <c r="BD333" t="s">
        <v>74</v>
      </c>
      <c r="BE333" t="s">
        <v>6852</v>
      </c>
      <c r="BF333" t="str">
        <f>HYPERLINK("http://dx.doi.org/10.1130/GES00857.1","http://dx.doi.org/10.1130/GES00857.1")</f>
        <v>http://dx.doi.org/10.1130/GES00857.1</v>
      </c>
      <c r="BG333" t="s">
        <v>74</v>
      </c>
      <c r="BH333" t="s">
        <v>74</v>
      </c>
      <c r="BI333">
        <v>23</v>
      </c>
      <c r="BJ333" t="s">
        <v>337</v>
      </c>
      <c r="BK333" t="s">
        <v>99</v>
      </c>
      <c r="BL333" t="s">
        <v>338</v>
      </c>
      <c r="BM333" t="s">
        <v>6853</v>
      </c>
      <c r="BN333" t="s">
        <v>74</v>
      </c>
      <c r="BO333" t="s">
        <v>657</v>
      </c>
      <c r="BP333" t="s">
        <v>74</v>
      </c>
      <c r="BQ333" t="s">
        <v>74</v>
      </c>
      <c r="BR333" t="s">
        <v>103</v>
      </c>
      <c r="BS333" t="s">
        <v>6854</v>
      </c>
      <c r="BT333" t="str">
        <f>HYPERLINK("https%3A%2F%2Fwww.webofscience.com%2Fwos%2Fwoscc%2Ffull-record%2FWOS:000328506400002","View Full Record in Web of Science")</f>
        <v>View Full Record in Web of Science</v>
      </c>
    </row>
    <row r="334" spans="1:72" x14ac:dyDescent="0.15">
      <c r="A334" t="s">
        <v>72</v>
      </c>
      <c r="B334" t="s">
        <v>6855</v>
      </c>
      <c r="C334" t="s">
        <v>74</v>
      </c>
      <c r="D334" t="s">
        <v>74</v>
      </c>
      <c r="E334" t="s">
        <v>74</v>
      </c>
      <c r="F334" t="s">
        <v>6856</v>
      </c>
      <c r="G334" t="s">
        <v>74</v>
      </c>
      <c r="H334" t="s">
        <v>74</v>
      </c>
      <c r="I334" t="s">
        <v>6857</v>
      </c>
      <c r="J334" t="s">
        <v>1032</v>
      </c>
      <c r="K334" t="s">
        <v>74</v>
      </c>
      <c r="L334" t="s">
        <v>74</v>
      </c>
      <c r="M334" t="s">
        <v>78</v>
      </c>
      <c r="N334" t="s">
        <v>79</v>
      </c>
      <c r="O334" t="s">
        <v>74</v>
      </c>
      <c r="P334" t="s">
        <v>74</v>
      </c>
      <c r="Q334" t="s">
        <v>74</v>
      </c>
      <c r="R334" t="s">
        <v>74</v>
      </c>
      <c r="S334" t="s">
        <v>74</v>
      </c>
      <c r="T334" t="s">
        <v>6858</v>
      </c>
      <c r="U334" t="s">
        <v>6859</v>
      </c>
      <c r="V334" t="s">
        <v>6860</v>
      </c>
      <c r="W334" t="s">
        <v>6861</v>
      </c>
      <c r="X334" t="s">
        <v>6862</v>
      </c>
      <c r="Y334" t="s">
        <v>6863</v>
      </c>
      <c r="Z334" t="s">
        <v>6864</v>
      </c>
      <c r="AA334" t="s">
        <v>6865</v>
      </c>
      <c r="AB334" t="s">
        <v>6866</v>
      </c>
      <c r="AC334" t="s">
        <v>6867</v>
      </c>
      <c r="AD334" t="s">
        <v>6868</v>
      </c>
      <c r="AE334" t="s">
        <v>6869</v>
      </c>
      <c r="AF334" t="s">
        <v>74</v>
      </c>
      <c r="AG334">
        <v>48</v>
      </c>
      <c r="AH334">
        <v>100</v>
      </c>
      <c r="AI334">
        <v>102</v>
      </c>
      <c r="AJ334">
        <v>5</v>
      </c>
      <c r="AK334">
        <v>205</v>
      </c>
      <c r="AL334" t="s">
        <v>410</v>
      </c>
      <c r="AM334" t="s">
        <v>411</v>
      </c>
      <c r="AN334" t="s">
        <v>412</v>
      </c>
      <c r="AO334" t="s">
        <v>1044</v>
      </c>
      <c r="AP334" t="s">
        <v>1045</v>
      </c>
      <c r="AQ334" t="s">
        <v>74</v>
      </c>
      <c r="AR334" t="s">
        <v>1046</v>
      </c>
      <c r="AS334" t="s">
        <v>1047</v>
      </c>
      <c r="AT334" t="s">
        <v>4901</v>
      </c>
      <c r="AU334">
        <v>2013</v>
      </c>
      <c r="AV334">
        <v>19</v>
      </c>
      <c r="AW334">
        <v>12</v>
      </c>
      <c r="AX334" t="s">
        <v>74</v>
      </c>
      <c r="AY334" t="s">
        <v>74</v>
      </c>
      <c r="AZ334" t="s">
        <v>74</v>
      </c>
      <c r="BA334" t="s">
        <v>74</v>
      </c>
      <c r="BB334">
        <v>3749</v>
      </c>
      <c r="BC334">
        <v>3761</v>
      </c>
      <c r="BD334" t="s">
        <v>74</v>
      </c>
      <c r="BE334" t="s">
        <v>6870</v>
      </c>
      <c r="BF334" t="str">
        <f>HYPERLINK("http://dx.doi.org/10.1111/gcb.12337","http://dx.doi.org/10.1111/gcb.12337")</f>
        <v>http://dx.doi.org/10.1111/gcb.12337</v>
      </c>
      <c r="BG334" t="s">
        <v>74</v>
      </c>
      <c r="BH334" t="s">
        <v>74</v>
      </c>
      <c r="BI334">
        <v>13</v>
      </c>
      <c r="BJ334" t="s">
        <v>1049</v>
      </c>
      <c r="BK334" t="s">
        <v>99</v>
      </c>
      <c r="BL334" t="s">
        <v>1050</v>
      </c>
      <c r="BM334" t="s">
        <v>6871</v>
      </c>
      <c r="BN334">
        <v>23893603</v>
      </c>
      <c r="BO334" t="s">
        <v>74</v>
      </c>
      <c r="BP334" t="s">
        <v>74</v>
      </c>
      <c r="BQ334" t="s">
        <v>74</v>
      </c>
      <c r="BR334" t="s">
        <v>103</v>
      </c>
      <c r="BS334" t="s">
        <v>6872</v>
      </c>
      <c r="BT334" t="str">
        <f>HYPERLINK("https%3A%2F%2Fwww.webofscience.com%2Fwos%2Fwoscc%2Ffull-record%2FWOS:000326836000017","View Full Record in Web of Science")</f>
        <v>View Full Record in Web of Science</v>
      </c>
    </row>
    <row r="335" spans="1:72" x14ac:dyDescent="0.15">
      <c r="A335" t="s">
        <v>72</v>
      </c>
      <c r="B335" t="s">
        <v>6873</v>
      </c>
      <c r="C335" t="s">
        <v>74</v>
      </c>
      <c r="D335" t="s">
        <v>74</v>
      </c>
      <c r="E335" t="s">
        <v>74</v>
      </c>
      <c r="F335" t="s">
        <v>6874</v>
      </c>
      <c r="G335" t="s">
        <v>74</v>
      </c>
      <c r="H335" t="s">
        <v>74</v>
      </c>
      <c r="I335" t="s">
        <v>6875</v>
      </c>
      <c r="J335" t="s">
        <v>6876</v>
      </c>
      <c r="K335" t="s">
        <v>74</v>
      </c>
      <c r="L335" t="s">
        <v>74</v>
      </c>
      <c r="M335" t="s">
        <v>78</v>
      </c>
      <c r="N335" t="s">
        <v>79</v>
      </c>
      <c r="O335" t="s">
        <v>74</v>
      </c>
      <c r="P335" t="s">
        <v>74</v>
      </c>
      <c r="Q335" t="s">
        <v>74</v>
      </c>
      <c r="R335" t="s">
        <v>74</v>
      </c>
      <c r="S335" t="s">
        <v>74</v>
      </c>
      <c r="T335" t="s">
        <v>6877</v>
      </c>
      <c r="U335" t="s">
        <v>6878</v>
      </c>
      <c r="V335" t="s">
        <v>6879</v>
      </c>
      <c r="W335" t="s">
        <v>6880</v>
      </c>
      <c r="X335" t="s">
        <v>6881</v>
      </c>
      <c r="Y335" t="s">
        <v>6882</v>
      </c>
      <c r="Z335" t="s">
        <v>6883</v>
      </c>
      <c r="AA335" t="s">
        <v>6884</v>
      </c>
      <c r="AB335" t="s">
        <v>6885</v>
      </c>
      <c r="AC335" t="s">
        <v>6886</v>
      </c>
      <c r="AD335" t="s">
        <v>6887</v>
      </c>
      <c r="AE335" t="s">
        <v>6888</v>
      </c>
      <c r="AF335" t="s">
        <v>74</v>
      </c>
      <c r="AG335">
        <v>104</v>
      </c>
      <c r="AH335">
        <v>89</v>
      </c>
      <c r="AI335">
        <v>95</v>
      </c>
      <c r="AJ335">
        <v>1</v>
      </c>
      <c r="AK335">
        <v>37</v>
      </c>
      <c r="AL335" t="s">
        <v>4163</v>
      </c>
      <c r="AM335" t="s">
        <v>849</v>
      </c>
      <c r="AN335" t="s">
        <v>4164</v>
      </c>
      <c r="AO335" t="s">
        <v>6889</v>
      </c>
      <c r="AP335" t="s">
        <v>6890</v>
      </c>
      <c r="AQ335" t="s">
        <v>74</v>
      </c>
      <c r="AR335" t="s">
        <v>6891</v>
      </c>
      <c r="AS335" t="s">
        <v>6892</v>
      </c>
      <c r="AT335" t="s">
        <v>4901</v>
      </c>
      <c r="AU335">
        <v>2013</v>
      </c>
      <c r="AV335">
        <v>40</v>
      </c>
      <c r="AW335">
        <v>12</v>
      </c>
      <c r="AX335" t="s">
        <v>74</v>
      </c>
      <c r="AY335" t="s">
        <v>74</v>
      </c>
      <c r="AZ335" t="s">
        <v>74</v>
      </c>
      <c r="BA335" t="s">
        <v>74</v>
      </c>
      <c r="BB335">
        <v>4612</v>
      </c>
      <c r="BC335">
        <v>4625</v>
      </c>
      <c r="BD335" t="s">
        <v>74</v>
      </c>
      <c r="BE335" t="s">
        <v>6893</v>
      </c>
      <c r="BF335" t="str">
        <f>HYPERLINK("http://dx.doi.org/10.1016/j.jas.2013.06.015","http://dx.doi.org/10.1016/j.jas.2013.06.015")</f>
        <v>http://dx.doi.org/10.1016/j.jas.2013.06.015</v>
      </c>
      <c r="BG335" t="s">
        <v>74</v>
      </c>
      <c r="BH335" t="s">
        <v>74</v>
      </c>
      <c r="BI335">
        <v>14</v>
      </c>
      <c r="BJ335" t="s">
        <v>6894</v>
      </c>
      <c r="BK335" t="s">
        <v>6895</v>
      </c>
      <c r="BL335" t="s">
        <v>6896</v>
      </c>
      <c r="BM335" t="s">
        <v>6897</v>
      </c>
      <c r="BN335" t="s">
        <v>74</v>
      </c>
      <c r="BO335" t="s">
        <v>450</v>
      </c>
      <c r="BP335" t="s">
        <v>74</v>
      </c>
      <c r="BQ335" t="s">
        <v>74</v>
      </c>
      <c r="BR335" t="s">
        <v>103</v>
      </c>
      <c r="BS335" t="s">
        <v>6898</v>
      </c>
      <c r="BT335" t="str">
        <f>HYPERLINK("https%3A%2F%2Fwww.webofscience.com%2Fwos%2Fwoscc%2Ffull-record%2FWOS:000328015000045","View Full Record in Web of Science")</f>
        <v>View Full Record in Web of Science</v>
      </c>
    </row>
    <row r="336" spans="1:72" x14ac:dyDescent="0.15">
      <c r="A336" t="s">
        <v>72</v>
      </c>
      <c r="B336" t="s">
        <v>6899</v>
      </c>
      <c r="C336" t="s">
        <v>74</v>
      </c>
      <c r="D336" t="s">
        <v>74</v>
      </c>
      <c r="E336" t="s">
        <v>74</v>
      </c>
      <c r="F336" t="s">
        <v>6900</v>
      </c>
      <c r="G336" t="s">
        <v>74</v>
      </c>
      <c r="H336" t="s">
        <v>74</v>
      </c>
      <c r="I336" t="s">
        <v>6901</v>
      </c>
      <c r="J336" t="s">
        <v>5566</v>
      </c>
      <c r="K336" t="s">
        <v>74</v>
      </c>
      <c r="L336" t="s">
        <v>74</v>
      </c>
      <c r="M336" t="s">
        <v>78</v>
      </c>
      <c r="N336" t="s">
        <v>79</v>
      </c>
      <c r="O336" t="s">
        <v>74</v>
      </c>
      <c r="P336" t="s">
        <v>74</v>
      </c>
      <c r="Q336" t="s">
        <v>74</v>
      </c>
      <c r="R336" t="s">
        <v>74</v>
      </c>
      <c r="S336" t="s">
        <v>74</v>
      </c>
      <c r="T336" t="s">
        <v>6902</v>
      </c>
      <c r="U336" t="s">
        <v>6903</v>
      </c>
      <c r="V336" t="s">
        <v>6904</v>
      </c>
      <c r="W336" t="s">
        <v>6905</v>
      </c>
      <c r="X336" t="s">
        <v>6906</v>
      </c>
      <c r="Y336" t="s">
        <v>6907</v>
      </c>
      <c r="Z336" t="s">
        <v>6908</v>
      </c>
      <c r="AA336" t="s">
        <v>6909</v>
      </c>
      <c r="AB336" t="s">
        <v>6910</v>
      </c>
      <c r="AC336" t="s">
        <v>6911</v>
      </c>
      <c r="AD336" t="s">
        <v>6912</v>
      </c>
      <c r="AE336" t="s">
        <v>6913</v>
      </c>
      <c r="AF336" t="s">
        <v>74</v>
      </c>
      <c r="AG336">
        <v>44</v>
      </c>
      <c r="AH336">
        <v>21</v>
      </c>
      <c r="AI336">
        <v>21</v>
      </c>
      <c r="AJ336">
        <v>0</v>
      </c>
      <c r="AK336">
        <v>9</v>
      </c>
      <c r="AL336" t="s">
        <v>872</v>
      </c>
      <c r="AM336" t="s">
        <v>252</v>
      </c>
      <c r="AN336" t="s">
        <v>873</v>
      </c>
      <c r="AO336" t="s">
        <v>5577</v>
      </c>
      <c r="AP336" t="s">
        <v>5578</v>
      </c>
      <c r="AQ336" t="s">
        <v>74</v>
      </c>
      <c r="AR336" t="s">
        <v>5579</v>
      </c>
      <c r="AS336" t="s">
        <v>5580</v>
      </c>
      <c r="AT336" t="s">
        <v>4901</v>
      </c>
      <c r="AU336">
        <v>2013</v>
      </c>
      <c r="AV336">
        <v>105</v>
      </c>
      <c r="AW336" t="s">
        <v>74</v>
      </c>
      <c r="AX336" t="s">
        <v>74</v>
      </c>
      <c r="AY336" t="s">
        <v>74</v>
      </c>
      <c r="AZ336" t="s">
        <v>74</v>
      </c>
      <c r="BA336" t="s">
        <v>74</v>
      </c>
      <c r="BB336">
        <v>30</v>
      </c>
      <c r="BC336">
        <v>38</v>
      </c>
      <c r="BD336" t="s">
        <v>74</v>
      </c>
      <c r="BE336" t="s">
        <v>6914</v>
      </c>
      <c r="BF336" t="str">
        <f>HYPERLINK("http://dx.doi.org/10.1016/j.jastp.2013.07.006","http://dx.doi.org/10.1016/j.jastp.2013.07.006")</f>
        <v>http://dx.doi.org/10.1016/j.jastp.2013.07.006</v>
      </c>
      <c r="BG336" t="s">
        <v>74</v>
      </c>
      <c r="BH336" t="s">
        <v>74</v>
      </c>
      <c r="BI336">
        <v>9</v>
      </c>
      <c r="BJ336" t="s">
        <v>5582</v>
      </c>
      <c r="BK336" t="s">
        <v>99</v>
      </c>
      <c r="BL336" t="s">
        <v>5582</v>
      </c>
      <c r="BM336" t="s">
        <v>5583</v>
      </c>
      <c r="BN336" t="s">
        <v>74</v>
      </c>
      <c r="BO336" t="s">
        <v>74</v>
      </c>
      <c r="BP336" t="s">
        <v>74</v>
      </c>
      <c r="BQ336" t="s">
        <v>74</v>
      </c>
      <c r="BR336" t="s">
        <v>103</v>
      </c>
      <c r="BS336" t="s">
        <v>6915</v>
      </c>
      <c r="BT336" t="str">
        <f>HYPERLINK("https%3A%2F%2Fwww.webofscience.com%2Fwos%2Fwoscc%2Ffull-record%2FWOS:000328913100004","View Full Record in Web of Science")</f>
        <v>View Full Record in Web of Science</v>
      </c>
    </row>
    <row r="337" spans="1:72" x14ac:dyDescent="0.15">
      <c r="A337" t="s">
        <v>72</v>
      </c>
      <c r="B337" t="s">
        <v>6916</v>
      </c>
      <c r="C337" t="s">
        <v>74</v>
      </c>
      <c r="D337" t="s">
        <v>74</v>
      </c>
      <c r="E337" t="s">
        <v>74</v>
      </c>
      <c r="F337" t="s">
        <v>6917</v>
      </c>
      <c r="G337" t="s">
        <v>74</v>
      </c>
      <c r="H337" t="s">
        <v>74</v>
      </c>
      <c r="I337" t="s">
        <v>6918</v>
      </c>
      <c r="J337" t="s">
        <v>5566</v>
      </c>
      <c r="K337" t="s">
        <v>74</v>
      </c>
      <c r="L337" t="s">
        <v>74</v>
      </c>
      <c r="M337" t="s">
        <v>78</v>
      </c>
      <c r="N337" t="s">
        <v>79</v>
      </c>
      <c r="O337" t="s">
        <v>74</v>
      </c>
      <c r="P337" t="s">
        <v>74</v>
      </c>
      <c r="Q337" t="s">
        <v>74</v>
      </c>
      <c r="R337" t="s">
        <v>74</v>
      </c>
      <c r="S337" t="s">
        <v>74</v>
      </c>
      <c r="T337" t="s">
        <v>6919</v>
      </c>
      <c r="U337" t="s">
        <v>6920</v>
      </c>
      <c r="V337" t="s">
        <v>6921</v>
      </c>
      <c r="W337" t="s">
        <v>6922</v>
      </c>
      <c r="X337" t="s">
        <v>6923</v>
      </c>
      <c r="Y337" t="s">
        <v>6924</v>
      </c>
      <c r="Z337" t="s">
        <v>6925</v>
      </c>
      <c r="AA337" t="s">
        <v>6926</v>
      </c>
      <c r="AB337" t="s">
        <v>6927</v>
      </c>
      <c r="AC337" t="s">
        <v>6928</v>
      </c>
      <c r="AD337" t="s">
        <v>6929</v>
      </c>
      <c r="AE337" t="s">
        <v>6930</v>
      </c>
      <c r="AF337" t="s">
        <v>74</v>
      </c>
      <c r="AG337">
        <v>45</v>
      </c>
      <c r="AH337">
        <v>25</v>
      </c>
      <c r="AI337">
        <v>29</v>
      </c>
      <c r="AJ337">
        <v>0</v>
      </c>
      <c r="AK337">
        <v>9</v>
      </c>
      <c r="AL337" t="s">
        <v>872</v>
      </c>
      <c r="AM337" t="s">
        <v>252</v>
      </c>
      <c r="AN337" t="s">
        <v>873</v>
      </c>
      <c r="AO337" t="s">
        <v>5577</v>
      </c>
      <c r="AP337" t="s">
        <v>5578</v>
      </c>
      <c r="AQ337" t="s">
        <v>74</v>
      </c>
      <c r="AR337" t="s">
        <v>5579</v>
      </c>
      <c r="AS337" t="s">
        <v>5580</v>
      </c>
      <c r="AT337" t="s">
        <v>4901</v>
      </c>
      <c r="AU337">
        <v>2013</v>
      </c>
      <c r="AV337">
        <v>105</v>
      </c>
      <c r="AW337" t="s">
        <v>74</v>
      </c>
      <c r="AX337" t="s">
        <v>74</v>
      </c>
      <c r="AY337" t="s">
        <v>74</v>
      </c>
      <c r="AZ337" t="s">
        <v>74</v>
      </c>
      <c r="BA337" t="s">
        <v>74</v>
      </c>
      <c r="BB337">
        <v>231</v>
      </c>
      <c r="BC337">
        <v>244</v>
      </c>
      <c r="BD337" t="s">
        <v>74</v>
      </c>
      <c r="BE337" t="s">
        <v>6931</v>
      </c>
      <c r="BF337" t="str">
        <f>HYPERLINK("http://dx.doi.org/10.1016/j.jastp.2012.10.001","http://dx.doi.org/10.1016/j.jastp.2012.10.001")</f>
        <v>http://dx.doi.org/10.1016/j.jastp.2012.10.001</v>
      </c>
      <c r="BG337" t="s">
        <v>74</v>
      </c>
      <c r="BH337" t="s">
        <v>74</v>
      </c>
      <c r="BI337">
        <v>14</v>
      </c>
      <c r="BJ337" t="s">
        <v>5582</v>
      </c>
      <c r="BK337" t="s">
        <v>99</v>
      </c>
      <c r="BL337" t="s">
        <v>5582</v>
      </c>
      <c r="BM337" t="s">
        <v>5583</v>
      </c>
      <c r="BN337" t="s">
        <v>74</v>
      </c>
      <c r="BO337" t="s">
        <v>4419</v>
      </c>
      <c r="BP337" t="s">
        <v>74</v>
      </c>
      <c r="BQ337" t="s">
        <v>74</v>
      </c>
      <c r="BR337" t="s">
        <v>103</v>
      </c>
      <c r="BS337" t="s">
        <v>6932</v>
      </c>
      <c r="BT337" t="str">
        <f>HYPERLINK("https%3A%2F%2Fwww.webofscience.com%2Fwos%2Fwoscc%2Ffull-record%2FWOS:000328913100026","View Full Record in Web of Science")</f>
        <v>View Full Record in Web of Science</v>
      </c>
    </row>
    <row r="338" spans="1:72" x14ac:dyDescent="0.15">
      <c r="A338" t="s">
        <v>72</v>
      </c>
      <c r="B338" t="s">
        <v>6933</v>
      </c>
      <c r="C338" t="s">
        <v>74</v>
      </c>
      <c r="D338" t="s">
        <v>74</v>
      </c>
      <c r="E338" t="s">
        <v>74</v>
      </c>
      <c r="F338" t="s">
        <v>6934</v>
      </c>
      <c r="G338" t="s">
        <v>74</v>
      </c>
      <c r="H338" t="s">
        <v>74</v>
      </c>
      <c r="I338" t="s">
        <v>6935</v>
      </c>
      <c r="J338" t="s">
        <v>6936</v>
      </c>
      <c r="K338" t="s">
        <v>74</v>
      </c>
      <c r="L338" t="s">
        <v>74</v>
      </c>
      <c r="M338" t="s">
        <v>78</v>
      </c>
      <c r="N338" t="s">
        <v>79</v>
      </c>
      <c r="O338" t="s">
        <v>74</v>
      </c>
      <c r="P338" t="s">
        <v>74</v>
      </c>
      <c r="Q338" t="s">
        <v>74</v>
      </c>
      <c r="R338" t="s">
        <v>74</v>
      </c>
      <c r="S338" t="s">
        <v>74</v>
      </c>
      <c r="T338" t="s">
        <v>6937</v>
      </c>
      <c r="U338" t="s">
        <v>6938</v>
      </c>
      <c r="V338" t="s">
        <v>6939</v>
      </c>
      <c r="W338" t="s">
        <v>6940</v>
      </c>
      <c r="X338" t="s">
        <v>6941</v>
      </c>
      <c r="Y338" t="s">
        <v>6942</v>
      </c>
      <c r="Z338" t="s">
        <v>6943</v>
      </c>
      <c r="AA338" t="s">
        <v>6944</v>
      </c>
      <c r="AB338" t="s">
        <v>6945</v>
      </c>
      <c r="AC338" t="s">
        <v>6946</v>
      </c>
      <c r="AD338" t="s">
        <v>6947</v>
      </c>
      <c r="AE338" t="s">
        <v>6948</v>
      </c>
      <c r="AF338" t="s">
        <v>74</v>
      </c>
      <c r="AG338">
        <v>86</v>
      </c>
      <c r="AH338">
        <v>6</v>
      </c>
      <c r="AI338">
        <v>8</v>
      </c>
      <c r="AJ338">
        <v>0</v>
      </c>
      <c r="AK338">
        <v>2</v>
      </c>
      <c r="AL338" t="s">
        <v>410</v>
      </c>
      <c r="AM338" t="s">
        <v>411</v>
      </c>
      <c r="AN338" t="s">
        <v>412</v>
      </c>
      <c r="AO338" t="s">
        <v>6949</v>
      </c>
      <c r="AP338" t="s">
        <v>6950</v>
      </c>
      <c r="AQ338" t="s">
        <v>74</v>
      </c>
      <c r="AR338" t="s">
        <v>6951</v>
      </c>
      <c r="AS338" t="s">
        <v>6952</v>
      </c>
      <c r="AT338" t="s">
        <v>4901</v>
      </c>
      <c r="AU338">
        <v>2013</v>
      </c>
      <c r="AV338">
        <v>40</v>
      </c>
      <c r="AW338">
        <v>12</v>
      </c>
      <c r="AX338" t="s">
        <v>74</v>
      </c>
      <c r="AY338" t="s">
        <v>74</v>
      </c>
      <c r="AZ338" t="s">
        <v>74</v>
      </c>
      <c r="BA338" t="s">
        <v>74</v>
      </c>
      <c r="BB338">
        <v>2348</v>
      </c>
      <c r="BC338">
        <v>2360</v>
      </c>
      <c r="BD338" t="s">
        <v>74</v>
      </c>
      <c r="BE338" t="s">
        <v>6953</v>
      </c>
      <c r="BF338" t="str">
        <f>HYPERLINK("http://dx.doi.org/10.1111/jbi.12162","http://dx.doi.org/10.1111/jbi.12162")</f>
        <v>http://dx.doi.org/10.1111/jbi.12162</v>
      </c>
      <c r="BG338" t="s">
        <v>74</v>
      </c>
      <c r="BH338" t="s">
        <v>74</v>
      </c>
      <c r="BI338">
        <v>13</v>
      </c>
      <c r="BJ338" t="s">
        <v>6954</v>
      </c>
      <c r="BK338" t="s">
        <v>99</v>
      </c>
      <c r="BL338" t="s">
        <v>6955</v>
      </c>
      <c r="BM338" t="s">
        <v>6956</v>
      </c>
      <c r="BN338" t="s">
        <v>74</v>
      </c>
      <c r="BO338" t="s">
        <v>74</v>
      </c>
      <c r="BP338" t="s">
        <v>74</v>
      </c>
      <c r="BQ338" t="s">
        <v>74</v>
      </c>
      <c r="BR338" t="s">
        <v>103</v>
      </c>
      <c r="BS338" t="s">
        <v>6957</v>
      </c>
      <c r="BT338" t="str">
        <f>HYPERLINK("https%3A%2F%2Fwww.webofscience.com%2Fwos%2Fwoscc%2Ffull-record%2FWOS:000330102600013","View Full Record in Web of Science")</f>
        <v>View Full Record in Web of Science</v>
      </c>
    </row>
    <row r="339" spans="1:72" x14ac:dyDescent="0.15">
      <c r="A339" t="s">
        <v>72</v>
      </c>
      <c r="B339" t="s">
        <v>6958</v>
      </c>
      <c r="C339" t="s">
        <v>74</v>
      </c>
      <c r="D339" t="s">
        <v>74</v>
      </c>
      <c r="E339" t="s">
        <v>74</v>
      </c>
      <c r="F339" t="s">
        <v>6959</v>
      </c>
      <c r="G339" t="s">
        <v>74</v>
      </c>
      <c r="H339" t="s">
        <v>74</v>
      </c>
      <c r="I339" t="s">
        <v>6960</v>
      </c>
      <c r="J339" t="s">
        <v>1484</v>
      </c>
      <c r="K339" t="s">
        <v>74</v>
      </c>
      <c r="L339" t="s">
        <v>74</v>
      </c>
      <c r="M339" t="s">
        <v>78</v>
      </c>
      <c r="N339" t="s">
        <v>79</v>
      </c>
      <c r="O339" t="s">
        <v>74</v>
      </c>
      <c r="P339" t="s">
        <v>74</v>
      </c>
      <c r="Q339" t="s">
        <v>74</v>
      </c>
      <c r="R339" t="s">
        <v>74</v>
      </c>
      <c r="S339" t="s">
        <v>74</v>
      </c>
      <c r="T339" t="s">
        <v>74</v>
      </c>
      <c r="U339" t="s">
        <v>6961</v>
      </c>
      <c r="V339" t="s">
        <v>6962</v>
      </c>
      <c r="W339" t="s">
        <v>6963</v>
      </c>
      <c r="X339" t="s">
        <v>6964</v>
      </c>
      <c r="Y339" t="s">
        <v>6965</v>
      </c>
      <c r="Z339" t="s">
        <v>6966</v>
      </c>
      <c r="AA339" t="s">
        <v>6967</v>
      </c>
      <c r="AB339" t="s">
        <v>6968</v>
      </c>
      <c r="AC339" t="s">
        <v>6969</v>
      </c>
      <c r="AD339" t="s">
        <v>6970</v>
      </c>
      <c r="AE339" t="s">
        <v>6971</v>
      </c>
      <c r="AF339" t="s">
        <v>74</v>
      </c>
      <c r="AG339">
        <v>84</v>
      </c>
      <c r="AH339">
        <v>105</v>
      </c>
      <c r="AI339">
        <v>117</v>
      </c>
      <c r="AJ339">
        <v>5</v>
      </c>
      <c r="AK339">
        <v>96</v>
      </c>
      <c r="AL339" t="s">
        <v>1495</v>
      </c>
      <c r="AM339" t="s">
        <v>1496</v>
      </c>
      <c r="AN339" t="s">
        <v>1497</v>
      </c>
      <c r="AO339" t="s">
        <v>1498</v>
      </c>
      <c r="AP339" t="s">
        <v>1499</v>
      </c>
      <c r="AQ339" t="s">
        <v>74</v>
      </c>
      <c r="AR339" t="s">
        <v>1500</v>
      </c>
      <c r="AS339" t="s">
        <v>1501</v>
      </c>
      <c r="AT339" t="s">
        <v>4901</v>
      </c>
      <c r="AU339">
        <v>2013</v>
      </c>
      <c r="AV339">
        <v>26</v>
      </c>
      <c r="AW339">
        <v>24</v>
      </c>
      <c r="AX339" t="s">
        <v>74</v>
      </c>
      <c r="AY339" t="s">
        <v>74</v>
      </c>
      <c r="AZ339" t="s">
        <v>74</v>
      </c>
      <c r="BA339" t="s">
        <v>74</v>
      </c>
      <c r="BB339">
        <v>9860</v>
      </c>
      <c r="BC339">
        <v>9879</v>
      </c>
      <c r="BD339" t="s">
        <v>74</v>
      </c>
      <c r="BE339" t="s">
        <v>6972</v>
      </c>
      <c r="BF339" t="str">
        <f>HYPERLINK("http://dx.doi.org/10.1175/JCLI-D-13-00204.1","http://dx.doi.org/10.1175/JCLI-D-13-00204.1")</f>
        <v>http://dx.doi.org/10.1175/JCLI-D-13-00204.1</v>
      </c>
      <c r="BG339" t="s">
        <v>74</v>
      </c>
      <c r="BH339" t="s">
        <v>74</v>
      </c>
      <c r="BI339">
        <v>20</v>
      </c>
      <c r="BJ339" t="s">
        <v>1503</v>
      </c>
      <c r="BK339" t="s">
        <v>99</v>
      </c>
      <c r="BL339" t="s">
        <v>1503</v>
      </c>
      <c r="BM339" t="s">
        <v>6973</v>
      </c>
      <c r="BN339" t="s">
        <v>74</v>
      </c>
      <c r="BO339" t="s">
        <v>475</v>
      </c>
      <c r="BP339" t="s">
        <v>74</v>
      </c>
      <c r="BQ339" t="s">
        <v>74</v>
      </c>
      <c r="BR339" t="s">
        <v>103</v>
      </c>
      <c r="BS339" t="s">
        <v>6974</v>
      </c>
      <c r="BT339" t="str">
        <f>HYPERLINK("https%3A%2F%2Fwww.webofscience.com%2Fwos%2Fwoscc%2Ffull-record%2FWOS:000330730800005","View Full Record in Web of Science")</f>
        <v>View Full Record in Web of Science</v>
      </c>
    </row>
    <row r="340" spans="1:72" x14ac:dyDescent="0.15">
      <c r="A340" t="s">
        <v>72</v>
      </c>
      <c r="B340" t="s">
        <v>6975</v>
      </c>
      <c r="C340" t="s">
        <v>74</v>
      </c>
      <c r="D340" t="s">
        <v>74</v>
      </c>
      <c r="E340" t="s">
        <v>74</v>
      </c>
      <c r="F340" t="s">
        <v>6976</v>
      </c>
      <c r="G340" t="s">
        <v>74</v>
      </c>
      <c r="H340" t="s">
        <v>74</v>
      </c>
      <c r="I340" t="s">
        <v>6977</v>
      </c>
      <c r="J340" t="s">
        <v>6978</v>
      </c>
      <c r="K340" t="s">
        <v>74</v>
      </c>
      <c r="L340" t="s">
        <v>74</v>
      </c>
      <c r="M340" t="s">
        <v>78</v>
      </c>
      <c r="N340" t="s">
        <v>79</v>
      </c>
      <c r="O340" t="s">
        <v>74</v>
      </c>
      <c r="P340" t="s">
        <v>74</v>
      </c>
      <c r="Q340" t="s">
        <v>74</v>
      </c>
      <c r="R340" t="s">
        <v>74</v>
      </c>
      <c r="S340" t="s">
        <v>74</v>
      </c>
      <c r="T340" t="s">
        <v>6979</v>
      </c>
      <c r="U340" t="s">
        <v>6980</v>
      </c>
      <c r="V340" t="s">
        <v>6981</v>
      </c>
      <c r="W340" t="s">
        <v>6982</v>
      </c>
      <c r="X340" t="s">
        <v>6983</v>
      </c>
      <c r="Y340" t="s">
        <v>6984</v>
      </c>
      <c r="Z340" t="s">
        <v>6985</v>
      </c>
      <c r="AA340" t="s">
        <v>6986</v>
      </c>
      <c r="AB340" t="s">
        <v>6987</v>
      </c>
      <c r="AC340" t="s">
        <v>6988</v>
      </c>
      <c r="AD340" t="s">
        <v>6989</v>
      </c>
      <c r="AE340" t="s">
        <v>6990</v>
      </c>
      <c r="AF340" t="s">
        <v>74</v>
      </c>
      <c r="AG340">
        <v>38</v>
      </c>
      <c r="AH340">
        <v>10</v>
      </c>
      <c r="AI340">
        <v>11</v>
      </c>
      <c r="AJ340">
        <v>3</v>
      </c>
      <c r="AK340">
        <v>28</v>
      </c>
      <c r="AL340" t="s">
        <v>872</v>
      </c>
      <c r="AM340" t="s">
        <v>252</v>
      </c>
      <c r="AN340" t="s">
        <v>873</v>
      </c>
      <c r="AO340" t="s">
        <v>6991</v>
      </c>
      <c r="AP340" t="s">
        <v>74</v>
      </c>
      <c r="AQ340" t="s">
        <v>74</v>
      </c>
      <c r="AR340" t="s">
        <v>6992</v>
      </c>
      <c r="AS340" t="s">
        <v>6993</v>
      </c>
      <c r="AT340" t="s">
        <v>4901</v>
      </c>
      <c r="AU340">
        <v>2013</v>
      </c>
      <c r="AV340">
        <v>72</v>
      </c>
      <c r="AW340" t="s">
        <v>74</v>
      </c>
      <c r="AX340" t="s">
        <v>74</v>
      </c>
      <c r="AY340" t="s">
        <v>74</v>
      </c>
      <c r="AZ340" t="s">
        <v>283</v>
      </c>
      <c r="BA340" t="s">
        <v>74</v>
      </c>
      <c r="BB340">
        <v>72</v>
      </c>
      <c r="BC340">
        <v>80</v>
      </c>
      <c r="BD340" t="s">
        <v>74</v>
      </c>
      <c r="BE340" t="s">
        <v>6994</v>
      </c>
      <c r="BF340" t="str">
        <f>HYPERLINK("http://dx.doi.org/10.1016/j.jog.2013.08.005","http://dx.doi.org/10.1016/j.jog.2013.08.005")</f>
        <v>http://dx.doi.org/10.1016/j.jog.2013.08.005</v>
      </c>
      <c r="BG340" t="s">
        <v>74</v>
      </c>
      <c r="BH340" t="s">
        <v>74</v>
      </c>
      <c r="BI340">
        <v>9</v>
      </c>
      <c r="BJ340" t="s">
        <v>313</v>
      </c>
      <c r="BK340" t="s">
        <v>99</v>
      </c>
      <c r="BL340" t="s">
        <v>313</v>
      </c>
      <c r="BM340" t="s">
        <v>6995</v>
      </c>
      <c r="BN340" t="s">
        <v>74</v>
      </c>
      <c r="BO340" t="s">
        <v>74</v>
      </c>
      <c r="BP340" t="s">
        <v>74</v>
      </c>
      <c r="BQ340" t="s">
        <v>74</v>
      </c>
      <c r="BR340" t="s">
        <v>103</v>
      </c>
      <c r="BS340" t="s">
        <v>6996</v>
      </c>
      <c r="BT340" t="str">
        <f>HYPERLINK("https%3A%2F%2Fwww.webofscience.com%2Fwos%2Fwoscc%2Ffull-record%2FWOS:000329482500009","View Full Record in Web of Science")</f>
        <v>View Full Record in Web of Science</v>
      </c>
    </row>
    <row r="341" spans="1:72" x14ac:dyDescent="0.15">
      <c r="A341" t="s">
        <v>72</v>
      </c>
      <c r="B341" t="s">
        <v>6997</v>
      </c>
      <c r="C341" t="s">
        <v>74</v>
      </c>
      <c r="D341" t="s">
        <v>74</v>
      </c>
      <c r="E341" t="s">
        <v>74</v>
      </c>
      <c r="F341" t="s">
        <v>6998</v>
      </c>
      <c r="G341" t="s">
        <v>74</v>
      </c>
      <c r="H341" t="s">
        <v>74</v>
      </c>
      <c r="I341" t="s">
        <v>6999</v>
      </c>
      <c r="J341" t="s">
        <v>1595</v>
      </c>
      <c r="K341" t="s">
        <v>74</v>
      </c>
      <c r="L341" t="s">
        <v>74</v>
      </c>
      <c r="M341" t="s">
        <v>78</v>
      </c>
      <c r="N341" t="s">
        <v>79</v>
      </c>
      <c r="O341" t="s">
        <v>74</v>
      </c>
      <c r="P341" t="s">
        <v>74</v>
      </c>
      <c r="Q341" t="s">
        <v>74</v>
      </c>
      <c r="R341" t="s">
        <v>74</v>
      </c>
      <c r="S341" t="s">
        <v>74</v>
      </c>
      <c r="T341" t="s">
        <v>7000</v>
      </c>
      <c r="U341" t="s">
        <v>7001</v>
      </c>
      <c r="V341" t="s">
        <v>7002</v>
      </c>
      <c r="W341" t="s">
        <v>7003</v>
      </c>
      <c r="X341" t="s">
        <v>7004</v>
      </c>
      <c r="Y341" t="s">
        <v>7005</v>
      </c>
      <c r="Z341" t="s">
        <v>7006</v>
      </c>
      <c r="AA341" t="s">
        <v>7007</v>
      </c>
      <c r="AB341" t="s">
        <v>7008</v>
      </c>
      <c r="AC341" t="s">
        <v>7009</v>
      </c>
      <c r="AD341" t="s">
        <v>1918</v>
      </c>
      <c r="AE341" t="s">
        <v>7010</v>
      </c>
      <c r="AF341" t="s">
        <v>74</v>
      </c>
      <c r="AG341">
        <v>86</v>
      </c>
      <c r="AH341">
        <v>201</v>
      </c>
      <c r="AI341">
        <v>222</v>
      </c>
      <c r="AJ341">
        <v>9</v>
      </c>
      <c r="AK341">
        <v>147</v>
      </c>
      <c r="AL341" t="s">
        <v>1606</v>
      </c>
      <c r="AM341" t="s">
        <v>808</v>
      </c>
      <c r="AN341" t="s">
        <v>1607</v>
      </c>
      <c r="AO341" t="s">
        <v>1608</v>
      </c>
      <c r="AP341" t="s">
        <v>1609</v>
      </c>
      <c r="AQ341" t="s">
        <v>74</v>
      </c>
      <c r="AR341" t="s">
        <v>1610</v>
      </c>
      <c r="AS341" t="s">
        <v>1611</v>
      </c>
      <c r="AT341" t="s">
        <v>4901</v>
      </c>
      <c r="AU341">
        <v>2013</v>
      </c>
      <c r="AV341">
        <v>118</v>
      </c>
      <c r="AW341">
        <v>12</v>
      </c>
      <c r="AX341" t="s">
        <v>74</v>
      </c>
      <c r="AY341" t="s">
        <v>74</v>
      </c>
      <c r="AZ341" t="s">
        <v>74</v>
      </c>
      <c r="BA341" t="s">
        <v>74</v>
      </c>
      <c r="BB341">
        <v>6349</v>
      </c>
      <c r="BC341">
        <v>6370</v>
      </c>
      <c r="BD341" t="s">
        <v>74</v>
      </c>
      <c r="BE341" t="s">
        <v>7011</v>
      </c>
      <c r="BF341" t="str">
        <f>HYPERLINK("http://dx.doi.org/10.1002/2013JC009027","http://dx.doi.org/10.1002/2013JC009027")</f>
        <v>http://dx.doi.org/10.1002/2013JC009027</v>
      </c>
      <c r="BG341" t="s">
        <v>74</v>
      </c>
      <c r="BH341" t="s">
        <v>74</v>
      </c>
      <c r="BI341">
        <v>22</v>
      </c>
      <c r="BJ341" t="s">
        <v>1613</v>
      </c>
      <c r="BK341" t="s">
        <v>99</v>
      </c>
      <c r="BL341" t="s">
        <v>1613</v>
      </c>
      <c r="BM341" t="s">
        <v>5087</v>
      </c>
      <c r="BN341" t="s">
        <v>74</v>
      </c>
      <c r="BO341" t="s">
        <v>831</v>
      </c>
      <c r="BP341" t="s">
        <v>74</v>
      </c>
      <c r="BQ341" t="s">
        <v>74</v>
      </c>
      <c r="BR341" t="s">
        <v>103</v>
      </c>
      <c r="BS341" t="s">
        <v>7012</v>
      </c>
      <c r="BT341" t="str">
        <f>HYPERLINK("https%3A%2F%2Fwww.webofscience.com%2Fwos%2Fwoscc%2Ffull-record%2FWOS:000329926200003","View Full Record in Web of Science")</f>
        <v>View Full Record in Web of Science</v>
      </c>
    </row>
    <row r="342" spans="1:72" x14ac:dyDescent="0.15">
      <c r="A342" t="s">
        <v>72</v>
      </c>
      <c r="B342" t="s">
        <v>7013</v>
      </c>
      <c r="C342" t="s">
        <v>74</v>
      </c>
      <c r="D342" t="s">
        <v>74</v>
      </c>
      <c r="E342" t="s">
        <v>74</v>
      </c>
      <c r="F342" t="s">
        <v>7014</v>
      </c>
      <c r="G342" t="s">
        <v>74</v>
      </c>
      <c r="H342" t="s">
        <v>74</v>
      </c>
      <c r="I342" t="s">
        <v>7015</v>
      </c>
      <c r="J342" t="s">
        <v>1595</v>
      </c>
      <c r="K342" t="s">
        <v>74</v>
      </c>
      <c r="L342" t="s">
        <v>74</v>
      </c>
      <c r="M342" t="s">
        <v>78</v>
      </c>
      <c r="N342" t="s">
        <v>79</v>
      </c>
      <c r="O342" t="s">
        <v>74</v>
      </c>
      <c r="P342" t="s">
        <v>74</v>
      </c>
      <c r="Q342" t="s">
        <v>74</v>
      </c>
      <c r="R342" t="s">
        <v>74</v>
      </c>
      <c r="S342" t="s">
        <v>74</v>
      </c>
      <c r="T342" t="s">
        <v>7016</v>
      </c>
      <c r="U342" t="s">
        <v>7017</v>
      </c>
      <c r="V342" t="s">
        <v>7018</v>
      </c>
      <c r="W342" t="s">
        <v>7019</v>
      </c>
      <c r="X342" t="s">
        <v>7020</v>
      </c>
      <c r="Y342" t="s">
        <v>7021</v>
      </c>
      <c r="Z342" t="s">
        <v>7022</v>
      </c>
      <c r="AA342" t="s">
        <v>7023</v>
      </c>
      <c r="AB342" t="s">
        <v>7024</v>
      </c>
      <c r="AC342" t="s">
        <v>7025</v>
      </c>
      <c r="AD342" t="s">
        <v>7026</v>
      </c>
      <c r="AE342" t="s">
        <v>7027</v>
      </c>
      <c r="AF342" t="s">
        <v>74</v>
      </c>
      <c r="AG342">
        <v>48</v>
      </c>
      <c r="AH342">
        <v>83</v>
      </c>
      <c r="AI342">
        <v>93</v>
      </c>
      <c r="AJ342">
        <v>1</v>
      </c>
      <c r="AK342">
        <v>43</v>
      </c>
      <c r="AL342" t="s">
        <v>1606</v>
      </c>
      <c r="AM342" t="s">
        <v>808</v>
      </c>
      <c r="AN342" t="s">
        <v>1607</v>
      </c>
      <c r="AO342" t="s">
        <v>74</v>
      </c>
      <c r="AP342" t="s">
        <v>1609</v>
      </c>
      <c r="AQ342" t="s">
        <v>74</v>
      </c>
      <c r="AR342" t="s">
        <v>1610</v>
      </c>
      <c r="AS342" t="s">
        <v>1611</v>
      </c>
      <c r="AT342" t="s">
        <v>4901</v>
      </c>
      <c r="AU342">
        <v>2013</v>
      </c>
      <c r="AV342">
        <v>118</v>
      </c>
      <c r="AW342">
        <v>12</v>
      </c>
      <c r="AX342" t="s">
        <v>74</v>
      </c>
      <c r="AY342" t="s">
        <v>74</v>
      </c>
      <c r="AZ342" t="s">
        <v>74</v>
      </c>
      <c r="BA342" t="s">
        <v>74</v>
      </c>
      <c r="BB342">
        <v>6603</v>
      </c>
      <c r="BC342">
        <v>6620</v>
      </c>
      <c r="BD342" t="s">
        <v>74</v>
      </c>
      <c r="BE342" t="s">
        <v>7028</v>
      </c>
      <c r="BF342" t="str">
        <f>HYPERLINK("http://dx.doi.org/10.1002/2013JC008871","http://dx.doi.org/10.1002/2013JC008871")</f>
        <v>http://dx.doi.org/10.1002/2013JC008871</v>
      </c>
      <c r="BG342" t="s">
        <v>74</v>
      </c>
      <c r="BH342" t="s">
        <v>74</v>
      </c>
      <c r="BI342">
        <v>18</v>
      </c>
      <c r="BJ342" t="s">
        <v>1613</v>
      </c>
      <c r="BK342" t="s">
        <v>99</v>
      </c>
      <c r="BL342" t="s">
        <v>1613</v>
      </c>
      <c r="BM342" t="s">
        <v>5087</v>
      </c>
      <c r="BN342" t="s">
        <v>74</v>
      </c>
      <c r="BO342" t="s">
        <v>1630</v>
      </c>
      <c r="BP342" t="s">
        <v>74</v>
      </c>
      <c r="BQ342" t="s">
        <v>74</v>
      </c>
      <c r="BR342" t="s">
        <v>103</v>
      </c>
      <c r="BS342" t="s">
        <v>7029</v>
      </c>
      <c r="BT342" t="str">
        <f>HYPERLINK("https%3A%2F%2Fwww.webofscience.com%2Fwos%2Fwoscc%2Ffull-record%2FWOS:000329926200019","View Full Record in Web of Science")</f>
        <v>View Full Record in Web of Science</v>
      </c>
    </row>
    <row r="343" spans="1:72" x14ac:dyDescent="0.15">
      <c r="A343" t="s">
        <v>72</v>
      </c>
      <c r="B343" t="s">
        <v>7030</v>
      </c>
      <c r="C343" t="s">
        <v>74</v>
      </c>
      <c r="D343" t="s">
        <v>74</v>
      </c>
      <c r="E343" t="s">
        <v>74</v>
      </c>
      <c r="F343" t="s">
        <v>7031</v>
      </c>
      <c r="G343" t="s">
        <v>74</v>
      </c>
      <c r="H343" t="s">
        <v>74</v>
      </c>
      <c r="I343" t="s">
        <v>7032</v>
      </c>
      <c r="J343" t="s">
        <v>1595</v>
      </c>
      <c r="K343" t="s">
        <v>74</v>
      </c>
      <c r="L343" t="s">
        <v>74</v>
      </c>
      <c r="M343" t="s">
        <v>78</v>
      </c>
      <c r="N343" t="s">
        <v>79</v>
      </c>
      <c r="O343" t="s">
        <v>74</v>
      </c>
      <c r="P343" t="s">
        <v>74</v>
      </c>
      <c r="Q343" t="s">
        <v>74</v>
      </c>
      <c r="R343" t="s">
        <v>74</v>
      </c>
      <c r="S343" t="s">
        <v>74</v>
      </c>
      <c r="T343" t="s">
        <v>7033</v>
      </c>
      <c r="U343" t="s">
        <v>7034</v>
      </c>
      <c r="V343" t="s">
        <v>7035</v>
      </c>
      <c r="W343" t="s">
        <v>7036</v>
      </c>
      <c r="X343" t="s">
        <v>7037</v>
      </c>
      <c r="Y343" t="s">
        <v>7038</v>
      </c>
      <c r="Z343" t="s">
        <v>7039</v>
      </c>
      <c r="AA343" t="s">
        <v>7040</v>
      </c>
      <c r="AB343" t="s">
        <v>7041</v>
      </c>
      <c r="AC343" t="s">
        <v>7042</v>
      </c>
      <c r="AD343" t="s">
        <v>7043</v>
      </c>
      <c r="AE343" t="s">
        <v>7044</v>
      </c>
      <c r="AF343" t="s">
        <v>74</v>
      </c>
      <c r="AG343">
        <v>25</v>
      </c>
      <c r="AH343">
        <v>46</v>
      </c>
      <c r="AI343">
        <v>49</v>
      </c>
      <c r="AJ343">
        <v>0</v>
      </c>
      <c r="AK343">
        <v>24</v>
      </c>
      <c r="AL343" t="s">
        <v>1606</v>
      </c>
      <c r="AM343" t="s">
        <v>808</v>
      </c>
      <c r="AN343" t="s">
        <v>1607</v>
      </c>
      <c r="AO343" t="s">
        <v>1608</v>
      </c>
      <c r="AP343" t="s">
        <v>1609</v>
      </c>
      <c r="AQ343" t="s">
        <v>74</v>
      </c>
      <c r="AR343" t="s">
        <v>1610</v>
      </c>
      <c r="AS343" t="s">
        <v>1611</v>
      </c>
      <c r="AT343" t="s">
        <v>4901</v>
      </c>
      <c r="AU343">
        <v>2013</v>
      </c>
      <c r="AV343">
        <v>118</v>
      </c>
      <c r="AW343">
        <v>12</v>
      </c>
      <c r="AX343" t="s">
        <v>74</v>
      </c>
      <c r="AY343" t="s">
        <v>74</v>
      </c>
      <c r="AZ343" t="s">
        <v>74</v>
      </c>
      <c r="BA343" t="s">
        <v>74</v>
      </c>
      <c r="BB343">
        <v>6951</v>
      </c>
      <c r="BC343">
        <v>6964</v>
      </c>
      <c r="BD343" t="s">
        <v>74</v>
      </c>
      <c r="BE343" t="s">
        <v>7045</v>
      </c>
      <c r="BF343" t="str">
        <f>HYPERLINK("http://dx.doi.org/10.1002/2013JC009402","http://dx.doi.org/10.1002/2013JC009402")</f>
        <v>http://dx.doi.org/10.1002/2013JC009402</v>
      </c>
      <c r="BG343" t="s">
        <v>74</v>
      </c>
      <c r="BH343" t="s">
        <v>74</v>
      </c>
      <c r="BI343">
        <v>14</v>
      </c>
      <c r="BJ343" t="s">
        <v>1613</v>
      </c>
      <c r="BK343" t="s">
        <v>99</v>
      </c>
      <c r="BL343" t="s">
        <v>1613</v>
      </c>
      <c r="BM343" t="s">
        <v>5087</v>
      </c>
      <c r="BN343" t="s">
        <v>74</v>
      </c>
      <c r="BO343" t="s">
        <v>1630</v>
      </c>
      <c r="BP343" t="s">
        <v>74</v>
      </c>
      <c r="BQ343" t="s">
        <v>74</v>
      </c>
      <c r="BR343" t="s">
        <v>103</v>
      </c>
      <c r="BS343" t="s">
        <v>7046</v>
      </c>
      <c r="BT343" t="str">
        <f>HYPERLINK("https%3A%2F%2Fwww.webofscience.com%2Fwos%2Fwoscc%2Ffull-record%2FWOS:000329926200042","View Full Record in Web of Science")</f>
        <v>View Full Record in Web of Science</v>
      </c>
    </row>
    <row r="344" spans="1:72" x14ac:dyDescent="0.15">
      <c r="A344" t="s">
        <v>72</v>
      </c>
      <c r="B344" t="s">
        <v>7047</v>
      </c>
      <c r="C344" t="s">
        <v>74</v>
      </c>
      <c r="D344" t="s">
        <v>74</v>
      </c>
      <c r="E344" t="s">
        <v>74</v>
      </c>
      <c r="F344" t="s">
        <v>7048</v>
      </c>
      <c r="G344" t="s">
        <v>74</v>
      </c>
      <c r="H344" t="s">
        <v>74</v>
      </c>
      <c r="I344" t="s">
        <v>7049</v>
      </c>
      <c r="J344" t="s">
        <v>1595</v>
      </c>
      <c r="K344" t="s">
        <v>74</v>
      </c>
      <c r="L344" t="s">
        <v>74</v>
      </c>
      <c r="M344" t="s">
        <v>78</v>
      </c>
      <c r="N344" t="s">
        <v>79</v>
      </c>
      <c r="O344" t="s">
        <v>74</v>
      </c>
      <c r="P344" t="s">
        <v>74</v>
      </c>
      <c r="Q344" t="s">
        <v>74</v>
      </c>
      <c r="R344" t="s">
        <v>74</v>
      </c>
      <c r="S344" t="s">
        <v>74</v>
      </c>
      <c r="T344" t="s">
        <v>7050</v>
      </c>
      <c r="U344" t="s">
        <v>7051</v>
      </c>
      <c r="V344" t="s">
        <v>7052</v>
      </c>
      <c r="W344" t="s">
        <v>7053</v>
      </c>
      <c r="X344" t="s">
        <v>7054</v>
      </c>
      <c r="Y344" t="s">
        <v>7055</v>
      </c>
      <c r="Z344" t="s">
        <v>7056</v>
      </c>
      <c r="AA344" t="s">
        <v>74</v>
      </c>
      <c r="AB344" t="s">
        <v>7057</v>
      </c>
      <c r="AC344" t="s">
        <v>7058</v>
      </c>
      <c r="AD344" t="s">
        <v>7059</v>
      </c>
      <c r="AE344" t="s">
        <v>7060</v>
      </c>
      <c r="AF344" t="s">
        <v>74</v>
      </c>
      <c r="AG344">
        <v>72</v>
      </c>
      <c r="AH344">
        <v>51</v>
      </c>
      <c r="AI344">
        <v>53</v>
      </c>
      <c r="AJ344">
        <v>2</v>
      </c>
      <c r="AK344">
        <v>43</v>
      </c>
      <c r="AL344" t="s">
        <v>1606</v>
      </c>
      <c r="AM344" t="s">
        <v>808</v>
      </c>
      <c r="AN344" t="s">
        <v>1607</v>
      </c>
      <c r="AO344" t="s">
        <v>1608</v>
      </c>
      <c r="AP344" t="s">
        <v>1609</v>
      </c>
      <c r="AQ344" t="s">
        <v>74</v>
      </c>
      <c r="AR344" t="s">
        <v>1610</v>
      </c>
      <c r="AS344" t="s">
        <v>1611</v>
      </c>
      <c r="AT344" t="s">
        <v>4901</v>
      </c>
      <c r="AU344">
        <v>2013</v>
      </c>
      <c r="AV344">
        <v>118</v>
      </c>
      <c r="AW344">
        <v>12</v>
      </c>
      <c r="AX344" t="s">
        <v>74</v>
      </c>
      <c r="AY344" t="s">
        <v>74</v>
      </c>
      <c r="AZ344" t="s">
        <v>74</v>
      </c>
      <c r="BA344" t="s">
        <v>74</v>
      </c>
      <c r="BB344">
        <v>7001</v>
      </c>
      <c r="BC344">
        <v>7023</v>
      </c>
      <c r="BD344" t="s">
        <v>74</v>
      </c>
      <c r="BE344" t="s">
        <v>7061</v>
      </c>
      <c r="BF344" t="str">
        <f>HYPERLINK("http://dx.doi.org/10.1002/2013JC009164","http://dx.doi.org/10.1002/2013JC009164")</f>
        <v>http://dx.doi.org/10.1002/2013JC009164</v>
      </c>
      <c r="BG344" t="s">
        <v>74</v>
      </c>
      <c r="BH344" t="s">
        <v>74</v>
      </c>
      <c r="BI344">
        <v>23</v>
      </c>
      <c r="BJ344" t="s">
        <v>1613</v>
      </c>
      <c r="BK344" t="s">
        <v>99</v>
      </c>
      <c r="BL344" t="s">
        <v>1613</v>
      </c>
      <c r="BM344" t="s">
        <v>5087</v>
      </c>
      <c r="BN344" t="s">
        <v>74</v>
      </c>
      <c r="BO344" t="s">
        <v>4262</v>
      </c>
      <c r="BP344" t="s">
        <v>74</v>
      </c>
      <c r="BQ344" t="s">
        <v>74</v>
      </c>
      <c r="BR344" t="s">
        <v>103</v>
      </c>
      <c r="BS344" t="s">
        <v>7062</v>
      </c>
      <c r="BT344" t="str">
        <f>HYPERLINK("https%3A%2F%2Fwww.webofscience.com%2Fwos%2Fwoscc%2Ffull-record%2FWOS:000329926200045","View Full Record in Web of Science")</f>
        <v>View Full Record in Web of Science</v>
      </c>
    </row>
    <row r="345" spans="1:72" x14ac:dyDescent="0.15">
      <c r="A345" t="s">
        <v>72</v>
      </c>
      <c r="B345" t="s">
        <v>7063</v>
      </c>
      <c r="C345" t="s">
        <v>74</v>
      </c>
      <c r="D345" t="s">
        <v>74</v>
      </c>
      <c r="E345" t="s">
        <v>74</v>
      </c>
      <c r="F345" t="s">
        <v>7064</v>
      </c>
      <c r="G345" t="s">
        <v>74</v>
      </c>
      <c r="H345" t="s">
        <v>74</v>
      </c>
      <c r="I345" t="s">
        <v>7065</v>
      </c>
      <c r="J345" t="s">
        <v>1595</v>
      </c>
      <c r="K345" t="s">
        <v>74</v>
      </c>
      <c r="L345" t="s">
        <v>74</v>
      </c>
      <c r="M345" t="s">
        <v>78</v>
      </c>
      <c r="N345" t="s">
        <v>79</v>
      </c>
      <c r="O345" t="s">
        <v>74</v>
      </c>
      <c r="P345" t="s">
        <v>74</v>
      </c>
      <c r="Q345" t="s">
        <v>74</v>
      </c>
      <c r="R345" t="s">
        <v>74</v>
      </c>
      <c r="S345" t="s">
        <v>74</v>
      </c>
      <c r="T345" t="s">
        <v>7066</v>
      </c>
      <c r="U345" t="s">
        <v>7067</v>
      </c>
      <c r="V345" t="s">
        <v>7068</v>
      </c>
      <c r="W345" t="s">
        <v>7069</v>
      </c>
      <c r="X345" t="s">
        <v>7070</v>
      </c>
      <c r="Y345" t="s">
        <v>7071</v>
      </c>
      <c r="Z345" t="s">
        <v>7072</v>
      </c>
      <c r="AA345" t="s">
        <v>7073</v>
      </c>
      <c r="AB345" t="s">
        <v>7074</v>
      </c>
      <c r="AC345" t="s">
        <v>7075</v>
      </c>
      <c r="AD345" t="s">
        <v>7076</v>
      </c>
      <c r="AE345" t="s">
        <v>7077</v>
      </c>
      <c r="AF345" t="s">
        <v>74</v>
      </c>
      <c r="AG345">
        <v>38</v>
      </c>
      <c r="AH345">
        <v>33</v>
      </c>
      <c r="AI345">
        <v>35</v>
      </c>
      <c r="AJ345">
        <v>0</v>
      </c>
      <c r="AK345">
        <v>17</v>
      </c>
      <c r="AL345" t="s">
        <v>1606</v>
      </c>
      <c r="AM345" t="s">
        <v>808</v>
      </c>
      <c r="AN345" t="s">
        <v>1607</v>
      </c>
      <c r="AO345" t="s">
        <v>1608</v>
      </c>
      <c r="AP345" t="s">
        <v>1609</v>
      </c>
      <c r="AQ345" t="s">
        <v>74</v>
      </c>
      <c r="AR345" t="s">
        <v>1610</v>
      </c>
      <c r="AS345" t="s">
        <v>1611</v>
      </c>
      <c r="AT345" t="s">
        <v>4901</v>
      </c>
      <c r="AU345">
        <v>2013</v>
      </c>
      <c r="AV345">
        <v>118</v>
      </c>
      <c r="AW345">
        <v>12</v>
      </c>
      <c r="AX345" t="s">
        <v>74</v>
      </c>
      <c r="AY345" t="s">
        <v>74</v>
      </c>
      <c r="AZ345" t="s">
        <v>74</v>
      </c>
      <c r="BA345" t="s">
        <v>74</v>
      </c>
      <c r="BB345">
        <v>7117</v>
      </c>
      <c r="BC345">
        <v>7131</v>
      </c>
      <c r="BD345" t="s">
        <v>74</v>
      </c>
      <c r="BE345" t="s">
        <v>7078</v>
      </c>
      <c r="BF345" t="str">
        <f>HYPERLINK("http://dx.doi.org/10.1002/2013JC009158","http://dx.doi.org/10.1002/2013JC009158")</f>
        <v>http://dx.doi.org/10.1002/2013JC009158</v>
      </c>
      <c r="BG345" t="s">
        <v>74</v>
      </c>
      <c r="BH345" t="s">
        <v>74</v>
      </c>
      <c r="BI345">
        <v>15</v>
      </c>
      <c r="BJ345" t="s">
        <v>1613</v>
      </c>
      <c r="BK345" t="s">
        <v>99</v>
      </c>
      <c r="BL345" t="s">
        <v>1613</v>
      </c>
      <c r="BM345" t="s">
        <v>5087</v>
      </c>
      <c r="BN345" t="s">
        <v>74</v>
      </c>
      <c r="BO345" t="s">
        <v>7079</v>
      </c>
      <c r="BP345" t="s">
        <v>74</v>
      </c>
      <c r="BQ345" t="s">
        <v>74</v>
      </c>
      <c r="BR345" t="s">
        <v>103</v>
      </c>
      <c r="BS345" t="s">
        <v>7080</v>
      </c>
      <c r="BT345" t="str">
        <f>HYPERLINK("https%3A%2F%2Fwww.webofscience.com%2Fwos%2Fwoscc%2Ffull-record%2FWOS:000329926200053","View Full Record in Web of Science")</f>
        <v>View Full Record in Web of Science</v>
      </c>
    </row>
    <row r="346" spans="1:72" x14ac:dyDescent="0.15">
      <c r="A346" t="s">
        <v>72</v>
      </c>
      <c r="B346" t="s">
        <v>7081</v>
      </c>
      <c r="C346" t="s">
        <v>74</v>
      </c>
      <c r="D346" t="s">
        <v>74</v>
      </c>
      <c r="E346" t="s">
        <v>74</v>
      </c>
      <c r="F346" t="s">
        <v>7082</v>
      </c>
      <c r="G346" t="s">
        <v>74</v>
      </c>
      <c r="H346" t="s">
        <v>74</v>
      </c>
      <c r="I346" t="s">
        <v>7083</v>
      </c>
      <c r="J346" t="s">
        <v>1688</v>
      </c>
      <c r="K346" t="s">
        <v>74</v>
      </c>
      <c r="L346" t="s">
        <v>74</v>
      </c>
      <c r="M346" t="s">
        <v>78</v>
      </c>
      <c r="N346" t="s">
        <v>79</v>
      </c>
      <c r="O346" t="s">
        <v>74</v>
      </c>
      <c r="P346" t="s">
        <v>74</v>
      </c>
      <c r="Q346" t="s">
        <v>74</v>
      </c>
      <c r="R346" t="s">
        <v>74</v>
      </c>
      <c r="S346" t="s">
        <v>74</v>
      </c>
      <c r="T346" t="s">
        <v>7084</v>
      </c>
      <c r="U346" t="s">
        <v>7085</v>
      </c>
      <c r="V346" t="s">
        <v>7086</v>
      </c>
      <c r="W346" t="s">
        <v>7087</v>
      </c>
      <c r="X346" t="s">
        <v>7088</v>
      </c>
      <c r="Y346" t="s">
        <v>7089</v>
      </c>
      <c r="Z346" t="s">
        <v>7090</v>
      </c>
      <c r="AA346" t="s">
        <v>7091</v>
      </c>
      <c r="AB346" t="s">
        <v>7092</v>
      </c>
      <c r="AC346" t="s">
        <v>7093</v>
      </c>
      <c r="AD346" t="s">
        <v>7094</v>
      </c>
      <c r="AE346" t="s">
        <v>7095</v>
      </c>
      <c r="AF346" t="s">
        <v>74</v>
      </c>
      <c r="AG346">
        <v>38</v>
      </c>
      <c r="AH346">
        <v>40</v>
      </c>
      <c r="AI346">
        <v>44</v>
      </c>
      <c r="AJ346">
        <v>0</v>
      </c>
      <c r="AK346">
        <v>8</v>
      </c>
      <c r="AL346" t="s">
        <v>1606</v>
      </c>
      <c r="AM346" t="s">
        <v>808</v>
      </c>
      <c r="AN346" t="s">
        <v>1607</v>
      </c>
      <c r="AO346" t="s">
        <v>1700</v>
      </c>
      <c r="AP346" t="s">
        <v>1701</v>
      </c>
      <c r="AQ346" t="s">
        <v>74</v>
      </c>
      <c r="AR346" t="s">
        <v>1702</v>
      </c>
      <c r="AS346" t="s">
        <v>1703</v>
      </c>
      <c r="AT346" t="s">
        <v>4901</v>
      </c>
      <c r="AU346">
        <v>2013</v>
      </c>
      <c r="AV346">
        <v>118</v>
      </c>
      <c r="AW346">
        <v>12</v>
      </c>
      <c r="AX346" t="s">
        <v>74</v>
      </c>
      <c r="AY346" t="s">
        <v>74</v>
      </c>
      <c r="AZ346" t="s">
        <v>74</v>
      </c>
      <c r="BA346" t="s">
        <v>74</v>
      </c>
      <c r="BB346">
        <v>7611</v>
      </c>
      <c r="BC346">
        <v>7623</v>
      </c>
      <c r="BD346" t="s">
        <v>74</v>
      </c>
      <c r="BE346" t="s">
        <v>7096</v>
      </c>
      <c r="BF346" t="str">
        <f>HYPERLINK("http://dx.doi.org/10.1002/2013JA019228","http://dx.doi.org/10.1002/2013JA019228")</f>
        <v>http://dx.doi.org/10.1002/2013JA019228</v>
      </c>
      <c r="BG346" t="s">
        <v>74</v>
      </c>
      <c r="BH346" t="s">
        <v>74</v>
      </c>
      <c r="BI346">
        <v>13</v>
      </c>
      <c r="BJ346" t="s">
        <v>1705</v>
      </c>
      <c r="BK346" t="s">
        <v>99</v>
      </c>
      <c r="BL346" t="s">
        <v>1705</v>
      </c>
      <c r="BM346" t="s">
        <v>7097</v>
      </c>
      <c r="BN346" t="s">
        <v>74</v>
      </c>
      <c r="BO346" t="s">
        <v>1630</v>
      </c>
      <c r="BP346" t="s">
        <v>74</v>
      </c>
      <c r="BQ346" t="s">
        <v>74</v>
      </c>
      <c r="BR346" t="s">
        <v>103</v>
      </c>
      <c r="BS346" t="s">
        <v>7098</v>
      </c>
      <c r="BT346" t="str">
        <f>HYPERLINK("https%3A%2F%2Fwww.webofscience.com%2Fwos%2Fwoscc%2Ffull-record%2FWOS:000329508900016","View Full Record in Web of Science")</f>
        <v>View Full Record in Web of Science</v>
      </c>
    </row>
    <row r="347" spans="1:72" x14ac:dyDescent="0.15">
      <c r="A347" t="s">
        <v>72</v>
      </c>
      <c r="B347" t="s">
        <v>7099</v>
      </c>
      <c r="C347" t="s">
        <v>74</v>
      </c>
      <c r="D347" t="s">
        <v>74</v>
      </c>
      <c r="E347" t="s">
        <v>74</v>
      </c>
      <c r="F347" t="s">
        <v>7100</v>
      </c>
      <c r="G347" t="s">
        <v>74</v>
      </c>
      <c r="H347" t="s">
        <v>74</v>
      </c>
      <c r="I347" t="s">
        <v>7101</v>
      </c>
      <c r="J347" t="s">
        <v>1688</v>
      </c>
      <c r="K347" t="s">
        <v>74</v>
      </c>
      <c r="L347" t="s">
        <v>74</v>
      </c>
      <c r="M347" t="s">
        <v>78</v>
      </c>
      <c r="N347" t="s">
        <v>79</v>
      </c>
      <c r="O347" t="s">
        <v>74</v>
      </c>
      <c r="P347" t="s">
        <v>74</v>
      </c>
      <c r="Q347" t="s">
        <v>74</v>
      </c>
      <c r="R347" t="s">
        <v>74</v>
      </c>
      <c r="S347" t="s">
        <v>74</v>
      </c>
      <c r="T347" t="s">
        <v>7102</v>
      </c>
      <c r="U347" t="s">
        <v>7103</v>
      </c>
      <c r="V347" t="s">
        <v>7104</v>
      </c>
      <c r="W347" t="s">
        <v>7105</v>
      </c>
      <c r="X347" t="s">
        <v>7106</v>
      </c>
      <c r="Y347" t="s">
        <v>7107</v>
      </c>
      <c r="Z347" t="s">
        <v>7108</v>
      </c>
      <c r="AA347" t="s">
        <v>7091</v>
      </c>
      <c r="AB347" t="s">
        <v>7109</v>
      </c>
      <c r="AC347" t="s">
        <v>7110</v>
      </c>
      <c r="AD347" t="s">
        <v>7111</v>
      </c>
      <c r="AE347" t="s">
        <v>7112</v>
      </c>
      <c r="AF347" t="s">
        <v>74</v>
      </c>
      <c r="AG347">
        <v>56</v>
      </c>
      <c r="AH347">
        <v>62</v>
      </c>
      <c r="AI347">
        <v>65</v>
      </c>
      <c r="AJ347">
        <v>0</v>
      </c>
      <c r="AK347">
        <v>12</v>
      </c>
      <c r="AL347" t="s">
        <v>1606</v>
      </c>
      <c r="AM347" t="s">
        <v>808</v>
      </c>
      <c r="AN347" t="s">
        <v>1607</v>
      </c>
      <c r="AO347" t="s">
        <v>1700</v>
      </c>
      <c r="AP347" t="s">
        <v>1701</v>
      </c>
      <c r="AQ347" t="s">
        <v>74</v>
      </c>
      <c r="AR347" t="s">
        <v>1702</v>
      </c>
      <c r="AS347" t="s">
        <v>1703</v>
      </c>
      <c r="AT347" t="s">
        <v>4901</v>
      </c>
      <c r="AU347">
        <v>2013</v>
      </c>
      <c r="AV347">
        <v>118</v>
      </c>
      <c r="AW347">
        <v>12</v>
      </c>
      <c r="AX347" t="s">
        <v>74</v>
      </c>
      <c r="AY347" t="s">
        <v>74</v>
      </c>
      <c r="AZ347" t="s">
        <v>74</v>
      </c>
      <c r="BA347" t="s">
        <v>74</v>
      </c>
      <c r="BB347">
        <v>7810</v>
      </c>
      <c r="BC347">
        <v>7821</v>
      </c>
      <c r="BD347" t="s">
        <v>74</v>
      </c>
      <c r="BE347" t="s">
        <v>7113</v>
      </c>
      <c r="BF347" t="str">
        <f>HYPERLINK("http://dx.doi.org/10.1002/2013JA019439","http://dx.doi.org/10.1002/2013JA019439")</f>
        <v>http://dx.doi.org/10.1002/2013JA019439</v>
      </c>
      <c r="BG347" t="s">
        <v>74</v>
      </c>
      <c r="BH347" t="s">
        <v>74</v>
      </c>
      <c r="BI347">
        <v>12</v>
      </c>
      <c r="BJ347" t="s">
        <v>1705</v>
      </c>
      <c r="BK347" t="s">
        <v>99</v>
      </c>
      <c r="BL347" t="s">
        <v>1705</v>
      </c>
      <c r="BM347" t="s">
        <v>7097</v>
      </c>
      <c r="BN347" t="s">
        <v>74</v>
      </c>
      <c r="BO347" t="s">
        <v>450</v>
      </c>
      <c r="BP347" t="s">
        <v>74</v>
      </c>
      <c r="BQ347" t="s">
        <v>74</v>
      </c>
      <c r="BR347" t="s">
        <v>103</v>
      </c>
      <c r="BS347" t="s">
        <v>7114</v>
      </c>
      <c r="BT347" t="str">
        <f>HYPERLINK("https%3A%2F%2Fwww.webofscience.com%2Fwos%2Fwoscc%2Ffull-record%2FWOS:000329508900035","View Full Record in Web of Science")</f>
        <v>View Full Record in Web of Science</v>
      </c>
    </row>
    <row r="348" spans="1:72" x14ac:dyDescent="0.15">
      <c r="A348" t="s">
        <v>72</v>
      </c>
      <c r="B348" t="s">
        <v>7115</v>
      </c>
      <c r="C348" t="s">
        <v>74</v>
      </c>
      <c r="D348" t="s">
        <v>74</v>
      </c>
      <c r="E348" t="s">
        <v>74</v>
      </c>
      <c r="F348" t="s">
        <v>7116</v>
      </c>
      <c r="G348" t="s">
        <v>74</v>
      </c>
      <c r="H348" t="s">
        <v>74</v>
      </c>
      <c r="I348" t="s">
        <v>7117</v>
      </c>
      <c r="J348" t="s">
        <v>1688</v>
      </c>
      <c r="K348" t="s">
        <v>74</v>
      </c>
      <c r="L348" t="s">
        <v>74</v>
      </c>
      <c r="M348" t="s">
        <v>78</v>
      </c>
      <c r="N348" t="s">
        <v>79</v>
      </c>
      <c r="O348" t="s">
        <v>74</v>
      </c>
      <c r="P348" t="s">
        <v>74</v>
      </c>
      <c r="Q348" t="s">
        <v>74</v>
      </c>
      <c r="R348" t="s">
        <v>74</v>
      </c>
      <c r="S348" t="s">
        <v>74</v>
      </c>
      <c r="T348" t="s">
        <v>7118</v>
      </c>
      <c r="U348" t="s">
        <v>7119</v>
      </c>
      <c r="V348" t="s">
        <v>7120</v>
      </c>
      <c r="W348" t="s">
        <v>7121</v>
      </c>
      <c r="X348" t="s">
        <v>7122</v>
      </c>
      <c r="Y348" t="s">
        <v>7123</v>
      </c>
      <c r="Z348" t="s">
        <v>7124</v>
      </c>
      <c r="AA348" t="s">
        <v>7125</v>
      </c>
      <c r="AB348" t="s">
        <v>7126</v>
      </c>
      <c r="AC348" t="s">
        <v>7127</v>
      </c>
      <c r="AD348" t="s">
        <v>7128</v>
      </c>
      <c r="AE348" t="s">
        <v>7129</v>
      </c>
      <c r="AF348" t="s">
        <v>74</v>
      </c>
      <c r="AG348">
        <v>58</v>
      </c>
      <c r="AH348">
        <v>10</v>
      </c>
      <c r="AI348">
        <v>10</v>
      </c>
      <c r="AJ348">
        <v>0</v>
      </c>
      <c r="AK348">
        <v>15</v>
      </c>
      <c r="AL348" t="s">
        <v>1606</v>
      </c>
      <c r="AM348" t="s">
        <v>808</v>
      </c>
      <c r="AN348" t="s">
        <v>1607</v>
      </c>
      <c r="AO348" t="s">
        <v>1700</v>
      </c>
      <c r="AP348" t="s">
        <v>1701</v>
      </c>
      <c r="AQ348" t="s">
        <v>74</v>
      </c>
      <c r="AR348" t="s">
        <v>1702</v>
      </c>
      <c r="AS348" t="s">
        <v>1703</v>
      </c>
      <c r="AT348" t="s">
        <v>4901</v>
      </c>
      <c r="AU348">
        <v>2013</v>
      </c>
      <c r="AV348">
        <v>118</v>
      </c>
      <c r="AW348">
        <v>12</v>
      </c>
      <c r="AX348" t="s">
        <v>74</v>
      </c>
      <c r="AY348" t="s">
        <v>74</v>
      </c>
      <c r="AZ348" t="s">
        <v>74</v>
      </c>
      <c r="BA348" t="s">
        <v>74</v>
      </c>
      <c r="BB348">
        <v>7874</v>
      </c>
      <c r="BC348">
        <v>7885</v>
      </c>
      <c r="BD348" t="s">
        <v>74</v>
      </c>
      <c r="BE348" t="s">
        <v>7130</v>
      </c>
      <c r="BF348" t="str">
        <f>HYPERLINK("http://dx.doi.org/10.1002/2013JA019056","http://dx.doi.org/10.1002/2013JA019056")</f>
        <v>http://dx.doi.org/10.1002/2013JA019056</v>
      </c>
      <c r="BG348" t="s">
        <v>74</v>
      </c>
      <c r="BH348" t="s">
        <v>74</v>
      </c>
      <c r="BI348">
        <v>12</v>
      </c>
      <c r="BJ348" t="s">
        <v>1705</v>
      </c>
      <c r="BK348" t="s">
        <v>99</v>
      </c>
      <c r="BL348" t="s">
        <v>1705</v>
      </c>
      <c r="BM348" t="s">
        <v>7097</v>
      </c>
      <c r="BN348" t="s">
        <v>74</v>
      </c>
      <c r="BO348" t="s">
        <v>1549</v>
      </c>
      <c r="BP348" t="s">
        <v>74</v>
      </c>
      <c r="BQ348" t="s">
        <v>74</v>
      </c>
      <c r="BR348" t="s">
        <v>103</v>
      </c>
      <c r="BS348" t="s">
        <v>7131</v>
      </c>
      <c r="BT348" t="str">
        <f>HYPERLINK("https%3A%2F%2Fwww.webofscience.com%2Fwos%2Fwoscc%2Ffull-record%2FWOS:000329508900041","View Full Record in Web of Science")</f>
        <v>View Full Record in Web of Science</v>
      </c>
    </row>
    <row r="349" spans="1:72" x14ac:dyDescent="0.15">
      <c r="A349" t="s">
        <v>72</v>
      </c>
      <c r="B349" t="s">
        <v>7132</v>
      </c>
      <c r="C349" t="s">
        <v>74</v>
      </c>
      <c r="D349" t="s">
        <v>74</v>
      </c>
      <c r="E349" t="s">
        <v>74</v>
      </c>
      <c r="F349" t="s">
        <v>7133</v>
      </c>
      <c r="G349" t="s">
        <v>74</v>
      </c>
      <c r="H349" t="s">
        <v>74</v>
      </c>
      <c r="I349" t="s">
        <v>7134</v>
      </c>
      <c r="J349" t="s">
        <v>5610</v>
      </c>
      <c r="K349" t="s">
        <v>74</v>
      </c>
      <c r="L349" t="s">
        <v>74</v>
      </c>
      <c r="M349" t="s">
        <v>78</v>
      </c>
      <c r="N349" t="s">
        <v>7135</v>
      </c>
      <c r="O349" t="s">
        <v>74</v>
      </c>
      <c r="P349" t="s">
        <v>74</v>
      </c>
      <c r="Q349" t="s">
        <v>74</v>
      </c>
      <c r="R349" t="s">
        <v>74</v>
      </c>
      <c r="S349" t="s">
        <v>74</v>
      </c>
      <c r="T349" t="s">
        <v>74</v>
      </c>
      <c r="U349" t="s">
        <v>74</v>
      </c>
      <c r="V349" t="s">
        <v>74</v>
      </c>
      <c r="W349" t="s">
        <v>7136</v>
      </c>
      <c r="X349" t="s">
        <v>7137</v>
      </c>
      <c r="Y349" t="s">
        <v>7138</v>
      </c>
      <c r="Z349" t="s">
        <v>7139</v>
      </c>
      <c r="AA349" t="s">
        <v>7140</v>
      </c>
      <c r="AB349" t="s">
        <v>7141</v>
      </c>
      <c r="AC349" t="s">
        <v>7142</v>
      </c>
      <c r="AD349" t="s">
        <v>1747</v>
      </c>
      <c r="AE349" t="s">
        <v>74</v>
      </c>
      <c r="AF349" t="s">
        <v>74</v>
      </c>
      <c r="AG349">
        <v>13</v>
      </c>
      <c r="AH349">
        <v>18</v>
      </c>
      <c r="AI349">
        <v>20</v>
      </c>
      <c r="AJ349">
        <v>1</v>
      </c>
      <c r="AK349">
        <v>23</v>
      </c>
      <c r="AL349" t="s">
        <v>582</v>
      </c>
      <c r="AM349" t="s">
        <v>305</v>
      </c>
      <c r="AN349" t="s">
        <v>583</v>
      </c>
      <c r="AO349" t="s">
        <v>5623</v>
      </c>
      <c r="AP349" t="s">
        <v>5624</v>
      </c>
      <c r="AQ349" t="s">
        <v>74</v>
      </c>
      <c r="AR349" t="s">
        <v>5625</v>
      </c>
      <c r="AS349" t="s">
        <v>5626</v>
      </c>
      <c r="AT349" t="s">
        <v>4901</v>
      </c>
      <c r="AU349">
        <v>2013</v>
      </c>
      <c r="AV349">
        <v>128</v>
      </c>
      <c r="AW349" t="s">
        <v>74</v>
      </c>
      <c r="AX349" t="s">
        <v>74</v>
      </c>
      <c r="AY349" t="s">
        <v>74</v>
      </c>
      <c r="AZ349" t="s">
        <v>74</v>
      </c>
      <c r="BA349" t="s">
        <v>74</v>
      </c>
      <c r="BB349">
        <v>240</v>
      </c>
      <c r="BC349">
        <v>242</v>
      </c>
      <c r="BD349" t="s">
        <v>74</v>
      </c>
      <c r="BE349" t="s">
        <v>7143</v>
      </c>
      <c r="BF349" t="str">
        <f>HYPERLINK("http://dx.doi.org/10.1016/j.jmarsys.2013.05.003","http://dx.doi.org/10.1016/j.jmarsys.2013.05.003")</f>
        <v>http://dx.doi.org/10.1016/j.jmarsys.2013.05.003</v>
      </c>
      <c r="BG349" t="s">
        <v>74</v>
      </c>
      <c r="BH349" t="s">
        <v>74</v>
      </c>
      <c r="BI349">
        <v>3</v>
      </c>
      <c r="BJ349" t="s">
        <v>5628</v>
      </c>
      <c r="BK349" t="s">
        <v>99</v>
      </c>
      <c r="BL349" t="s">
        <v>5629</v>
      </c>
      <c r="BM349" t="s">
        <v>5630</v>
      </c>
      <c r="BN349" t="s">
        <v>74</v>
      </c>
      <c r="BO349" t="s">
        <v>450</v>
      </c>
      <c r="BP349" t="s">
        <v>74</v>
      </c>
      <c r="BQ349" t="s">
        <v>74</v>
      </c>
      <c r="BR349" t="s">
        <v>103</v>
      </c>
      <c r="BS349" t="s">
        <v>7144</v>
      </c>
      <c r="BT349" t="str">
        <f>HYPERLINK("https%3A%2F%2Fwww.webofscience.com%2Fwos%2Fwoscc%2Ffull-record%2FWOS:000329010900020","View Full Record in Web of Science")</f>
        <v>View Full Record in Web of Science</v>
      </c>
    </row>
    <row r="350" spans="1:72" x14ac:dyDescent="0.15">
      <c r="A350" t="s">
        <v>72</v>
      </c>
      <c r="B350" t="s">
        <v>7145</v>
      </c>
      <c r="C350" t="s">
        <v>74</v>
      </c>
      <c r="D350" t="s">
        <v>74</v>
      </c>
      <c r="E350" t="s">
        <v>74</v>
      </c>
      <c r="F350" t="s">
        <v>7146</v>
      </c>
      <c r="G350" t="s">
        <v>74</v>
      </c>
      <c r="H350" t="s">
        <v>74</v>
      </c>
      <c r="I350" t="s">
        <v>7147</v>
      </c>
      <c r="J350" t="s">
        <v>6436</v>
      </c>
      <c r="K350" t="s">
        <v>74</v>
      </c>
      <c r="L350" t="s">
        <v>74</v>
      </c>
      <c r="M350" t="s">
        <v>78</v>
      </c>
      <c r="N350" t="s">
        <v>79</v>
      </c>
      <c r="O350" t="s">
        <v>74</v>
      </c>
      <c r="P350" t="s">
        <v>74</v>
      </c>
      <c r="Q350" t="s">
        <v>74</v>
      </c>
      <c r="R350" t="s">
        <v>74</v>
      </c>
      <c r="S350" t="s">
        <v>74</v>
      </c>
      <c r="T350" t="s">
        <v>7148</v>
      </c>
      <c r="U350" t="s">
        <v>7149</v>
      </c>
      <c r="V350" t="s">
        <v>7150</v>
      </c>
      <c r="W350" t="s">
        <v>7151</v>
      </c>
      <c r="X350" t="s">
        <v>7152</v>
      </c>
      <c r="Y350" t="s">
        <v>7153</v>
      </c>
      <c r="Z350" t="s">
        <v>7154</v>
      </c>
      <c r="AA350" t="s">
        <v>7155</v>
      </c>
      <c r="AB350" t="s">
        <v>7156</v>
      </c>
      <c r="AC350" t="s">
        <v>7157</v>
      </c>
      <c r="AD350" t="s">
        <v>7158</v>
      </c>
      <c r="AE350" t="s">
        <v>7159</v>
      </c>
      <c r="AF350" t="s">
        <v>74</v>
      </c>
      <c r="AG350">
        <v>66</v>
      </c>
      <c r="AH350">
        <v>10</v>
      </c>
      <c r="AI350">
        <v>13</v>
      </c>
      <c r="AJ350">
        <v>0</v>
      </c>
      <c r="AK350">
        <v>42</v>
      </c>
      <c r="AL350" t="s">
        <v>1067</v>
      </c>
      <c r="AM350" t="s">
        <v>1068</v>
      </c>
      <c r="AN350" t="s">
        <v>1163</v>
      </c>
      <c r="AO350" t="s">
        <v>6448</v>
      </c>
      <c r="AP350" t="s">
        <v>6449</v>
      </c>
      <c r="AQ350" t="s">
        <v>74</v>
      </c>
      <c r="AR350" t="s">
        <v>6450</v>
      </c>
      <c r="AS350" t="s">
        <v>6451</v>
      </c>
      <c r="AT350" t="s">
        <v>4901</v>
      </c>
      <c r="AU350">
        <v>2013</v>
      </c>
      <c r="AV350">
        <v>50</v>
      </c>
      <c r="AW350">
        <v>4</v>
      </c>
      <c r="AX350" t="s">
        <v>74</v>
      </c>
      <c r="AY350" t="s">
        <v>74</v>
      </c>
      <c r="AZ350" t="s">
        <v>74</v>
      </c>
      <c r="BA350" t="s">
        <v>74</v>
      </c>
      <c r="BB350">
        <v>471</v>
      </c>
      <c r="BC350">
        <v>485</v>
      </c>
      <c r="BD350" t="s">
        <v>74</v>
      </c>
      <c r="BE350" t="s">
        <v>7160</v>
      </c>
      <c r="BF350" t="str">
        <f>HYPERLINK("http://dx.doi.org/10.1007/s10933-013-9740-8","http://dx.doi.org/10.1007/s10933-013-9740-8")</f>
        <v>http://dx.doi.org/10.1007/s10933-013-9740-8</v>
      </c>
      <c r="BG350" t="s">
        <v>74</v>
      </c>
      <c r="BH350" t="s">
        <v>74</v>
      </c>
      <c r="BI350">
        <v>15</v>
      </c>
      <c r="BJ350" t="s">
        <v>6453</v>
      </c>
      <c r="BK350" t="s">
        <v>99</v>
      </c>
      <c r="BL350" t="s">
        <v>6454</v>
      </c>
      <c r="BM350" t="s">
        <v>6455</v>
      </c>
      <c r="BN350" t="s">
        <v>74</v>
      </c>
      <c r="BO350" t="s">
        <v>236</v>
      </c>
      <c r="BP350" t="s">
        <v>74</v>
      </c>
      <c r="BQ350" t="s">
        <v>74</v>
      </c>
      <c r="BR350" t="s">
        <v>103</v>
      </c>
      <c r="BS350" t="s">
        <v>7161</v>
      </c>
      <c r="BT350" t="str">
        <f>HYPERLINK("https%3A%2F%2Fwww.webofscience.com%2Fwos%2Fwoscc%2Ffull-record%2FWOS:000326622200005","View Full Record in Web of Science")</f>
        <v>View Full Record in Web of Science</v>
      </c>
    </row>
    <row r="351" spans="1:72" x14ac:dyDescent="0.15">
      <c r="A351" t="s">
        <v>72</v>
      </c>
      <c r="B351" t="s">
        <v>7162</v>
      </c>
      <c r="C351" t="s">
        <v>74</v>
      </c>
      <c r="D351" t="s">
        <v>74</v>
      </c>
      <c r="E351" t="s">
        <v>74</v>
      </c>
      <c r="F351" t="s">
        <v>7163</v>
      </c>
      <c r="G351" t="s">
        <v>74</v>
      </c>
      <c r="H351" t="s">
        <v>74</v>
      </c>
      <c r="I351" t="s">
        <v>7164</v>
      </c>
      <c r="J351" t="s">
        <v>7165</v>
      </c>
      <c r="K351" t="s">
        <v>74</v>
      </c>
      <c r="L351" t="s">
        <v>74</v>
      </c>
      <c r="M351" t="s">
        <v>78</v>
      </c>
      <c r="N351" t="s">
        <v>79</v>
      </c>
      <c r="O351" t="s">
        <v>74</v>
      </c>
      <c r="P351" t="s">
        <v>74</v>
      </c>
      <c r="Q351" t="s">
        <v>74</v>
      </c>
      <c r="R351" t="s">
        <v>74</v>
      </c>
      <c r="S351" t="s">
        <v>74</v>
      </c>
      <c r="T351" t="s">
        <v>7166</v>
      </c>
      <c r="U351" t="s">
        <v>7167</v>
      </c>
      <c r="V351" t="s">
        <v>7168</v>
      </c>
      <c r="W351" t="s">
        <v>7169</v>
      </c>
      <c r="X351" t="s">
        <v>7170</v>
      </c>
      <c r="Y351" t="s">
        <v>7171</v>
      </c>
      <c r="Z351" t="s">
        <v>7172</v>
      </c>
      <c r="AA351" t="s">
        <v>7173</v>
      </c>
      <c r="AB351" t="s">
        <v>7174</v>
      </c>
      <c r="AC351" t="s">
        <v>7175</v>
      </c>
      <c r="AD351" t="s">
        <v>7176</v>
      </c>
      <c r="AE351" t="s">
        <v>7177</v>
      </c>
      <c r="AF351" t="s">
        <v>74</v>
      </c>
      <c r="AG351">
        <v>76</v>
      </c>
      <c r="AH351">
        <v>23</v>
      </c>
      <c r="AI351">
        <v>24</v>
      </c>
      <c r="AJ351">
        <v>1</v>
      </c>
      <c r="AK351">
        <v>47</v>
      </c>
      <c r="AL351" t="s">
        <v>410</v>
      </c>
      <c r="AM351" t="s">
        <v>411</v>
      </c>
      <c r="AN351" t="s">
        <v>412</v>
      </c>
      <c r="AO351" t="s">
        <v>7178</v>
      </c>
      <c r="AP351" t="s">
        <v>7179</v>
      </c>
      <c r="AQ351" t="s">
        <v>74</v>
      </c>
      <c r="AR351" t="s">
        <v>7180</v>
      </c>
      <c r="AS351" t="s">
        <v>7181</v>
      </c>
      <c r="AT351" t="s">
        <v>4901</v>
      </c>
      <c r="AU351">
        <v>2013</v>
      </c>
      <c r="AV351">
        <v>49</v>
      </c>
      <c r="AW351">
        <v>6</v>
      </c>
      <c r="AX351" t="s">
        <v>74</v>
      </c>
      <c r="AY351" t="s">
        <v>74</v>
      </c>
      <c r="AZ351" t="s">
        <v>74</v>
      </c>
      <c r="BA351" t="s">
        <v>74</v>
      </c>
      <c r="BB351">
        <v>1142</v>
      </c>
      <c r="BC351">
        <v>1153</v>
      </c>
      <c r="BD351" t="s">
        <v>74</v>
      </c>
      <c r="BE351" t="s">
        <v>7182</v>
      </c>
      <c r="BF351" t="str">
        <f>HYPERLINK("http://dx.doi.org/10.1111/jpy.12124","http://dx.doi.org/10.1111/jpy.12124")</f>
        <v>http://dx.doi.org/10.1111/jpy.12124</v>
      </c>
      <c r="BG351" t="s">
        <v>74</v>
      </c>
      <c r="BH351" t="s">
        <v>74</v>
      </c>
      <c r="BI351">
        <v>12</v>
      </c>
      <c r="BJ351" t="s">
        <v>3161</v>
      </c>
      <c r="BK351" t="s">
        <v>99</v>
      </c>
      <c r="BL351" t="s">
        <v>3161</v>
      </c>
      <c r="BM351" t="s">
        <v>7183</v>
      </c>
      <c r="BN351">
        <v>27007634</v>
      </c>
      <c r="BO351" t="s">
        <v>74</v>
      </c>
      <c r="BP351" t="s">
        <v>74</v>
      </c>
      <c r="BQ351" t="s">
        <v>74</v>
      </c>
      <c r="BR351" t="s">
        <v>103</v>
      </c>
      <c r="BS351" t="s">
        <v>7184</v>
      </c>
      <c r="BT351" t="str">
        <f>HYPERLINK("https%3A%2F%2Fwww.webofscience.com%2Fwos%2Fwoscc%2Ffull-record%2FWOS:000328343400012","View Full Record in Web of Science")</f>
        <v>View Full Record in Web of Science</v>
      </c>
    </row>
    <row r="352" spans="1:72" x14ac:dyDescent="0.15">
      <c r="A352" t="s">
        <v>72</v>
      </c>
      <c r="B352" t="s">
        <v>7185</v>
      </c>
      <c r="C352" t="s">
        <v>74</v>
      </c>
      <c r="D352" t="s">
        <v>74</v>
      </c>
      <c r="E352" t="s">
        <v>74</v>
      </c>
      <c r="F352" t="s">
        <v>7186</v>
      </c>
      <c r="G352" t="s">
        <v>74</v>
      </c>
      <c r="H352" t="s">
        <v>74</v>
      </c>
      <c r="I352" t="s">
        <v>7187</v>
      </c>
      <c r="J352" t="s">
        <v>2067</v>
      </c>
      <c r="K352" t="s">
        <v>74</v>
      </c>
      <c r="L352" t="s">
        <v>74</v>
      </c>
      <c r="M352" t="s">
        <v>78</v>
      </c>
      <c r="N352" t="s">
        <v>79</v>
      </c>
      <c r="O352" t="s">
        <v>74</v>
      </c>
      <c r="P352" t="s">
        <v>74</v>
      </c>
      <c r="Q352" t="s">
        <v>74</v>
      </c>
      <c r="R352" t="s">
        <v>74</v>
      </c>
      <c r="S352" t="s">
        <v>74</v>
      </c>
      <c r="T352" t="s">
        <v>74</v>
      </c>
      <c r="U352" t="s">
        <v>7188</v>
      </c>
      <c r="V352" t="s">
        <v>7189</v>
      </c>
      <c r="W352" t="s">
        <v>7190</v>
      </c>
      <c r="X352" t="s">
        <v>7191</v>
      </c>
      <c r="Y352" t="s">
        <v>7192</v>
      </c>
      <c r="Z352" t="s">
        <v>7193</v>
      </c>
      <c r="AA352" t="s">
        <v>7194</v>
      </c>
      <c r="AB352" t="s">
        <v>7195</v>
      </c>
      <c r="AC352" t="s">
        <v>7196</v>
      </c>
      <c r="AD352" t="s">
        <v>7197</v>
      </c>
      <c r="AE352" t="s">
        <v>7198</v>
      </c>
      <c r="AF352" t="s">
        <v>74</v>
      </c>
      <c r="AG352">
        <v>33</v>
      </c>
      <c r="AH352">
        <v>19</v>
      </c>
      <c r="AI352">
        <v>20</v>
      </c>
      <c r="AJ352">
        <v>0</v>
      </c>
      <c r="AK352">
        <v>23</v>
      </c>
      <c r="AL352" t="s">
        <v>1495</v>
      </c>
      <c r="AM352" t="s">
        <v>1496</v>
      </c>
      <c r="AN352" t="s">
        <v>1497</v>
      </c>
      <c r="AO352" t="s">
        <v>2080</v>
      </c>
      <c r="AP352" t="s">
        <v>2081</v>
      </c>
      <c r="AQ352" t="s">
        <v>74</v>
      </c>
      <c r="AR352" t="s">
        <v>2082</v>
      </c>
      <c r="AS352" t="s">
        <v>2083</v>
      </c>
      <c r="AT352" t="s">
        <v>4901</v>
      </c>
      <c r="AU352">
        <v>2013</v>
      </c>
      <c r="AV352">
        <v>43</v>
      </c>
      <c r="AW352">
        <v>12</v>
      </c>
      <c r="AX352" t="s">
        <v>74</v>
      </c>
      <c r="AY352" t="s">
        <v>74</v>
      </c>
      <c r="AZ352" t="s">
        <v>74</v>
      </c>
      <c r="BA352" t="s">
        <v>74</v>
      </c>
      <c r="BB352">
        <v>2772</v>
      </c>
      <c r="BC352">
        <v>2784</v>
      </c>
      <c r="BD352" t="s">
        <v>74</v>
      </c>
      <c r="BE352" t="s">
        <v>7199</v>
      </c>
      <c r="BF352" t="str">
        <f>HYPERLINK("http://dx.doi.org/10.1175/JPO-D-13-091.1","http://dx.doi.org/10.1175/JPO-D-13-091.1")</f>
        <v>http://dx.doi.org/10.1175/JPO-D-13-091.1</v>
      </c>
      <c r="BG352" t="s">
        <v>74</v>
      </c>
      <c r="BH352" t="s">
        <v>74</v>
      </c>
      <c r="BI352">
        <v>13</v>
      </c>
      <c r="BJ352" t="s">
        <v>1613</v>
      </c>
      <c r="BK352" t="s">
        <v>99</v>
      </c>
      <c r="BL352" t="s">
        <v>1613</v>
      </c>
      <c r="BM352" t="s">
        <v>6028</v>
      </c>
      <c r="BN352" t="s">
        <v>74</v>
      </c>
      <c r="BO352" t="s">
        <v>1999</v>
      </c>
      <c r="BP352" t="s">
        <v>74</v>
      </c>
      <c r="BQ352" t="s">
        <v>74</v>
      </c>
      <c r="BR352" t="s">
        <v>103</v>
      </c>
      <c r="BS352" t="s">
        <v>7200</v>
      </c>
      <c r="BT352" t="str">
        <f>HYPERLINK("https%3A%2F%2Fwww.webofscience.com%2Fwos%2Fwoscc%2Ffull-record%2FWOS:000327812900017","View Full Record in Web of Science")</f>
        <v>View Full Record in Web of Science</v>
      </c>
    </row>
    <row r="353" spans="1:72" x14ac:dyDescent="0.15">
      <c r="A353" t="s">
        <v>72</v>
      </c>
      <c r="B353" t="s">
        <v>7201</v>
      </c>
      <c r="C353" t="s">
        <v>74</v>
      </c>
      <c r="D353" t="s">
        <v>74</v>
      </c>
      <c r="E353" t="s">
        <v>74</v>
      </c>
      <c r="F353" t="s">
        <v>7202</v>
      </c>
      <c r="G353" t="s">
        <v>74</v>
      </c>
      <c r="H353" t="s">
        <v>74</v>
      </c>
      <c r="I353" t="s">
        <v>7203</v>
      </c>
      <c r="J353" t="s">
        <v>7204</v>
      </c>
      <c r="K353" t="s">
        <v>74</v>
      </c>
      <c r="L353" t="s">
        <v>74</v>
      </c>
      <c r="M353" t="s">
        <v>7205</v>
      </c>
      <c r="N353" t="s">
        <v>79</v>
      </c>
      <c r="O353" t="s">
        <v>74</v>
      </c>
      <c r="P353" t="s">
        <v>74</v>
      </c>
      <c r="Q353" t="s">
        <v>74</v>
      </c>
      <c r="R353" t="s">
        <v>74</v>
      </c>
      <c r="S353" t="s">
        <v>74</v>
      </c>
      <c r="T353" t="s">
        <v>7206</v>
      </c>
      <c r="U353" t="s">
        <v>74</v>
      </c>
      <c r="V353" t="s">
        <v>7207</v>
      </c>
      <c r="W353" t="s">
        <v>7208</v>
      </c>
      <c r="X353" t="s">
        <v>4467</v>
      </c>
      <c r="Y353" t="s">
        <v>7209</v>
      </c>
      <c r="Z353" t="s">
        <v>7210</v>
      </c>
      <c r="AA353" t="s">
        <v>74</v>
      </c>
      <c r="AB353" t="s">
        <v>74</v>
      </c>
      <c r="AC353" t="s">
        <v>74</v>
      </c>
      <c r="AD353" t="s">
        <v>74</v>
      </c>
      <c r="AE353" t="s">
        <v>74</v>
      </c>
      <c r="AF353" t="s">
        <v>74</v>
      </c>
      <c r="AG353">
        <v>30</v>
      </c>
      <c r="AH353">
        <v>0</v>
      </c>
      <c r="AI353">
        <v>0</v>
      </c>
      <c r="AJ353">
        <v>0</v>
      </c>
      <c r="AK353">
        <v>0</v>
      </c>
      <c r="AL353" t="s">
        <v>7211</v>
      </c>
      <c r="AM353" t="s">
        <v>5916</v>
      </c>
      <c r="AN353" t="s">
        <v>7212</v>
      </c>
      <c r="AO353" t="s">
        <v>7213</v>
      </c>
      <c r="AP353" t="s">
        <v>7214</v>
      </c>
      <c r="AQ353" t="s">
        <v>74</v>
      </c>
      <c r="AR353" t="s">
        <v>7215</v>
      </c>
      <c r="AS353" t="s">
        <v>7216</v>
      </c>
      <c r="AT353" t="s">
        <v>4901</v>
      </c>
      <c r="AU353">
        <v>2013</v>
      </c>
      <c r="AV353">
        <v>49</v>
      </c>
      <c r="AW353">
        <v>6</v>
      </c>
      <c r="AX353" t="s">
        <v>74</v>
      </c>
      <c r="AY353" t="s">
        <v>74</v>
      </c>
      <c r="AZ353" t="s">
        <v>74</v>
      </c>
      <c r="BA353" t="s">
        <v>74</v>
      </c>
      <c r="BB353">
        <v>639</v>
      </c>
      <c r="BC353">
        <v>648</v>
      </c>
      <c r="BD353" t="s">
        <v>74</v>
      </c>
      <c r="BE353" t="s">
        <v>7217</v>
      </c>
      <c r="BF353" t="str">
        <f>HYPERLINK("http://dx.doi.org/10.14770/jgsk.2013.49.6.639","http://dx.doi.org/10.14770/jgsk.2013.49.6.639")</f>
        <v>http://dx.doi.org/10.14770/jgsk.2013.49.6.639</v>
      </c>
      <c r="BG353" t="s">
        <v>74</v>
      </c>
      <c r="BH353" t="s">
        <v>74</v>
      </c>
      <c r="BI353">
        <v>10</v>
      </c>
      <c r="BJ353" t="s">
        <v>337</v>
      </c>
      <c r="BK353" t="s">
        <v>494</v>
      </c>
      <c r="BL353" t="s">
        <v>338</v>
      </c>
      <c r="BM353" t="s">
        <v>7218</v>
      </c>
      <c r="BN353" t="s">
        <v>74</v>
      </c>
      <c r="BO353" t="s">
        <v>74</v>
      </c>
      <c r="BP353" t="s">
        <v>74</v>
      </c>
      <c r="BQ353" t="s">
        <v>74</v>
      </c>
      <c r="BR353" t="s">
        <v>103</v>
      </c>
      <c r="BS353" t="s">
        <v>7219</v>
      </c>
      <c r="BT353" t="str">
        <f>HYPERLINK("https%3A%2F%2Fwww.webofscience.com%2Fwos%2Fwoscc%2Ffull-record%2FWOS:000454029100003","View Full Record in Web of Science")</f>
        <v>View Full Record in Web of Science</v>
      </c>
    </row>
    <row r="354" spans="1:72" x14ac:dyDescent="0.15">
      <c r="A354" t="s">
        <v>72</v>
      </c>
      <c r="B354" t="s">
        <v>7220</v>
      </c>
      <c r="C354" t="s">
        <v>74</v>
      </c>
      <c r="D354" t="s">
        <v>74</v>
      </c>
      <c r="E354" t="s">
        <v>74</v>
      </c>
      <c r="F354" t="s">
        <v>7221</v>
      </c>
      <c r="G354" t="s">
        <v>74</v>
      </c>
      <c r="H354" t="s">
        <v>74</v>
      </c>
      <c r="I354" t="s">
        <v>7222</v>
      </c>
      <c r="J354" t="s">
        <v>7223</v>
      </c>
      <c r="K354" t="s">
        <v>74</v>
      </c>
      <c r="L354" t="s">
        <v>74</v>
      </c>
      <c r="M354" t="s">
        <v>78</v>
      </c>
      <c r="N354" t="s">
        <v>79</v>
      </c>
      <c r="O354" t="s">
        <v>74</v>
      </c>
      <c r="P354" t="s">
        <v>74</v>
      </c>
      <c r="Q354" t="s">
        <v>74</v>
      </c>
      <c r="R354" t="s">
        <v>74</v>
      </c>
      <c r="S354" t="s">
        <v>74</v>
      </c>
      <c r="T354" t="s">
        <v>7224</v>
      </c>
      <c r="U354" t="s">
        <v>7225</v>
      </c>
      <c r="V354" t="s">
        <v>7226</v>
      </c>
      <c r="W354" t="s">
        <v>7227</v>
      </c>
      <c r="X354" t="s">
        <v>7228</v>
      </c>
      <c r="Y354" t="s">
        <v>7229</v>
      </c>
      <c r="Z354" t="s">
        <v>7230</v>
      </c>
      <c r="AA354" t="s">
        <v>7231</v>
      </c>
      <c r="AB354" t="s">
        <v>7232</v>
      </c>
      <c r="AC354" t="s">
        <v>7233</v>
      </c>
      <c r="AD354" t="s">
        <v>1747</v>
      </c>
      <c r="AE354" t="s">
        <v>74</v>
      </c>
      <c r="AF354" t="s">
        <v>74</v>
      </c>
      <c r="AG354">
        <v>17</v>
      </c>
      <c r="AH354">
        <v>31</v>
      </c>
      <c r="AI354">
        <v>32</v>
      </c>
      <c r="AJ354">
        <v>0</v>
      </c>
      <c r="AK354">
        <v>11</v>
      </c>
      <c r="AL354" t="s">
        <v>6098</v>
      </c>
      <c r="AM354" t="s">
        <v>6099</v>
      </c>
      <c r="AN354" t="s">
        <v>6100</v>
      </c>
      <c r="AO354" t="s">
        <v>7234</v>
      </c>
      <c r="AP354" t="s">
        <v>7235</v>
      </c>
      <c r="AQ354" t="s">
        <v>74</v>
      </c>
      <c r="AR354" t="s">
        <v>7236</v>
      </c>
      <c r="AS354" t="s">
        <v>7237</v>
      </c>
      <c r="AT354" t="s">
        <v>4901</v>
      </c>
      <c r="AU354">
        <v>2013</v>
      </c>
      <c r="AV354">
        <v>43</v>
      </c>
      <c r="AW354">
        <v>4</v>
      </c>
      <c r="AX354" t="s">
        <v>74</v>
      </c>
      <c r="AY354" t="s">
        <v>74</v>
      </c>
      <c r="AZ354" t="s">
        <v>74</v>
      </c>
      <c r="BA354" t="s">
        <v>74</v>
      </c>
      <c r="BB354">
        <v>481</v>
      </c>
      <c r="BC354">
        <v>487</v>
      </c>
      <c r="BD354" t="s">
        <v>74</v>
      </c>
      <c r="BE354" t="s">
        <v>7238</v>
      </c>
      <c r="BF354" t="str">
        <f>HYPERLINK("http://dx.doi.org/10.1007/s12526-013-0152-9","http://dx.doi.org/10.1007/s12526-013-0152-9")</f>
        <v>http://dx.doi.org/10.1007/s12526-013-0152-9</v>
      </c>
      <c r="BG354" t="s">
        <v>74</v>
      </c>
      <c r="BH354" t="s">
        <v>74</v>
      </c>
      <c r="BI354">
        <v>7</v>
      </c>
      <c r="BJ354" t="s">
        <v>7239</v>
      </c>
      <c r="BK354" t="s">
        <v>99</v>
      </c>
      <c r="BL354" t="s">
        <v>7240</v>
      </c>
      <c r="BM354" t="s">
        <v>7241</v>
      </c>
      <c r="BN354" t="s">
        <v>74</v>
      </c>
      <c r="BO354" t="s">
        <v>450</v>
      </c>
      <c r="BP354" t="s">
        <v>74</v>
      </c>
      <c r="BQ354" t="s">
        <v>74</v>
      </c>
      <c r="BR354" t="s">
        <v>103</v>
      </c>
      <c r="BS354" t="s">
        <v>7242</v>
      </c>
      <c r="BT354" t="str">
        <f>HYPERLINK("https%3A%2F%2Fwww.webofscience.com%2Fwos%2Fwoscc%2Ffull-record%2FWOS:000325820500020","View Full Record in Web of Science")</f>
        <v>View Full Record in Web of Science</v>
      </c>
    </row>
    <row r="355" spans="1:72" x14ac:dyDescent="0.15">
      <c r="A355" t="s">
        <v>72</v>
      </c>
      <c r="B355" t="s">
        <v>7243</v>
      </c>
      <c r="C355" t="s">
        <v>74</v>
      </c>
      <c r="D355" t="s">
        <v>74</v>
      </c>
      <c r="E355" t="s">
        <v>74</v>
      </c>
      <c r="F355" t="s">
        <v>7244</v>
      </c>
      <c r="G355" t="s">
        <v>74</v>
      </c>
      <c r="H355" t="s">
        <v>74</v>
      </c>
      <c r="I355" t="s">
        <v>7245</v>
      </c>
      <c r="J355" t="s">
        <v>7246</v>
      </c>
      <c r="K355" t="s">
        <v>74</v>
      </c>
      <c r="L355" t="s">
        <v>74</v>
      </c>
      <c r="M355" t="s">
        <v>78</v>
      </c>
      <c r="N355" t="s">
        <v>79</v>
      </c>
      <c r="O355" t="s">
        <v>74</v>
      </c>
      <c r="P355" t="s">
        <v>74</v>
      </c>
      <c r="Q355" t="s">
        <v>74</v>
      </c>
      <c r="R355" t="s">
        <v>74</v>
      </c>
      <c r="S355" t="s">
        <v>74</v>
      </c>
      <c r="T355" t="s">
        <v>7247</v>
      </c>
      <c r="U355" t="s">
        <v>7248</v>
      </c>
      <c r="V355" t="s">
        <v>7249</v>
      </c>
      <c r="W355" t="s">
        <v>7250</v>
      </c>
      <c r="X355" t="s">
        <v>111</v>
      </c>
      <c r="Y355" t="s">
        <v>7251</v>
      </c>
      <c r="Z355" t="s">
        <v>7252</v>
      </c>
      <c r="AA355" t="s">
        <v>7253</v>
      </c>
      <c r="AB355" t="s">
        <v>7254</v>
      </c>
      <c r="AC355" t="s">
        <v>74</v>
      </c>
      <c r="AD355" t="s">
        <v>74</v>
      </c>
      <c r="AE355" t="s">
        <v>74</v>
      </c>
      <c r="AF355" t="s">
        <v>74</v>
      </c>
      <c r="AG355">
        <v>33</v>
      </c>
      <c r="AH355">
        <v>8</v>
      </c>
      <c r="AI355">
        <v>8</v>
      </c>
      <c r="AJ355">
        <v>0</v>
      </c>
      <c r="AK355">
        <v>13</v>
      </c>
      <c r="AL355" t="s">
        <v>7255</v>
      </c>
      <c r="AM355" t="s">
        <v>7256</v>
      </c>
      <c r="AN355" t="s">
        <v>7257</v>
      </c>
      <c r="AO355" t="s">
        <v>7258</v>
      </c>
      <c r="AP355" t="s">
        <v>7259</v>
      </c>
      <c r="AQ355" t="s">
        <v>74</v>
      </c>
      <c r="AR355" t="s">
        <v>7260</v>
      </c>
      <c r="AS355" t="s">
        <v>7261</v>
      </c>
      <c r="AT355" t="s">
        <v>4901</v>
      </c>
      <c r="AU355">
        <v>2013</v>
      </c>
      <c r="AV355">
        <v>22</v>
      </c>
      <c r="AW355">
        <v>6</v>
      </c>
      <c r="AX355" t="s">
        <v>74</v>
      </c>
      <c r="AY355" t="s">
        <v>74</v>
      </c>
      <c r="AZ355" t="s">
        <v>74</v>
      </c>
      <c r="BA355" t="s">
        <v>74</v>
      </c>
      <c r="BB355">
        <v>699</v>
      </c>
      <c r="BC355">
        <v>709</v>
      </c>
      <c r="BD355" t="s">
        <v>74</v>
      </c>
      <c r="BE355" t="s">
        <v>7262</v>
      </c>
      <c r="BF355" t="str">
        <f>HYPERLINK("http://dx.doi.org/10.1127/0941-2948/2013/0505","http://dx.doi.org/10.1127/0941-2948/2013/0505")</f>
        <v>http://dx.doi.org/10.1127/0941-2948/2013/0505</v>
      </c>
      <c r="BG355" t="s">
        <v>74</v>
      </c>
      <c r="BH355" t="s">
        <v>74</v>
      </c>
      <c r="BI355">
        <v>11</v>
      </c>
      <c r="BJ355" t="s">
        <v>1503</v>
      </c>
      <c r="BK355" t="s">
        <v>99</v>
      </c>
      <c r="BL355" t="s">
        <v>1503</v>
      </c>
      <c r="BM355" t="s">
        <v>7263</v>
      </c>
      <c r="BN355" t="s">
        <v>74</v>
      </c>
      <c r="BO355" t="s">
        <v>831</v>
      </c>
      <c r="BP355" t="s">
        <v>74</v>
      </c>
      <c r="BQ355" t="s">
        <v>74</v>
      </c>
      <c r="BR355" t="s">
        <v>103</v>
      </c>
      <c r="BS355" t="s">
        <v>7264</v>
      </c>
      <c r="BT355" t="str">
        <f>HYPERLINK("https%3A%2F%2Fwww.webofscience.com%2Fwos%2Fwoscc%2Ffull-record%2FWOS:000333177800007","View Full Record in Web of Science")</f>
        <v>View Full Record in Web of Science</v>
      </c>
    </row>
    <row r="356" spans="1:72" x14ac:dyDescent="0.15">
      <c r="A356" t="s">
        <v>72</v>
      </c>
      <c r="B356" t="s">
        <v>7265</v>
      </c>
      <c r="C356" t="s">
        <v>74</v>
      </c>
      <c r="D356" t="s">
        <v>74</v>
      </c>
      <c r="E356" t="s">
        <v>74</v>
      </c>
      <c r="F356" t="s">
        <v>7266</v>
      </c>
      <c r="G356" t="s">
        <v>74</v>
      </c>
      <c r="H356" t="s">
        <v>74</v>
      </c>
      <c r="I356" t="s">
        <v>7267</v>
      </c>
      <c r="J356" t="s">
        <v>2637</v>
      </c>
      <c r="K356" t="s">
        <v>74</v>
      </c>
      <c r="L356" t="s">
        <v>74</v>
      </c>
      <c r="M356" t="s">
        <v>78</v>
      </c>
      <c r="N356" t="s">
        <v>79</v>
      </c>
      <c r="O356" t="s">
        <v>74</v>
      </c>
      <c r="P356" t="s">
        <v>74</v>
      </c>
      <c r="Q356" t="s">
        <v>74</v>
      </c>
      <c r="R356" t="s">
        <v>74</v>
      </c>
      <c r="S356" t="s">
        <v>74</v>
      </c>
      <c r="T356" t="s">
        <v>74</v>
      </c>
      <c r="U356" t="s">
        <v>7268</v>
      </c>
      <c r="V356" t="s">
        <v>7269</v>
      </c>
      <c r="W356" t="s">
        <v>7270</v>
      </c>
      <c r="X356" t="s">
        <v>7271</v>
      </c>
      <c r="Y356" t="s">
        <v>7272</v>
      </c>
      <c r="Z356" t="s">
        <v>7273</v>
      </c>
      <c r="AA356" t="s">
        <v>7274</v>
      </c>
      <c r="AB356" t="s">
        <v>7275</v>
      </c>
      <c r="AC356" t="s">
        <v>7276</v>
      </c>
      <c r="AD356" t="s">
        <v>7277</v>
      </c>
      <c r="AE356" t="s">
        <v>7278</v>
      </c>
      <c r="AF356" t="s">
        <v>74</v>
      </c>
      <c r="AG356">
        <v>58</v>
      </c>
      <c r="AH356">
        <v>70</v>
      </c>
      <c r="AI356">
        <v>79</v>
      </c>
      <c r="AJ356">
        <v>0</v>
      </c>
      <c r="AK356">
        <v>26</v>
      </c>
      <c r="AL356" t="s">
        <v>1371</v>
      </c>
      <c r="AM356" t="s">
        <v>849</v>
      </c>
      <c r="AN356" t="s">
        <v>1372</v>
      </c>
      <c r="AO356" t="s">
        <v>2648</v>
      </c>
      <c r="AP356" t="s">
        <v>74</v>
      </c>
      <c r="AQ356" t="s">
        <v>74</v>
      </c>
      <c r="AR356" t="s">
        <v>2649</v>
      </c>
      <c r="AS356" t="s">
        <v>2650</v>
      </c>
      <c r="AT356" t="s">
        <v>4901</v>
      </c>
      <c r="AU356">
        <v>2013</v>
      </c>
      <c r="AV356">
        <v>4</v>
      </c>
      <c r="AW356" t="s">
        <v>74</v>
      </c>
      <c r="AX356" t="s">
        <v>74</v>
      </c>
      <c r="AY356" t="s">
        <v>74</v>
      </c>
      <c r="AZ356" t="s">
        <v>74</v>
      </c>
      <c r="BA356" t="s">
        <v>74</v>
      </c>
      <c r="BB356" t="s">
        <v>74</v>
      </c>
      <c r="BC356" t="s">
        <v>74</v>
      </c>
      <c r="BD356">
        <v>2857</v>
      </c>
      <c r="BE356" t="s">
        <v>7279</v>
      </c>
      <c r="BF356" t="str">
        <f>HYPERLINK("http://dx.doi.org/10.1038/ncomms3857","http://dx.doi.org/10.1038/ncomms3857")</f>
        <v>http://dx.doi.org/10.1038/ncomms3857</v>
      </c>
      <c r="BG356" t="s">
        <v>74</v>
      </c>
      <c r="BH356" t="s">
        <v>74</v>
      </c>
      <c r="BI356">
        <v>9</v>
      </c>
      <c r="BJ356" t="s">
        <v>2652</v>
      </c>
      <c r="BK356" t="s">
        <v>99</v>
      </c>
      <c r="BL356" t="s">
        <v>2653</v>
      </c>
      <c r="BM356" t="s">
        <v>7280</v>
      </c>
      <c r="BN356">
        <v>24305466</v>
      </c>
      <c r="BO356" t="s">
        <v>1381</v>
      </c>
      <c r="BP356" t="s">
        <v>74</v>
      </c>
      <c r="BQ356" t="s">
        <v>74</v>
      </c>
      <c r="BR356" t="s">
        <v>103</v>
      </c>
      <c r="BS356" t="s">
        <v>7281</v>
      </c>
      <c r="BT356" t="str">
        <f>HYPERLINK("https%3A%2F%2Fwww.webofscience.com%2Fwos%2Fwoscc%2Ffull-record%2FWOS:000329393800004","View Full Record in Web of Science")</f>
        <v>View Full Record in Web of Science</v>
      </c>
    </row>
    <row r="357" spans="1:72" x14ac:dyDescent="0.15">
      <c r="A357" t="s">
        <v>72</v>
      </c>
      <c r="B357" t="s">
        <v>7282</v>
      </c>
      <c r="C357" t="s">
        <v>74</v>
      </c>
      <c r="D357" t="s">
        <v>74</v>
      </c>
      <c r="E357" t="s">
        <v>74</v>
      </c>
      <c r="F357" t="s">
        <v>7283</v>
      </c>
      <c r="G357" t="s">
        <v>74</v>
      </c>
      <c r="H357" t="s">
        <v>74</v>
      </c>
      <c r="I357" t="s">
        <v>7284</v>
      </c>
      <c r="J357" t="s">
        <v>6033</v>
      </c>
      <c r="K357" t="s">
        <v>74</v>
      </c>
      <c r="L357" t="s">
        <v>74</v>
      </c>
      <c r="M357" t="s">
        <v>78</v>
      </c>
      <c r="N357" t="s">
        <v>79</v>
      </c>
      <c r="O357" t="s">
        <v>74</v>
      </c>
      <c r="P357" t="s">
        <v>74</v>
      </c>
      <c r="Q357" t="s">
        <v>74</v>
      </c>
      <c r="R357" t="s">
        <v>74</v>
      </c>
      <c r="S357" t="s">
        <v>74</v>
      </c>
      <c r="T357" t="s">
        <v>74</v>
      </c>
      <c r="U357" t="s">
        <v>7285</v>
      </c>
      <c r="V357" t="s">
        <v>7286</v>
      </c>
      <c r="W357" t="s">
        <v>7287</v>
      </c>
      <c r="X357" t="s">
        <v>7288</v>
      </c>
      <c r="Y357" t="s">
        <v>7289</v>
      </c>
      <c r="Z357" t="s">
        <v>7290</v>
      </c>
      <c r="AA357" t="s">
        <v>7291</v>
      </c>
      <c r="AB357" t="s">
        <v>7292</v>
      </c>
      <c r="AC357" t="s">
        <v>7293</v>
      </c>
      <c r="AD357" t="s">
        <v>7294</v>
      </c>
      <c r="AE357" t="s">
        <v>7295</v>
      </c>
      <c r="AF357" t="s">
        <v>74</v>
      </c>
      <c r="AG357">
        <v>37</v>
      </c>
      <c r="AH357">
        <v>38</v>
      </c>
      <c r="AI357">
        <v>43</v>
      </c>
      <c r="AJ357">
        <v>1</v>
      </c>
      <c r="AK357">
        <v>74</v>
      </c>
      <c r="AL357" t="s">
        <v>1371</v>
      </c>
      <c r="AM357" t="s">
        <v>921</v>
      </c>
      <c r="AN357" t="s">
        <v>6039</v>
      </c>
      <c r="AO357" t="s">
        <v>6040</v>
      </c>
      <c r="AP357" t="s">
        <v>6041</v>
      </c>
      <c r="AQ357" t="s">
        <v>74</v>
      </c>
      <c r="AR357" t="s">
        <v>6042</v>
      </c>
      <c r="AS357" t="s">
        <v>6043</v>
      </c>
      <c r="AT357" t="s">
        <v>4901</v>
      </c>
      <c r="AU357">
        <v>2013</v>
      </c>
      <c r="AV357">
        <v>6</v>
      </c>
      <c r="AW357">
        <v>12</v>
      </c>
      <c r="AX357" t="s">
        <v>74</v>
      </c>
      <c r="AY357" t="s">
        <v>74</v>
      </c>
      <c r="AZ357" t="s">
        <v>74</v>
      </c>
      <c r="BA357" t="s">
        <v>74</v>
      </c>
      <c r="BB357">
        <v>1062</v>
      </c>
      <c r="BC357">
        <v>1065</v>
      </c>
      <c r="BD357" t="s">
        <v>74</v>
      </c>
      <c r="BE357" t="s">
        <v>7296</v>
      </c>
      <c r="BF357" t="str">
        <f>HYPERLINK("http://dx.doi.org/10.1038/NGEO1985","http://dx.doi.org/10.1038/NGEO1985")</f>
        <v>http://dx.doi.org/10.1038/NGEO1985</v>
      </c>
      <c r="BG357" t="s">
        <v>74</v>
      </c>
      <c r="BH357" t="s">
        <v>74</v>
      </c>
      <c r="BI357">
        <v>4</v>
      </c>
      <c r="BJ357" t="s">
        <v>337</v>
      </c>
      <c r="BK357" t="s">
        <v>99</v>
      </c>
      <c r="BL357" t="s">
        <v>338</v>
      </c>
      <c r="BM357" t="s">
        <v>6045</v>
      </c>
      <c r="BN357" t="s">
        <v>74</v>
      </c>
      <c r="BO357" t="s">
        <v>450</v>
      </c>
      <c r="BP357" t="s">
        <v>74</v>
      </c>
      <c r="BQ357" t="s">
        <v>74</v>
      </c>
      <c r="BR357" t="s">
        <v>103</v>
      </c>
      <c r="BS357" t="s">
        <v>7297</v>
      </c>
      <c r="BT357" t="str">
        <f>HYPERLINK("https%3A%2F%2Fwww.webofscience.com%2Fwos%2Fwoscc%2Ffull-record%2FWOS:000327799500022","View Full Record in Web of Science")</f>
        <v>View Full Record in Web of Science</v>
      </c>
    </row>
    <row r="358" spans="1:72" x14ac:dyDescent="0.15">
      <c r="A358" t="s">
        <v>72</v>
      </c>
      <c r="B358" t="s">
        <v>7298</v>
      </c>
      <c r="C358" t="s">
        <v>74</v>
      </c>
      <c r="D358" t="s">
        <v>74</v>
      </c>
      <c r="E358" t="s">
        <v>74</v>
      </c>
      <c r="F358" t="s">
        <v>7299</v>
      </c>
      <c r="G358" t="s">
        <v>74</v>
      </c>
      <c r="H358" t="s">
        <v>74</v>
      </c>
      <c r="I358" t="s">
        <v>7300</v>
      </c>
      <c r="J358" t="s">
        <v>7301</v>
      </c>
      <c r="K358" t="s">
        <v>74</v>
      </c>
      <c r="L358" t="s">
        <v>74</v>
      </c>
      <c r="M358" t="s">
        <v>78</v>
      </c>
      <c r="N358" t="s">
        <v>79</v>
      </c>
      <c r="O358" t="s">
        <v>74</v>
      </c>
      <c r="P358" t="s">
        <v>74</v>
      </c>
      <c r="Q358" t="s">
        <v>74</v>
      </c>
      <c r="R358" t="s">
        <v>74</v>
      </c>
      <c r="S358" t="s">
        <v>74</v>
      </c>
      <c r="T358" t="s">
        <v>74</v>
      </c>
      <c r="U358" t="s">
        <v>74</v>
      </c>
      <c r="V358" t="s">
        <v>7302</v>
      </c>
      <c r="W358" t="s">
        <v>7303</v>
      </c>
      <c r="X358" t="s">
        <v>7304</v>
      </c>
      <c r="Y358" t="s">
        <v>7305</v>
      </c>
      <c r="Z358" t="s">
        <v>7306</v>
      </c>
      <c r="AA358" t="s">
        <v>74</v>
      </c>
      <c r="AB358" t="s">
        <v>7307</v>
      </c>
      <c r="AC358" t="s">
        <v>74</v>
      </c>
      <c r="AD358" t="s">
        <v>74</v>
      </c>
      <c r="AE358" t="s">
        <v>74</v>
      </c>
      <c r="AF358" t="s">
        <v>74</v>
      </c>
      <c r="AG358">
        <v>5</v>
      </c>
      <c r="AH358">
        <v>8</v>
      </c>
      <c r="AI358">
        <v>8</v>
      </c>
      <c r="AJ358">
        <v>0</v>
      </c>
      <c r="AK358">
        <v>0</v>
      </c>
      <c r="AL358" t="s">
        <v>5762</v>
      </c>
      <c r="AM358" t="s">
        <v>5763</v>
      </c>
      <c r="AN358" t="s">
        <v>5764</v>
      </c>
      <c r="AO358" t="s">
        <v>7308</v>
      </c>
      <c r="AP358" t="s">
        <v>7309</v>
      </c>
      <c r="AQ358" t="s">
        <v>74</v>
      </c>
      <c r="AR358" t="s">
        <v>7301</v>
      </c>
      <c r="AS358" t="s">
        <v>7310</v>
      </c>
      <c r="AT358" t="s">
        <v>4901</v>
      </c>
      <c r="AU358">
        <v>2013</v>
      </c>
      <c r="AV358">
        <v>1</v>
      </c>
      <c r="AW358">
        <v>4</v>
      </c>
      <c r="AX358" t="s">
        <v>74</v>
      </c>
      <c r="AY358" t="s">
        <v>74</v>
      </c>
      <c r="AZ358" t="s">
        <v>74</v>
      </c>
      <c r="BA358" t="s">
        <v>74</v>
      </c>
      <c r="BB358">
        <v>162</v>
      </c>
      <c r="BC358">
        <v>166</v>
      </c>
      <c r="BD358" t="s">
        <v>74</v>
      </c>
      <c r="BE358" t="s">
        <v>7311</v>
      </c>
      <c r="BF358" t="str">
        <f>HYPERLINK("http://dx.doi.org/10.1089/space.2013.0018","http://dx.doi.org/10.1089/space.2013.0018")</f>
        <v>http://dx.doi.org/10.1089/space.2013.0018</v>
      </c>
      <c r="BG358" t="s">
        <v>74</v>
      </c>
      <c r="BH358" t="s">
        <v>74</v>
      </c>
      <c r="BI358">
        <v>5</v>
      </c>
      <c r="BJ358" t="s">
        <v>4043</v>
      </c>
      <c r="BK358" t="s">
        <v>494</v>
      </c>
      <c r="BL358" t="s">
        <v>4044</v>
      </c>
      <c r="BM358" t="s">
        <v>7312</v>
      </c>
      <c r="BN358" t="s">
        <v>74</v>
      </c>
      <c r="BO358" t="s">
        <v>74</v>
      </c>
      <c r="BP358" t="s">
        <v>74</v>
      </c>
      <c r="BQ358" t="s">
        <v>74</v>
      </c>
      <c r="BR358" t="s">
        <v>103</v>
      </c>
      <c r="BS358" t="s">
        <v>7313</v>
      </c>
      <c r="BT358" t="str">
        <f>HYPERLINK("https%3A%2F%2Fwww.webofscience.com%2Fwos%2Fwoscc%2Ffull-record%2FWOS:000217506600005","View Full Record in Web of Science")</f>
        <v>View Full Record in Web of Science</v>
      </c>
    </row>
    <row r="359" spans="1:72" x14ac:dyDescent="0.15">
      <c r="A359" t="s">
        <v>72</v>
      </c>
      <c r="B359" t="s">
        <v>7314</v>
      </c>
      <c r="C359" t="s">
        <v>74</v>
      </c>
      <c r="D359" t="s">
        <v>74</v>
      </c>
      <c r="E359" t="s">
        <v>74</v>
      </c>
      <c r="F359" t="s">
        <v>7315</v>
      </c>
      <c r="G359" t="s">
        <v>74</v>
      </c>
      <c r="H359" t="s">
        <v>74</v>
      </c>
      <c r="I359" t="s">
        <v>7316</v>
      </c>
      <c r="J359" t="s">
        <v>2829</v>
      </c>
      <c r="K359" t="s">
        <v>74</v>
      </c>
      <c r="L359" t="s">
        <v>74</v>
      </c>
      <c r="M359" t="s">
        <v>78</v>
      </c>
      <c r="N359" t="s">
        <v>79</v>
      </c>
      <c r="O359" t="s">
        <v>74</v>
      </c>
      <c r="P359" t="s">
        <v>74</v>
      </c>
      <c r="Q359" t="s">
        <v>74</v>
      </c>
      <c r="R359" t="s">
        <v>74</v>
      </c>
      <c r="S359" t="s">
        <v>74</v>
      </c>
      <c r="T359" t="s">
        <v>74</v>
      </c>
      <c r="U359" t="s">
        <v>7317</v>
      </c>
      <c r="V359" t="s">
        <v>7318</v>
      </c>
      <c r="W359" t="s">
        <v>7319</v>
      </c>
      <c r="X359" t="s">
        <v>7320</v>
      </c>
      <c r="Y359" t="s">
        <v>7321</v>
      </c>
      <c r="Z359" t="s">
        <v>7322</v>
      </c>
      <c r="AA359" t="s">
        <v>7323</v>
      </c>
      <c r="AB359" t="s">
        <v>7324</v>
      </c>
      <c r="AC359" t="s">
        <v>7325</v>
      </c>
      <c r="AD359" t="s">
        <v>7326</v>
      </c>
      <c r="AE359" t="s">
        <v>7327</v>
      </c>
      <c r="AF359" t="s">
        <v>74</v>
      </c>
      <c r="AG359">
        <v>105</v>
      </c>
      <c r="AH359">
        <v>72</v>
      </c>
      <c r="AI359">
        <v>76</v>
      </c>
      <c r="AJ359">
        <v>0</v>
      </c>
      <c r="AK359">
        <v>39</v>
      </c>
      <c r="AL359" t="s">
        <v>783</v>
      </c>
      <c r="AM359" t="s">
        <v>252</v>
      </c>
      <c r="AN359" t="s">
        <v>784</v>
      </c>
      <c r="AO359" t="s">
        <v>2836</v>
      </c>
      <c r="AP359" t="s">
        <v>2837</v>
      </c>
      <c r="AQ359" t="s">
        <v>74</v>
      </c>
      <c r="AR359" t="s">
        <v>2838</v>
      </c>
      <c r="AS359" t="s">
        <v>2839</v>
      </c>
      <c r="AT359" t="s">
        <v>4901</v>
      </c>
      <c r="AU359">
        <v>2013</v>
      </c>
      <c r="AV359">
        <v>86</v>
      </c>
      <c r="AW359" t="s">
        <v>74</v>
      </c>
      <c r="AX359" t="s">
        <v>74</v>
      </c>
      <c r="AY359" t="s">
        <v>74</v>
      </c>
      <c r="AZ359" t="s">
        <v>74</v>
      </c>
      <c r="BA359" t="s">
        <v>74</v>
      </c>
      <c r="BB359">
        <v>88</v>
      </c>
      <c r="BC359">
        <v>99</v>
      </c>
      <c r="BD359" t="s">
        <v>74</v>
      </c>
      <c r="BE359" t="s">
        <v>7328</v>
      </c>
      <c r="BF359" t="str">
        <f>HYPERLINK("http://dx.doi.org/10.1016/j.ocecoaman.2013.02.009","http://dx.doi.org/10.1016/j.ocecoaman.2013.02.009")</f>
        <v>http://dx.doi.org/10.1016/j.ocecoaman.2013.02.009</v>
      </c>
      <c r="BG359" t="s">
        <v>74</v>
      </c>
      <c r="BH359" t="s">
        <v>74</v>
      </c>
      <c r="BI359">
        <v>12</v>
      </c>
      <c r="BJ359" t="s">
        <v>2841</v>
      </c>
      <c r="BK359" t="s">
        <v>3932</v>
      </c>
      <c r="BL359" t="s">
        <v>2841</v>
      </c>
      <c r="BM359" t="s">
        <v>7329</v>
      </c>
      <c r="BN359" t="s">
        <v>74</v>
      </c>
      <c r="BO359" t="s">
        <v>1145</v>
      </c>
      <c r="BP359" t="s">
        <v>74</v>
      </c>
      <c r="BQ359" t="s">
        <v>74</v>
      </c>
      <c r="BR359" t="s">
        <v>103</v>
      </c>
      <c r="BS359" t="s">
        <v>7330</v>
      </c>
      <c r="BT359" t="str">
        <f>HYPERLINK("https%3A%2F%2Fwww.webofscience.com%2Fwos%2Fwoscc%2Ffull-record%2FWOS:000329552800011","View Full Record in Web of Science")</f>
        <v>View Full Record in Web of Science</v>
      </c>
    </row>
    <row r="360" spans="1:72" x14ac:dyDescent="0.15">
      <c r="A360" t="s">
        <v>72</v>
      </c>
      <c r="B360" t="s">
        <v>7331</v>
      </c>
      <c r="C360" t="s">
        <v>74</v>
      </c>
      <c r="D360" t="s">
        <v>74</v>
      </c>
      <c r="E360" t="s">
        <v>74</v>
      </c>
      <c r="F360" t="s">
        <v>7332</v>
      </c>
      <c r="G360" t="s">
        <v>74</v>
      </c>
      <c r="H360" t="s">
        <v>74</v>
      </c>
      <c r="I360" t="s">
        <v>7333</v>
      </c>
      <c r="J360" t="s">
        <v>6066</v>
      </c>
      <c r="K360" t="s">
        <v>74</v>
      </c>
      <c r="L360" t="s">
        <v>74</v>
      </c>
      <c r="M360" t="s">
        <v>78</v>
      </c>
      <c r="N360" t="s">
        <v>79</v>
      </c>
      <c r="O360" t="s">
        <v>74</v>
      </c>
      <c r="P360" t="s">
        <v>74</v>
      </c>
      <c r="Q360" t="s">
        <v>74</v>
      </c>
      <c r="R360" t="s">
        <v>74</v>
      </c>
      <c r="S360" t="s">
        <v>74</v>
      </c>
      <c r="T360" t="s">
        <v>7334</v>
      </c>
      <c r="U360" t="s">
        <v>7335</v>
      </c>
      <c r="V360" t="s">
        <v>7336</v>
      </c>
      <c r="W360" t="s">
        <v>7337</v>
      </c>
      <c r="X360" t="s">
        <v>7338</v>
      </c>
      <c r="Y360" t="s">
        <v>7339</v>
      </c>
      <c r="Z360" t="s">
        <v>7340</v>
      </c>
      <c r="AA360" t="s">
        <v>7341</v>
      </c>
      <c r="AB360" t="s">
        <v>7342</v>
      </c>
      <c r="AC360" t="s">
        <v>7343</v>
      </c>
      <c r="AD360" t="s">
        <v>7344</v>
      </c>
      <c r="AE360" t="s">
        <v>7345</v>
      </c>
      <c r="AF360" t="s">
        <v>74</v>
      </c>
      <c r="AG360">
        <v>92</v>
      </c>
      <c r="AH360">
        <v>31</v>
      </c>
      <c r="AI360">
        <v>32</v>
      </c>
      <c r="AJ360">
        <v>0</v>
      </c>
      <c r="AK360">
        <v>27</v>
      </c>
      <c r="AL360" t="s">
        <v>783</v>
      </c>
      <c r="AM360" t="s">
        <v>252</v>
      </c>
      <c r="AN360" t="s">
        <v>784</v>
      </c>
      <c r="AO360" t="s">
        <v>6078</v>
      </c>
      <c r="AP360" t="s">
        <v>6079</v>
      </c>
      <c r="AQ360" t="s">
        <v>74</v>
      </c>
      <c r="AR360" t="s">
        <v>6080</v>
      </c>
      <c r="AS360" t="s">
        <v>6081</v>
      </c>
      <c r="AT360" t="s">
        <v>4901</v>
      </c>
      <c r="AU360">
        <v>2013</v>
      </c>
      <c r="AV360">
        <v>72</v>
      </c>
      <c r="AW360" t="s">
        <v>74</v>
      </c>
      <c r="AX360" t="s">
        <v>74</v>
      </c>
      <c r="AY360" t="s">
        <v>74</v>
      </c>
      <c r="AZ360" t="s">
        <v>74</v>
      </c>
      <c r="BA360" t="s">
        <v>74</v>
      </c>
      <c r="BB360">
        <v>167</v>
      </c>
      <c r="BC360">
        <v>184</v>
      </c>
      <c r="BD360" t="s">
        <v>74</v>
      </c>
      <c r="BE360" t="s">
        <v>7346</v>
      </c>
      <c r="BF360" t="str">
        <f>HYPERLINK("http://dx.doi.org/10.1016/j.ocemod.2013.09.001","http://dx.doi.org/10.1016/j.ocemod.2013.09.001")</f>
        <v>http://dx.doi.org/10.1016/j.ocemod.2013.09.001</v>
      </c>
      <c r="BG360" t="s">
        <v>74</v>
      </c>
      <c r="BH360" t="s">
        <v>74</v>
      </c>
      <c r="BI360">
        <v>18</v>
      </c>
      <c r="BJ360" t="s">
        <v>2863</v>
      </c>
      <c r="BK360" t="s">
        <v>99</v>
      </c>
      <c r="BL360" t="s">
        <v>2863</v>
      </c>
      <c r="BM360" t="s">
        <v>6083</v>
      </c>
      <c r="BN360" t="s">
        <v>74</v>
      </c>
      <c r="BO360" t="s">
        <v>4419</v>
      </c>
      <c r="BP360" t="s">
        <v>74</v>
      </c>
      <c r="BQ360" t="s">
        <v>74</v>
      </c>
      <c r="BR360" t="s">
        <v>103</v>
      </c>
      <c r="BS360" t="s">
        <v>7347</v>
      </c>
      <c r="BT360" t="str">
        <f>HYPERLINK("https%3A%2F%2Fwww.webofscience.com%2Fwos%2Fwoscc%2Ffull-record%2FWOS:000327484300013","View Full Record in Web of Science")</f>
        <v>View Full Record in Web of Science</v>
      </c>
    </row>
    <row r="361" spans="1:72" x14ac:dyDescent="0.15">
      <c r="A361" t="s">
        <v>72</v>
      </c>
      <c r="B361" t="s">
        <v>7348</v>
      </c>
      <c r="C361" t="s">
        <v>74</v>
      </c>
      <c r="D361" t="s">
        <v>74</v>
      </c>
      <c r="E361" t="s">
        <v>74</v>
      </c>
      <c r="F361" t="s">
        <v>7349</v>
      </c>
      <c r="G361" t="s">
        <v>74</v>
      </c>
      <c r="H361" t="s">
        <v>74</v>
      </c>
      <c r="I361" t="s">
        <v>7350</v>
      </c>
      <c r="J361" t="s">
        <v>6066</v>
      </c>
      <c r="K361" t="s">
        <v>74</v>
      </c>
      <c r="L361" t="s">
        <v>74</v>
      </c>
      <c r="M361" t="s">
        <v>78</v>
      </c>
      <c r="N361" t="s">
        <v>79</v>
      </c>
      <c r="O361" t="s">
        <v>74</v>
      </c>
      <c r="P361" t="s">
        <v>74</v>
      </c>
      <c r="Q361" t="s">
        <v>74</v>
      </c>
      <c r="R361" t="s">
        <v>74</v>
      </c>
      <c r="S361" t="s">
        <v>74</v>
      </c>
      <c r="T361" t="s">
        <v>7351</v>
      </c>
      <c r="U361" t="s">
        <v>7352</v>
      </c>
      <c r="V361" t="s">
        <v>7353</v>
      </c>
      <c r="W361" t="s">
        <v>7354</v>
      </c>
      <c r="X361" t="s">
        <v>7355</v>
      </c>
      <c r="Y361" t="s">
        <v>7356</v>
      </c>
      <c r="Z361" t="s">
        <v>7357</v>
      </c>
      <c r="AA361" t="s">
        <v>74</v>
      </c>
      <c r="AB361" t="s">
        <v>74</v>
      </c>
      <c r="AC361" t="s">
        <v>74</v>
      </c>
      <c r="AD361" t="s">
        <v>74</v>
      </c>
      <c r="AE361" t="s">
        <v>74</v>
      </c>
      <c r="AF361" t="s">
        <v>74</v>
      </c>
      <c r="AG361">
        <v>51</v>
      </c>
      <c r="AH361">
        <v>25</v>
      </c>
      <c r="AI361">
        <v>25</v>
      </c>
      <c r="AJ361">
        <v>1</v>
      </c>
      <c r="AK361">
        <v>13</v>
      </c>
      <c r="AL361" t="s">
        <v>783</v>
      </c>
      <c r="AM361" t="s">
        <v>252</v>
      </c>
      <c r="AN361" t="s">
        <v>784</v>
      </c>
      <c r="AO361" t="s">
        <v>6078</v>
      </c>
      <c r="AP361" t="s">
        <v>6079</v>
      </c>
      <c r="AQ361" t="s">
        <v>74</v>
      </c>
      <c r="AR361" t="s">
        <v>6080</v>
      </c>
      <c r="AS361" t="s">
        <v>6081</v>
      </c>
      <c r="AT361" t="s">
        <v>4901</v>
      </c>
      <c r="AU361">
        <v>2013</v>
      </c>
      <c r="AV361">
        <v>72</v>
      </c>
      <c r="AW361" t="s">
        <v>74</v>
      </c>
      <c r="AX361" t="s">
        <v>74</v>
      </c>
      <c r="AY361" t="s">
        <v>74</v>
      </c>
      <c r="AZ361" t="s">
        <v>74</v>
      </c>
      <c r="BA361" t="s">
        <v>74</v>
      </c>
      <c r="BB361">
        <v>198</v>
      </c>
      <c r="BC361">
        <v>209</v>
      </c>
      <c r="BD361" t="s">
        <v>74</v>
      </c>
      <c r="BE361" t="s">
        <v>7358</v>
      </c>
      <c r="BF361" t="str">
        <f>HYPERLINK("http://dx.doi.org/10.1016/j.ocemod.2013.09.006","http://dx.doi.org/10.1016/j.ocemod.2013.09.006")</f>
        <v>http://dx.doi.org/10.1016/j.ocemod.2013.09.006</v>
      </c>
      <c r="BG361" t="s">
        <v>74</v>
      </c>
      <c r="BH361" t="s">
        <v>74</v>
      </c>
      <c r="BI361">
        <v>12</v>
      </c>
      <c r="BJ361" t="s">
        <v>2863</v>
      </c>
      <c r="BK361" t="s">
        <v>99</v>
      </c>
      <c r="BL361" t="s">
        <v>2863</v>
      </c>
      <c r="BM361" t="s">
        <v>6083</v>
      </c>
      <c r="BN361" t="s">
        <v>74</v>
      </c>
      <c r="BO361" t="s">
        <v>74</v>
      </c>
      <c r="BP361" t="s">
        <v>74</v>
      </c>
      <c r="BQ361" t="s">
        <v>74</v>
      </c>
      <c r="BR361" t="s">
        <v>103</v>
      </c>
      <c r="BS361" t="s">
        <v>7359</v>
      </c>
      <c r="BT361" t="str">
        <f>HYPERLINK("https%3A%2F%2Fwww.webofscience.com%2Fwos%2Fwoscc%2Ffull-record%2FWOS:000327484300015","View Full Record in Web of Science")</f>
        <v>View Full Record in Web of Science</v>
      </c>
    </row>
    <row r="362" spans="1:72" x14ac:dyDescent="0.15">
      <c r="A362" t="s">
        <v>72</v>
      </c>
      <c r="B362" t="s">
        <v>7360</v>
      </c>
      <c r="C362" t="s">
        <v>74</v>
      </c>
      <c r="D362" t="s">
        <v>74</v>
      </c>
      <c r="E362" t="s">
        <v>74</v>
      </c>
      <c r="F362" t="s">
        <v>7361</v>
      </c>
      <c r="G362" t="s">
        <v>74</v>
      </c>
      <c r="H362" t="s">
        <v>74</v>
      </c>
      <c r="I362" t="s">
        <v>7362</v>
      </c>
      <c r="J362" t="s">
        <v>4934</v>
      </c>
      <c r="K362" t="s">
        <v>74</v>
      </c>
      <c r="L362" t="s">
        <v>74</v>
      </c>
      <c r="M362" t="s">
        <v>78</v>
      </c>
      <c r="N362" t="s">
        <v>2830</v>
      </c>
      <c r="O362" t="s">
        <v>74</v>
      </c>
      <c r="P362" t="s">
        <v>74</v>
      </c>
      <c r="Q362" t="s">
        <v>74</v>
      </c>
      <c r="R362" t="s">
        <v>74</v>
      </c>
      <c r="S362" t="s">
        <v>74</v>
      </c>
      <c r="T362" t="s">
        <v>74</v>
      </c>
      <c r="U362" t="s">
        <v>7363</v>
      </c>
      <c r="V362" t="s">
        <v>74</v>
      </c>
      <c r="W362" t="s">
        <v>7364</v>
      </c>
      <c r="X362" t="s">
        <v>7365</v>
      </c>
      <c r="Y362" t="s">
        <v>7366</v>
      </c>
      <c r="Z362" t="s">
        <v>7367</v>
      </c>
      <c r="AA362" t="s">
        <v>74</v>
      </c>
      <c r="AB362" t="s">
        <v>74</v>
      </c>
      <c r="AC362" t="s">
        <v>74</v>
      </c>
      <c r="AD362" t="s">
        <v>74</v>
      </c>
      <c r="AE362" t="s">
        <v>74</v>
      </c>
      <c r="AF362" t="s">
        <v>74</v>
      </c>
      <c r="AG362">
        <v>64</v>
      </c>
      <c r="AH362">
        <v>0</v>
      </c>
      <c r="AI362">
        <v>0</v>
      </c>
      <c r="AJ362">
        <v>0</v>
      </c>
      <c r="AK362">
        <v>8</v>
      </c>
      <c r="AL362" t="s">
        <v>4945</v>
      </c>
      <c r="AM362" t="s">
        <v>4946</v>
      </c>
      <c r="AN362" t="s">
        <v>4947</v>
      </c>
      <c r="AO362" t="s">
        <v>4948</v>
      </c>
      <c r="AP362" t="s">
        <v>74</v>
      </c>
      <c r="AQ362" t="s">
        <v>74</v>
      </c>
      <c r="AR362" t="s">
        <v>4934</v>
      </c>
      <c r="AS362" t="s">
        <v>1613</v>
      </c>
      <c r="AT362" t="s">
        <v>4901</v>
      </c>
      <c r="AU362">
        <v>2013</v>
      </c>
      <c r="AV362">
        <v>26</v>
      </c>
      <c r="AW362">
        <v>4</v>
      </c>
      <c r="AX362" t="s">
        <v>74</v>
      </c>
      <c r="AY362" t="s">
        <v>74</v>
      </c>
      <c r="AZ362" t="s">
        <v>74</v>
      </c>
      <c r="BA362" t="s">
        <v>74</v>
      </c>
      <c r="BB362">
        <v>11</v>
      </c>
      <c r="BC362" t="s">
        <v>629</v>
      </c>
      <c r="BD362" t="s">
        <v>74</v>
      </c>
      <c r="BE362" t="s">
        <v>7368</v>
      </c>
      <c r="BF362" t="str">
        <f>HYPERLINK("http://dx.doi.org/10.5670/oceanog.2013.85","http://dx.doi.org/10.5670/oceanog.2013.85")</f>
        <v>http://dx.doi.org/10.5670/oceanog.2013.85</v>
      </c>
      <c r="BG362" t="s">
        <v>74</v>
      </c>
      <c r="BH362" t="s">
        <v>74</v>
      </c>
      <c r="BI362">
        <v>10</v>
      </c>
      <c r="BJ362" t="s">
        <v>1613</v>
      </c>
      <c r="BK362" t="s">
        <v>99</v>
      </c>
      <c r="BL362" t="s">
        <v>1613</v>
      </c>
      <c r="BM362" t="s">
        <v>4950</v>
      </c>
      <c r="BN362" t="s">
        <v>74</v>
      </c>
      <c r="BO362" t="s">
        <v>657</v>
      </c>
      <c r="BP362" t="s">
        <v>74</v>
      </c>
      <c r="BQ362" t="s">
        <v>74</v>
      </c>
      <c r="BR362" t="s">
        <v>103</v>
      </c>
      <c r="BS362" t="s">
        <v>7369</v>
      </c>
      <c r="BT362" t="str">
        <f>HYPERLINK("https%3A%2F%2Fwww.webofscience.com%2Fwos%2Fwoscc%2Ffull-record%2FWOS:000332749800004","View Full Record in Web of Science")</f>
        <v>View Full Record in Web of Science</v>
      </c>
    </row>
    <row r="363" spans="1:72" x14ac:dyDescent="0.15">
      <c r="A363" t="s">
        <v>72</v>
      </c>
      <c r="B363" t="s">
        <v>7370</v>
      </c>
      <c r="C363" t="s">
        <v>74</v>
      </c>
      <c r="D363" t="s">
        <v>74</v>
      </c>
      <c r="E363" t="s">
        <v>74</v>
      </c>
      <c r="F363" t="s">
        <v>7371</v>
      </c>
      <c r="G363" t="s">
        <v>74</v>
      </c>
      <c r="H363" t="s">
        <v>74</v>
      </c>
      <c r="I363" t="s">
        <v>7372</v>
      </c>
      <c r="J363" t="s">
        <v>4934</v>
      </c>
      <c r="K363" t="s">
        <v>74</v>
      </c>
      <c r="L363" t="s">
        <v>74</v>
      </c>
      <c r="M363" t="s">
        <v>78</v>
      </c>
      <c r="N363" t="s">
        <v>79</v>
      </c>
      <c r="O363" t="s">
        <v>74</v>
      </c>
      <c r="P363" t="s">
        <v>74</v>
      </c>
      <c r="Q363" t="s">
        <v>74</v>
      </c>
      <c r="R363" t="s">
        <v>74</v>
      </c>
      <c r="S363" t="s">
        <v>74</v>
      </c>
      <c r="T363" t="s">
        <v>74</v>
      </c>
      <c r="U363" t="s">
        <v>7373</v>
      </c>
      <c r="V363" t="s">
        <v>7374</v>
      </c>
      <c r="W363" t="s">
        <v>7375</v>
      </c>
      <c r="X363" t="s">
        <v>7376</v>
      </c>
      <c r="Y363" t="s">
        <v>7377</v>
      </c>
      <c r="Z363" t="s">
        <v>7378</v>
      </c>
      <c r="AA363" t="s">
        <v>7379</v>
      </c>
      <c r="AB363" t="s">
        <v>7380</v>
      </c>
      <c r="AC363" t="s">
        <v>7381</v>
      </c>
      <c r="AD363" t="s">
        <v>7382</v>
      </c>
      <c r="AE363" t="s">
        <v>7383</v>
      </c>
      <c r="AF363" t="s">
        <v>74</v>
      </c>
      <c r="AG363">
        <v>97</v>
      </c>
      <c r="AH363">
        <v>13</v>
      </c>
      <c r="AI363">
        <v>14</v>
      </c>
      <c r="AJ363">
        <v>1</v>
      </c>
      <c r="AK363">
        <v>44</v>
      </c>
      <c r="AL363" t="s">
        <v>4945</v>
      </c>
      <c r="AM363" t="s">
        <v>4946</v>
      </c>
      <c r="AN363" t="s">
        <v>4947</v>
      </c>
      <c r="AO363" t="s">
        <v>4948</v>
      </c>
      <c r="AP363" t="s">
        <v>74</v>
      </c>
      <c r="AQ363" t="s">
        <v>74</v>
      </c>
      <c r="AR363" t="s">
        <v>4934</v>
      </c>
      <c r="AS363" t="s">
        <v>1613</v>
      </c>
      <c r="AT363" t="s">
        <v>4901</v>
      </c>
      <c r="AU363">
        <v>2013</v>
      </c>
      <c r="AV363">
        <v>26</v>
      </c>
      <c r="AW363">
        <v>4</v>
      </c>
      <c r="AX363" t="s">
        <v>74</v>
      </c>
      <c r="AY363" t="s">
        <v>74</v>
      </c>
      <c r="AZ363" t="s">
        <v>74</v>
      </c>
      <c r="BA363" t="s">
        <v>74</v>
      </c>
      <c r="BB363">
        <v>82</v>
      </c>
      <c r="BC363">
        <v>97</v>
      </c>
      <c r="BD363" t="s">
        <v>74</v>
      </c>
      <c r="BE363" t="s">
        <v>7384</v>
      </c>
      <c r="BF363" t="str">
        <f>HYPERLINK("http://dx.doi.org/10.5670/oceanog.2013.77","http://dx.doi.org/10.5670/oceanog.2013.77")</f>
        <v>http://dx.doi.org/10.5670/oceanog.2013.77</v>
      </c>
      <c r="BG363" t="s">
        <v>74</v>
      </c>
      <c r="BH363" t="s">
        <v>74</v>
      </c>
      <c r="BI363">
        <v>16</v>
      </c>
      <c r="BJ363" t="s">
        <v>1613</v>
      </c>
      <c r="BK363" t="s">
        <v>99</v>
      </c>
      <c r="BL363" t="s">
        <v>1613</v>
      </c>
      <c r="BM363" t="s">
        <v>4950</v>
      </c>
      <c r="BN363" t="s">
        <v>74</v>
      </c>
      <c r="BO363" t="s">
        <v>616</v>
      </c>
      <c r="BP363" t="s">
        <v>74</v>
      </c>
      <c r="BQ363" t="s">
        <v>74</v>
      </c>
      <c r="BR363" t="s">
        <v>103</v>
      </c>
      <c r="BS363" t="s">
        <v>7385</v>
      </c>
      <c r="BT363" t="str">
        <f>HYPERLINK("https%3A%2F%2Fwww.webofscience.com%2Fwos%2Fwoscc%2Ffull-record%2FWOS:000332749800009","View Full Record in Web of Science")</f>
        <v>View Full Record in Web of Science</v>
      </c>
    </row>
    <row r="364" spans="1:72" x14ac:dyDescent="0.15">
      <c r="A364" t="s">
        <v>72</v>
      </c>
      <c r="B364" t="s">
        <v>7386</v>
      </c>
      <c r="C364" t="s">
        <v>74</v>
      </c>
      <c r="D364" t="s">
        <v>74</v>
      </c>
      <c r="E364" t="s">
        <v>74</v>
      </c>
      <c r="F364" t="s">
        <v>7387</v>
      </c>
      <c r="G364" t="s">
        <v>74</v>
      </c>
      <c r="H364" t="s">
        <v>74</v>
      </c>
      <c r="I364" t="s">
        <v>7388</v>
      </c>
      <c r="J364" t="s">
        <v>3043</v>
      </c>
      <c r="K364" t="s">
        <v>74</v>
      </c>
      <c r="L364" t="s">
        <v>74</v>
      </c>
      <c r="M364" t="s">
        <v>78</v>
      </c>
      <c r="N364" t="s">
        <v>79</v>
      </c>
      <c r="O364" t="s">
        <v>74</v>
      </c>
      <c r="P364" t="s">
        <v>74</v>
      </c>
      <c r="Q364" t="s">
        <v>74</v>
      </c>
      <c r="R364" t="s">
        <v>74</v>
      </c>
      <c r="S364" t="s">
        <v>74</v>
      </c>
      <c r="T364" t="s">
        <v>7389</v>
      </c>
      <c r="U364" t="s">
        <v>7390</v>
      </c>
      <c r="V364" t="s">
        <v>7391</v>
      </c>
      <c r="W364" t="s">
        <v>7392</v>
      </c>
      <c r="X364" t="s">
        <v>1576</v>
      </c>
      <c r="Y364" t="s">
        <v>7393</v>
      </c>
      <c r="Z364" t="s">
        <v>7394</v>
      </c>
      <c r="AA364" t="s">
        <v>7395</v>
      </c>
      <c r="AB364" t="s">
        <v>7396</v>
      </c>
      <c r="AC364" t="s">
        <v>7397</v>
      </c>
      <c r="AD364" t="s">
        <v>7398</v>
      </c>
      <c r="AE364" t="s">
        <v>7399</v>
      </c>
      <c r="AF364" t="s">
        <v>74</v>
      </c>
      <c r="AG364">
        <v>52</v>
      </c>
      <c r="AH364">
        <v>29</v>
      </c>
      <c r="AI364">
        <v>30</v>
      </c>
      <c r="AJ364">
        <v>1</v>
      </c>
      <c r="AK364">
        <v>56</v>
      </c>
      <c r="AL364" t="s">
        <v>1067</v>
      </c>
      <c r="AM364" t="s">
        <v>921</v>
      </c>
      <c r="AN364" t="s">
        <v>2493</v>
      </c>
      <c r="AO364" t="s">
        <v>3056</v>
      </c>
      <c r="AP364" t="s">
        <v>3057</v>
      </c>
      <c r="AQ364" t="s">
        <v>74</v>
      </c>
      <c r="AR364" t="s">
        <v>3043</v>
      </c>
      <c r="AS364" t="s">
        <v>3058</v>
      </c>
      <c r="AT364" t="s">
        <v>4901</v>
      </c>
      <c r="AU364">
        <v>2013</v>
      </c>
      <c r="AV364">
        <v>173</v>
      </c>
      <c r="AW364">
        <v>4</v>
      </c>
      <c r="AX364" t="s">
        <v>74</v>
      </c>
      <c r="AY364" t="s">
        <v>74</v>
      </c>
      <c r="AZ364" t="s">
        <v>74</v>
      </c>
      <c r="BA364" t="s">
        <v>74</v>
      </c>
      <c r="BB364">
        <v>1283</v>
      </c>
      <c r="BC364">
        <v>1294</v>
      </c>
      <c r="BD364" t="s">
        <v>74</v>
      </c>
      <c r="BE364" t="s">
        <v>7400</v>
      </c>
      <c r="BF364" t="str">
        <f>HYPERLINK("http://dx.doi.org/10.1007/s00442-013-2704-x","http://dx.doi.org/10.1007/s00442-013-2704-x")</f>
        <v>http://dx.doi.org/10.1007/s00442-013-2704-x</v>
      </c>
      <c r="BG364" t="s">
        <v>74</v>
      </c>
      <c r="BH364" t="s">
        <v>74</v>
      </c>
      <c r="BI364">
        <v>12</v>
      </c>
      <c r="BJ364" t="s">
        <v>419</v>
      </c>
      <c r="BK364" t="s">
        <v>99</v>
      </c>
      <c r="BL364" t="s">
        <v>420</v>
      </c>
      <c r="BM364" t="s">
        <v>7401</v>
      </c>
      <c r="BN364">
        <v>23797411</v>
      </c>
      <c r="BO364" t="s">
        <v>74</v>
      </c>
      <c r="BP364" t="s">
        <v>74</v>
      </c>
      <c r="BQ364" t="s">
        <v>74</v>
      </c>
      <c r="BR364" t="s">
        <v>103</v>
      </c>
      <c r="BS364" t="s">
        <v>7402</v>
      </c>
      <c r="BT364" t="str">
        <f>HYPERLINK("https%3A%2F%2Fwww.webofscience.com%2Fwos%2Fwoscc%2Ffull-record%2FWOS:000328210000012","View Full Record in Web of Science")</f>
        <v>View Full Record in Web of Science</v>
      </c>
    </row>
    <row r="365" spans="1:72" x14ac:dyDescent="0.15">
      <c r="A365" t="s">
        <v>72</v>
      </c>
      <c r="B365" t="s">
        <v>7403</v>
      </c>
      <c r="C365" t="s">
        <v>74</v>
      </c>
      <c r="D365" t="s">
        <v>74</v>
      </c>
      <c r="E365" t="s">
        <v>74</v>
      </c>
      <c r="F365" t="s">
        <v>7404</v>
      </c>
      <c r="G365" t="s">
        <v>74</v>
      </c>
      <c r="H365" t="s">
        <v>74</v>
      </c>
      <c r="I365" t="s">
        <v>7405</v>
      </c>
      <c r="J365" t="s">
        <v>7406</v>
      </c>
      <c r="K365" t="s">
        <v>74</v>
      </c>
      <c r="L365" t="s">
        <v>74</v>
      </c>
      <c r="M365" t="s">
        <v>78</v>
      </c>
      <c r="N365" t="s">
        <v>79</v>
      </c>
      <c r="O365" t="s">
        <v>74</v>
      </c>
      <c r="P365" t="s">
        <v>74</v>
      </c>
      <c r="Q365" t="s">
        <v>74</v>
      </c>
      <c r="R365" t="s">
        <v>74</v>
      </c>
      <c r="S365" t="s">
        <v>74</v>
      </c>
      <c r="T365" t="s">
        <v>74</v>
      </c>
      <c r="U365" t="s">
        <v>7407</v>
      </c>
      <c r="V365" t="s">
        <v>7408</v>
      </c>
      <c r="W365" t="s">
        <v>7409</v>
      </c>
      <c r="X365" t="s">
        <v>7410</v>
      </c>
      <c r="Y365" t="s">
        <v>7411</v>
      </c>
      <c r="Z365" t="s">
        <v>7412</v>
      </c>
      <c r="AA365" t="s">
        <v>74</v>
      </c>
      <c r="AB365" t="s">
        <v>7413</v>
      </c>
      <c r="AC365" t="s">
        <v>7414</v>
      </c>
      <c r="AD365" t="s">
        <v>7415</v>
      </c>
      <c r="AE365" t="s">
        <v>7416</v>
      </c>
      <c r="AF365" t="s">
        <v>74</v>
      </c>
      <c r="AG365">
        <v>62</v>
      </c>
      <c r="AH365">
        <v>101</v>
      </c>
      <c r="AI365">
        <v>125</v>
      </c>
      <c r="AJ365">
        <v>5</v>
      </c>
      <c r="AK365">
        <v>169</v>
      </c>
      <c r="AL365" t="s">
        <v>872</v>
      </c>
      <c r="AM365" t="s">
        <v>252</v>
      </c>
      <c r="AN365" t="s">
        <v>873</v>
      </c>
      <c r="AO365" t="s">
        <v>7417</v>
      </c>
      <c r="AP365" t="s">
        <v>74</v>
      </c>
      <c r="AQ365" t="s">
        <v>74</v>
      </c>
      <c r="AR365" t="s">
        <v>7418</v>
      </c>
      <c r="AS365" t="s">
        <v>7419</v>
      </c>
      <c r="AT365" t="s">
        <v>4901</v>
      </c>
      <c r="AU365">
        <v>2013</v>
      </c>
      <c r="AV365">
        <v>65</v>
      </c>
      <c r="AW365" t="s">
        <v>74</v>
      </c>
      <c r="AX365" t="s">
        <v>74</v>
      </c>
      <c r="AY365" t="s">
        <v>74</v>
      </c>
      <c r="AZ365" t="s">
        <v>74</v>
      </c>
      <c r="BA365" t="s">
        <v>74</v>
      </c>
      <c r="BB365">
        <v>19</v>
      </c>
      <c r="BC365">
        <v>28</v>
      </c>
      <c r="BD365" t="s">
        <v>74</v>
      </c>
      <c r="BE365" t="s">
        <v>7420</v>
      </c>
      <c r="BF365" t="str">
        <f>HYPERLINK("http://dx.doi.org/10.1016/j.orggeochem.2013.09.013","http://dx.doi.org/10.1016/j.orggeochem.2013.09.013")</f>
        <v>http://dx.doi.org/10.1016/j.orggeochem.2013.09.013</v>
      </c>
      <c r="BG365" t="s">
        <v>74</v>
      </c>
      <c r="BH365" t="s">
        <v>74</v>
      </c>
      <c r="BI365">
        <v>10</v>
      </c>
      <c r="BJ365" t="s">
        <v>313</v>
      </c>
      <c r="BK365" t="s">
        <v>99</v>
      </c>
      <c r="BL365" t="s">
        <v>313</v>
      </c>
      <c r="BM365" t="s">
        <v>7421</v>
      </c>
      <c r="BN365" t="s">
        <v>74</v>
      </c>
      <c r="BO365" t="s">
        <v>1145</v>
      </c>
      <c r="BP365" t="s">
        <v>74</v>
      </c>
      <c r="BQ365" t="s">
        <v>74</v>
      </c>
      <c r="BR365" t="s">
        <v>103</v>
      </c>
      <c r="BS365" t="s">
        <v>7422</v>
      </c>
      <c r="BT365" t="str">
        <f>HYPERLINK("https%3A%2F%2Fwww.webofscience.com%2Fwos%2Fwoscc%2Ffull-record%2FWOS:000327133800002","View Full Record in Web of Science")</f>
        <v>View Full Record in Web of Science</v>
      </c>
    </row>
    <row r="366" spans="1:72" x14ac:dyDescent="0.15">
      <c r="A366" t="s">
        <v>72</v>
      </c>
      <c r="B366" t="s">
        <v>7423</v>
      </c>
      <c r="C366" t="s">
        <v>74</v>
      </c>
      <c r="D366" t="s">
        <v>74</v>
      </c>
      <c r="E366" t="s">
        <v>74</v>
      </c>
      <c r="F366" t="s">
        <v>7424</v>
      </c>
      <c r="G366" t="s">
        <v>74</v>
      </c>
      <c r="H366" t="s">
        <v>74</v>
      </c>
      <c r="I366" t="s">
        <v>7425</v>
      </c>
      <c r="J366" t="s">
        <v>3065</v>
      </c>
      <c r="K366" t="s">
        <v>74</v>
      </c>
      <c r="L366" t="s">
        <v>74</v>
      </c>
      <c r="M366" t="s">
        <v>78</v>
      </c>
      <c r="N366" t="s">
        <v>79</v>
      </c>
      <c r="O366" t="s">
        <v>74</v>
      </c>
      <c r="P366" t="s">
        <v>74</v>
      </c>
      <c r="Q366" t="s">
        <v>74</v>
      </c>
      <c r="R366" t="s">
        <v>74</v>
      </c>
      <c r="S366" t="s">
        <v>74</v>
      </c>
      <c r="T366" t="s">
        <v>7426</v>
      </c>
      <c r="U366" t="s">
        <v>7427</v>
      </c>
      <c r="V366" t="s">
        <v>7428</v>
      </c>
      <c r="W366" t="s">
        <v>7429</v>
      </c>
      <c r="X366" t="s">
        <v>7430</v>
      </c>
      <c r="Y366" t="s">
        <v>7431</v>
      </c>
      <c r="Z366" t="s">
        <v>7432</v>
      </c>
      <c r="AA366" t="s">
        <v>7433</v>
      </c>
      <c r="AB366" t="s">
        <v>7434</v>
      </c>
      <c r="AC366" t="s">
        <v>7435</v>
      </c>
      <c r="AD366" t="s">
        <v>7436</v>
      </c>
      <c r="AE366" t="s">
        <v>7437</v>
      </c>
      <c r="AF366" t="s">
        <v>74</v>
      </c>
      <c r="AG366">
        <v>93</v>
      </c>
      <c r="AH366">
        <v>32</v>
      </c>
      <c r="AI366">
        <v>34</v>
      </c>
      <c r="AJ366">
        <v>1</v>
      </c>
      <c r="AK366">
        <v>48</v>
      </c>
      <c r="AL366" t="s">
        <v>1606</v>
      </c>
      <c r="AM366" t="s">
        <v>808</v>
      </c>
      <c r="AN366" t="s">
        <v>1607</v>
      </c>
      <c r="AO366" t="s">
        <v>3077</v>
      </c>
      <c r="AP366" t="s">
        <v>3078</v>
      </c>
      <c r="AQ366" t="s">
        <v>74</v>
      </c>
      <c r="AR366" t="s">
        <v>3065</v>
      </c>
      <c r="AS366" t="s">
        <v>3079</v>
      </c>
      <c r="AT366" t="s">
        <v>4901</v>
      </c>
      <c r="AU366">
        <v>2013</v>
      </c>
      <c r="AV366">
        <v>28</v>
      </c>
      <c r="AW366">
        <v>4</v>
      </c>
      <c r="AX366" t="s">
        <v>74</v>
      </c>
      <c r="AY366" t="s">
        <v>74</v>
      </c>
      <c r="AZ366" t="s">
        <v>74</v>
      </c>
      <c r="BA366" t="s">
        <v>74</v>
      </c>
      <c r="BB366">
        <v>619</v>
      </c>
      <c r="BC366">
        <v>632</v>
      </c>
      <c r="BD366" t="s">
        <v>74</v>
      </c>
      <c r="BE366" t="s">
        <v>7438</v>
      </c>
      <c r="BF366" t="str">
        <f>HYPERLINK("http://dx.doi.org/10.1002/palo.20053","http://dx.doi.org/10.1002/palo.20053")</f>
        <v>http://dx.doi.org/10.1002/palo.20053</v>
      </c>
      <c r="BG366" t="s">
        <v>74</v>
      </c>
      <c r="BH366" t="s">
        <v>74</v>
      </c>
      <c r="BI366">
        <v>14</v>
      </c>
      <c r="BJ366" t="s">
        <v>3081</v>
      </c>
      <c r="BK366" t="s">
        <v>99</v>
      </c>
      <c r="BL366" t="s">
        <v>3082</v>
      </c>
      <c r="BM366" t="s">
        <v>5283</v>
      </c>
      <c r="BN366" t="s">
        <v>74</v>
      </c>
      <c r="BO366" t="s">
        <v>5902</v>
      </c>
      <c r="BP366" t="s">
        <v>74</v>
      </c>
      <c r="BQ366" t="s">
        <v>74</v>
      </c>
      <c r="BR366" t="s">
        <v>103</v>
      </c>
      <c r="BS366" t="s">
        <v>7439</v>
      </c>
      <c r="BT366" t="str">
        <f>HYPERLINK("https%3A%2F%2Fwww.webofscience.com%2Fwos%2Fwoscc%2Ffull-record%2FWOS:000329862600002","View Full Record in Web of Science")</f>
        <v>View Full Record in Web of Science</v>
      </c>
    </row>
    <row r="367" spans="1:72" x14ac:dyDescent="0.15">
      <c r="A367" t="s">
        <v>72</v>
      </c>
      <c r="B367" t="s">
        <v>7440</v>
      </c>
      <c r="C367" t="s">
        <v>74</v>
      </c>
      <c r="D367" t="s">
        <v>74</v>
      </c>
      <c r="E367" t="s">
        <v>74</v>
      </c>
      <c r="F367" t="s">
        <v>7441</v>
      </c>
      <c r="G367" t="s">
        <v>74</v>
      </c>
      <c r="H367" t="s">
        <v>74</v>
      </c>
      <c r="I367" t="s">
        <v>7442</v>
      </c>
      <c r="J367" t="s">
        <v>3065</v>
      </c>
      <c r="K367" t="s">
        <v>74</v>
      </c>
      <c r="L367" t="s">
        <v>74</v>
      </c>
      <c r="M367" t="s">
        <v>78</v>
      </c>
      <c r="N367" t="s">
        <v>79</v>
      </c>
      <c r="O367" t="s">
        <v>74</v>
      </c>
      <c r="P367" t="s">
        <v>74</v>
      </c>
      <c r="Q367" t="s">
        <v>74</v>
      </c>
      <c r="R367" t="s">
        <v>74</v>
      </c>
      <c r="S367" t="s">
        <v>74</v>
      </c>
      <c r="T367" t="s">
        <v>7443</v>
      </c>
      <c r="U367" t="s">
        <v>7444</v>
      </c>
      <c r="V367" t="s">
        <v>7445</v>
      </c>
      <c r="W367" t="s">
        <v>7446</v>
      </c>
      <c r="X367" t="s">
        <v>111</v>
      </c>
      <c r="Y367" t="s">
        <v>7447</v>
      </c>
      <c r="Z367" t="s">
        <v>7448</v>
      </c>
      <c r="AA367" t="s">
        <v>7449</v>
      </c>
      <c r="AB367" t="s">
        <v>7450</v>
      </c>
      <c r="AC367" t="s">
        <v>7451</v>
      </c>
      <c r="AD367" t="s">
        <v>7452</v>
      </c>
      <c r="AE367" t="s">
        <v>7453</v>
      </c>
      <c r="AF367" t="s">
        <v>74</v>
      </c>
      <c r="AG367">
        <v>66</v>
      </c>
      <c r="AH367">
        <v>35</v>
      </c>
      <c r="AI367">
        <v>35</v>
      </c>
      <c r="AJ367">
        <v>1</v>
      </c>
      <c r="AK367">
        <v>38</v>
      </c>
      <c r="AL367" t="s">
        <v>1606</v>
      </c>
      <c r="AM367" t="s">
        <v>808</v>
      </c>
      <c r="AN367" t="s">
        <v>1607</v>
      </c>
      <c r="AO367" t="s">
        <v>3077</v>
      </c>
      <c r="AP367" t="s">
        <v>3078</v>
      </c>
      <c r="AQ367" t="s">
        <v>74</v>
      </c>
      <c r="AR367" t="s">
        <v>3065</v>
      </c>
      <c r="AS367" t="s">
        <v>3079</v>
      </c>
      <c r="AT367" t="s">
        <v>4901</v>
      </c>
      <c r="AU367">
        <v>2013</v>
      </c>
      <c r="AV367">
        <v>28</v>
      </c>
      <c r="AW367">
        <v>4</v>
      </c>
      <c r="AX367" t="s">
        <v>74</v>
      </c>
      <c r="AY367" t="s">
        <v>74</v>
      </c>
      <c r="AZ367" t="s">
        <v>74</v>
      </c>
      <c r="BA367" t="s">
        <v>74</v>
      </c>
      <c r="BB367">
        <v>726</v>
      </c>
      <c r="BC367">
        <v>739</v>
      </c>
      <c r="BD367" t="s">
        <v>74</v>
      </c>
      <c r="BE367" t="s">
        <v>7454</v>
      </c>
      <c r="BF367" t="str">
        <f>HYPERLINK("http://dx.doi.org/10.1002/2013PA002556","http://dx.doi.org/10.1002/2013PA002556")</f>
        <v>http://dx.doi.org/10.1002/2013PA002556</v>
      </c>
      <c r="BG367" t="s">
        <v>74</v>
      </c>
      <c r="BH367" t="s">
        <v>74</v>
      </c>
      <c r="BI367">
        <v>14</v>
      </c>
      <c r="BJ367" t="s">
        <v>3081</v>
      </c>
      <c r="BK367" t="s">
        <v>99</v>
      </c>
      <c r="BL367" t="s">
        <v>3082</v>
      </c>
      <c r="BM367" t="s">
        <v>5283</v>
      </c>
      <c r="BN367">
        <v>26074663</v>
      </c>
      <c r="BO367" t="s">
        <v>7455</v>
      </c>
      <c r="BP367" t="s">
        <v>74</v>
      </c>
      <c r="BQ367" t="s">
        <v>74</v>
      </c>
      <c r="BR367" t="s">
        <v>103</v>
      </c>
      <c r="BS367" t="s">
        <v>7456</v>
      </c>
      <c r="BT367" t="str">
        <f>HYPERLINK("https%3A%2F%2Fwww.webofscience.com%2Fwos%2Fwoscc%2Ffull-record%2FWOS:000329862600010","View Full Record in Web of Science")</f>
        <v>View Full Record in Web of Science</v>
      </c>
    </row>
    <row r="368" spans="1:72" x14ac:dyDescent="0.15">
      <c r="A368" t="s">
        <v>72</v>
      </c>
      <c r="B368" t="s">
        <v>7457</v>
      </c>
      <c r="C368" t="s">
        <v>74</v>
      </c>
      <c r="D368" t="s">
        <v>74</v>
      </c>
      <c r="E368" t="s">
        <v>74</v>
      </c>
      <c r="F368" t="s">
        <v>7458</v>
      </c>
      <c r="G368" t="s">
        <v>74</v>
      </c>
      <c r="H368" t="s">
        <v>74</v>
      </c>
      <c r="I368" t="s">
        <v>7459</v>
      </c>
      <c r="J368" t="s">
        <v>7460</v>
      </c>
      <c r="K368" t="s">
        <v>74</v>
      </c>
      <c r="L368" t="s">
        <v>74</v>
      </c>
      <c r="M368" t="s">
        <v>78</v>
      </c>
      <c r="N368" t="s">
        <v>79</v>
      </c>
      <c r="O368" t="s">
        <v>74</v>
      </c>
      <c r="P368" t="s">
        <v>74</v>
      </c>
      <c r="Q368" t="s">
        <v>74</v>
      </c>
      <c r="R368" t="s">
        <v>74</v>
      </c>
      <c r="S368" t="s">
        <v>74</v>
      </c>
      <c r="T368" t="s">
        <v>7461</v>
      </c>
      <c r="U368" t="s">
        <v>7462</v>
      </c>
      <c r="V368" t="s">
        <v>7463</v>
      </c>
      <c r="W368" t="s">
        <v>7464</v>
      </c>
      <c r="X368" t="s">
        <v>7465</v>
      </c>
      <c r="Y368" t="s">
        <v>7466</v>
      </c>
      <c r="Z368" t="s">
        <v>7467</v>
      </c>
      <c r="AA368" t="s">
        <v>7468</v>
      </c>
      <c r="AB368" t="s">
        <v>7469</v>
      </c>
      <c r="AC368" t="s">
        <v>7470</v>
      </c>
      <c r="AD368" t="s">
        <v>7471</v>
      </c>
      <c r="AE368" t="s">
        <v>7472</v>
      </c>
      <c r="AF368" t="s">
        <v>74</v>
      </c>
      <c r="AG368">
        <v>65</v>
      </c>
      <c r="AH368">
        <v>15</v>
      </c>
      <c r="AI368">
        <v>16</v>
      </c>
      <c r="AJ368">
        <v>3</v>
      </c>
      <c r="AK368">
        <v>26</v>
      </c>
      <c r="AL368" t="s">
        <v>2140</v>
      </c>
      <c r="AM368" t="s">
        <v>2141</v>
      </c>
      <c r="AN368" t="s">
        <v>2142</v>
      </c>
      <c r="AO368" t="s">
        <v>7473</v>
      </c>
      <c r="AP368" t="s">
        <v>7474</v>
      </c>
      <c r="AQ368" t="s">
        <v>74</v>
      </c>
      <c r="AR368" t="s">
        <v>7460</v>
      </c>
      <c r="AS368" t="s">
        <v>7475</v>
      </c>
      <c r="AT368" t="s">
        <v>4919</v>
      </c>
      <c r="AU368">
        <v>2013</v>
      </c>
      <c r="AV368">
        <v>37</v>
      </c>
      <c r="AW368">
        <v>2</v>
      </c>
      <c r="AX368" t="s">
        <v>74</v>
      </c>
      <c r="AY368" t="s">
        <v>74</v>
      </c>
      <c r="AZ368" t="s">
        <v>74</v>
      </c>
      <c r="BA368" t="s">
        <v>74</v>
      </c>
      <c r="BB368">
        <v>246</v>
      </c>
      <c r="BC368">
        <v>258</v>
      </c>
      <c r="BD368" t="s">
        <v>74</v>
      </c>
      <c r="BE368" t="s">
        <v>7476</v>
      </c>
      <c r="BF368" t="str">
        <f>HYPERLINK("http://dx.doi.org/10.1080/01916122.2013.787126","http://dx.doi.org/10.1080/01916122.2013.787126")</f>
        <v>http://dx.doi.org/10.1080/01916122.2013.787126</v>
      </c>
      <c r="BG368" t="s">
        <v>74</v>
      </c>
      <c r="BH368" t="s">
        <v>74</v>
      </c>
      <c r="BI368">
        <v>13</v>
      </c>
      <c r="BJ368" t="s">
        <v>3502</v>
      </c>
      <c r="BK368" t="s">
        <v>99</v>
      </c>
      <c r="BL368" t="s">
        <v>3502</v>
      </c>
      <c r="BM368" t="s">
        <v>7477</v>
      </c>
      <c r="BN368" t="s">
        <v>74</v>
      </c>
      <c r="BO368" t="s">
        <v>74</v>
      </c>
      <c r="BP368" t="s">
        <v>74</v>
      </c>
      <c r="BQ368" t="s">
        <v>74</v>
      </c>
      <c r="BR368" t="s">
        <v>103</v>
      </c>
      <c r="BS368" t="s">
        <v>7478</v>
      </c>
      <c r="BT368" t="str">
        <f>HYPERLINK("https%3A%2F%2Fwww.webofscience.com%2Fwos%2Fwoscc%2Ffull-record%2FWOS:000327946600007","View Full Record in Web of Science")</f>
        <v>View Full Record in Web of Science</v>
      </c>
    </row>
    <row r="369" spans="1:72" x14ac:dyDescent="0.15">
      <c r="A369" t="s">
        <v>72</v>
      </c>
      <c r="B369" t="s">
        <v>7479</v>
      </c>
      <c r="C369" t="s">
        <v>74</v>
      </c>
      <c r="D369" t="s">
        <v>74</v>
      </c>
      <c r="E369" t="s">
        <v>74</v>
      </c>
      <c r="F369" t="s">
        <v>7480</v>
      </c>
      <c r="G369" t="s">
        <v>74</v>
      </c>
      <c r="H369" t="s">
        <v>74</v>
      </c>
      <c r="I369" t="s">
        <v>7481</v>
      </c>
      <c r="J369" t="s">
        <v>7482</v>
      </c>
      <c r="K369" t="s">
        <v>74</v>
      </c>
      <c r="L369" t="s">
        <v>74</v>
      </c>
      <c r="M369" t="s">
        <v>78</v>
      </c>
      <c r="N369" t="s">
        <v>79</v>
      </c>
      <c r="O369" t="s">
        <v>74</v>
      </c>
      <c r="P369" t="s">
        <v>74</v>
      </c>
      <c r="Q369" t="s">
        <v>74</v>
      </c>
      <c r="R369" t="s">
        <v>74</v>
      </c>
      <c r="S369" t="s">
        <v>74</v>
      </c>
      <c r="T369" t="s">
        <v>7483</v>
      </c>
      <c r="U369" t="s">
        <v>7484</v>
      </c>
      <c r="V369" t="s">
        <v>7485</v>
      </c>
      <c r="W369" t="s">
        <v>7486</v>
      </c>
      <c r="X369" t="s">
        <v>7487</v>
      </c>
      <c r="Y369" t="s">
        <v>7488</v>
      </c>
      <c r="Z369" t="s">
        <v>7489</v>
      </c>
      <c r="AA369" t="s">
        <v>7490</v>
      </c>
      <c r="AB369" t="s">
        <v>7491</v>
      </c>
      <c r="AC369" t="s">
        <v>7492</v>
      </c>
      <c r="AD369" t="s">
        <v>7493</v>
      </c>
      <c r="AE369" t="s">
        <v>7494</v>
      </c>
      <c r="AF369" t="s">
        <v>74</v>
      </c>
      <c r="AG369">
        <v>137</v>
      </c>
      <c r="AH369">
        <v>215</v>
      </c>
      <c r="AI369">
        <v>238</v>
      </c>
      <c r="AJ369">
        <v>11</v>
      </c>
      <c r="AK369">
        <v>139</v>
      </c>
      <c r="AL369" t="s">
        <v>7495</v>
      </c>
      <c r="AM369" t="s">
        <v>2237</v>
      </c>
      <c r="AN369" t="s">
        <v>7496</v>
      </c>
      <c r="AO369" t="s">
        <v>7497</v>
      </c>
      <c r="AP369" t="s">
        <v>74</v>
      </c>
      <c r="AQ369" t="s">
        <v>74</v>
      </c>
      <c r="AR369" t="s">
        <v>7482</v>
      </c>
      <c r="AS369" t="s">
        <v>7498</v>
      </c>
      <c r="AT369" t="s">
        <v>4901</v>
      </c>
      <c r="AU369">
        <v>2013</v>
      </c>
      <c r="AV369">
        <v>31</v>
      </c>
      <c r="AW369" t="s">
        <v>74</v>
      </c>
      <c r="AX369" t="s">
        <v>74</v>
      </c>
      <c r="AY369" t="s">
        <v>74</v>
      </c>
      <c r="AZ369" t="s">
        <v>74</v>
      </c>
      <c r="BA369" t="s">
        <v>74</v>
      </c>
      <c r="BB369">
        <v>188</v>
      </c>
      <c r="BC369">
        <v>296</v>
      </c>
      <c r="BD369" t="s">
        <v>74</v>
      </c>
      <c r="BE369" t="s">
        <v>7499</v>
      </c>
      <c r="BF369" t="str">
        <f>HYPERLINK("http://dx.doi.org/10.3767/003158513X675925","http://dx.doi.org/10.3767/003158513X675925")</f>
        <v>http://dx.doi.org/10.3767/003158513X675925</v>
      </c>
      <c r="BG369" t="s">
        <v>74</v>
      </c>
      <c r="BH369" t="s">
        <v>74</v>
      </c>
      <c r="BI369">
        <v>109</v>
      </c>
      <c r="BJ369" t="s">
        <v>790</v>
      </c>
      <c r="BK369" t="s">
        <v>99</v>
      </c>
      <c r="BL369" t="s">
        <v>790</v>
      </c>
      <c r="BM369" t="s">
        <v>7500</v>
      </c>
      <c r="BN369">
        <v>24761043</v>
      </c>
      <c r="BO369" t="s">
        <v>7501</v>
      </c>
      <c r="BP369" t="s">
        <v>120</v>
      </c>
      <c r="BQ369" t="s">
        <v>121</v>
      </c>
      <c r="BR369" t="s">
        <v>103</v>
      </c>
      <c r="BS369" t="s">
        <v>7502</v>
      </c>
      <c r="BT369" t="str">
        <f>HYPERLINK("https%3A%2F%2Fwww.webofscience.com%2Fwos%2Fwoscc%2Ffull-record%2FWOS:000329304700001","View Full Record in Web of Science")</f>
        <v>View Full Record in Web of Science</v>
      </c>
    </row>
    <row r="370" spans="1:72" x14ac:dyDescent="0.15">
      <c r="A370" t="s">
        <v>72</v>
      </c>
      <c r="B370" t="s">
        <v>7503</v>
      </c>
      <c r="C370" t="s">
        <v>74</v>
      </c>
      <c r="D370" t="s">
        <v>74</v>
      </c>
      <c r="E370" t="s">
        <v>74</v>
      </c>
      <c r="F370" t="s">
        <v>7504</v>
      </c>
      <c r="G370" t="s">
        <v>74</v>
      </c>
      <c r="H370" t="s">
        <v>74</v>
      </c>
      <c r="I370" t="s">
        <v>7505</v>
      </c>
      <c r="J370" t="s">
        <v>7506</v>
      </c>
      <c r="K370" t="s">
        <v>74</v>
      </c>
      <c r="L370" t="s">
        <v>74</v>
      </c>
      <c r="M370" t="s">
        <v>78</v>
      </c>
      <c r="N370" t="s">
        <v>2830</v>
      </c>
      <c r="O370" t="s">
        <v>74</v>
      </c>
      <c r="P370" t="s">
        <v>74</v>
      </c>
      <c r="Q370" t="s">
        <v>74</v>
      </c>
      <c r="R370" t="s">
        <v>74</v>
      </c>
      <c r="S370" t="s">
        <v>74</v>
      </c>
      <c r="T370" t="s">
        <v>74</v>
      </c>
      <c r="U370" t="s">
        <v>74</v>
      </c>
      <c r="V370" t="s">
        <v>74</v>
      </c>
      <c r="W370" t="s">
        <v>7507</v>
      </c>
      <c r="X370" t="s">
        <v>7508</v>
      </c>
      <c r="Y370" t="s">
        <v>7509</v>
      </c>
      <c r="Z370" t="s">
        <v>7510</v>
      </c>
      <c r="AA370" t="s">
        <v>74</v>
      </c>
      <c r="AB370" t="s">
        <v>74</v>
      </c>
      <c r="AC370" t="s">
        <v>74</v>
      </c>
      <c r="AD370" t="s">
        <v>74</v>
      </c>
      <c r="AE370" t="s">
        <v>74</v>
      </c>
      <c r="AF370" t="s">
        <v>74</v>
      </c>
      <c r="AG370">
        <v>1</v>
      </c>
      <c r="AH370">
        <v>0</v>
      </c>
      <c r="AI370">
        <v>0</v>
      </c>
      <c r="AJ370">
        <v>0</v>
      </c>
      <c r="AK370">
        <v>0</v>
      </c>
      <c r="AL370" t="s">
        <v>7511</v>
      </c>
      <c r="AM370" t="s">
        <v>7512</v>
      </c>
      <c r="AN370" t="s">
        <v>7513</v>
      </c>
      <c r="AO370" t="s">
        <v>7514</v>
      </c>
      <c r="AP370" t="s">
        <v>7515</v>
      </c>
      <c r="AQ370" t="s">
        <v>74</v>
      </c>
      <c r="AR370" t="s">
        <v>7516</v>
      </c>
      <c r="AS370" t="s">
        <v>7517</v>
      </c>
      <c r="AT370" t="s">
        <v>4901</v>
      </c>
      <c r="AU370">
        <v>2013</v>
      </c>
      <c r="AV370">
        <v>66</v>
      </c>
      <c r="AW370">
        <v>12</v>
      </c>
      <c r="AX370" t="s">
        <v>74</v>
      </c>
      <c r="AY370" t="s">
        <v>74</v>
      </c>
      <c r="AZ370" t="s">
        <v>74</v>
      </c>
      <c r="BA370" t="s">
        <v>74</v>
      </c>
      <c r="BB370">
        <v>8</v>
      </c>
      <c r="BC370">
        <v>8</v>
      </c>
      <c r="BD370" t="s">
        <v>74</v>
      </c>
      <c r="BE370" t="s">
        <v>7518</v>
      </c>
      <c r="BF370" t="str">
        <f>HYPERLINK("http://dx.doi.org/10.1063/PT.3.2191","http://dx.doi.org/10.1063/PT.3.2191")</f>
        <v>http://dx.doi.org/10.1063/PT.3.2191</v>
      </c>
      <c r="BG370" t="s">
        <v>74</v>
      </c>
      <c r="BH370" t="s">
        <v>74</v>
      </c>
      <c r="BI370">
        <v>1</v>
      </c>
      <c r="BJ370" t="s">
        <v>721</v>
      </c>
      <c r="BK370" t="s">
        <v>99</v>
      </c>
      <c r="BL370" t="s">
        <v>722</v>
      </c>
      <c r="BM370" t="s">
        <v>7519</v>
      </c>
      <c r="BN370" t="s">
        <v>74</v>
      </c>
      <c r="BO370" t="s">
        <v>475</v>
      </c>
      <c r="BP370" t="s">
        <v>74</v>
      </c>
      <c r="BQ370" t="s">
        <v>74</v>
      </c>
      <c r="BR370" t="s">
        <v>103</v>
      </c>
      <c r="BS370" t="s">
        <v>7520</v>
      </c>
      <c r="BT370" t="str">
        <f>HYPERLINK("https%3A%2F%2Fwww.webofscience.com%2Fwos%2Fwoscc%2Ffull-record%2FWOS:000329980200001","View Full Record in Web of Science")</f>
        <v>View Full Record in Web of Science</v>
      </c>
    </row>
    <row r="371" spans="1:72" x14ac:dyDescent="0.15">
      <c r="A371" t="s">
        <v>72</v>
      </c>
      <c r="B371" t="s">
        <v>7521</v>
      </c>
      <c r="C371" t="s">
        <v>74</v>
      </c>
      <c r="D371" t="s">
        <v>74</v>
      </c>
      <c r="E371" t="s">
        <v>74</v>
      </c>
      <c r="F371" t="s">
        <v>7522</v>
      </c>
      <c r="G371" t="s">
        <v>74</v>
      </c>
      <c r="H371" t="s">
        <v>74</v>
      </c>
      <c r="I371" t="s">
        <v>7523</v>
      </c>
      <c r="J371" t="s">
        <v>3167</v>
      </c>
      <c r="K371" t="s">
        <v>74</v>
      </c>
      <c r="L371" t="s">
        <v>74</v>
      </c>
      <c r="M371" t="s">
        <v>78</v>
      </c>
      <c r="N371" t="s">
        <v>79</v>
      </c>
      <c r="O371" t="s">
        <v>74</v>
      </c>
      <c r="P371" t="s">
        <v>74</v>
      </c>
      <c r="Q371" t="s">
        <v>74</v>
      </c>
      <c r="R371" t="s">
        <v>74</v>
      </c>
      <c r="S371" t="s">
        <v>74</v>
      </c>
      <c r="T371" t="s">
        <v>7524</v>
      </c>
      <c r="U371" t="s">
        <v>7525</v>
      </c>
      <c r="V371" t="s">
        <v>7526</v>
      </c>
      <c r="W371" t="s">
        <v>7527</v>
      </c>
      <c r="X371" t="s">
        <v>7528</v>
      </c>
      <c r="Y371" t="s">
        <v>7529</v>
      </c>
      <c r="Z371" t="s">
        <v>7530</v>
      </c>
      <c r="AA371" t="s">
        <v>7531</v>
      </c>
      <c r="AB371" t="s">
        <v>7532</v>
      </c>
      <c r="AC371" t="s">
        <v>7533</v>
      </c>
      <c r="AD371" t="s">
        <v>7534</v>
      </c>
      <c r="AE371" t="s">
        <v>7535</v>
      </c>
      <c r="AF371" t="s">
        <v>74</v>
      </c>
      <c r="AG371">
        <v>46</v>
      </c>
      <c r="AH371">
        <v>8</v>
      </c>
      <c r="AI371">
        <v>10</v>
      </c>
      <c r="AJ371">
        <v>2</v>
      </c>
      <c r="AK371">
        <v>26</v>
      </c>
      <c r="AL371" t="s">
        <v>1067</v>
      </c>
      <c r="AM371" t="s">
        <v>921</v>
      </c>
      <c r="AN371" t="s">
        <v>2690</v>
      </c>
      <c r="AO371" t="s">
        <v>3178</v>
      </c>
      <c r="AP371" t="s">
        <v>3179</v>
      </c>
      <c r="AQ371" t="s">
        <v>74</v>
      </c>
      <c r="AR371" t="s">
        <v>3180</v>
      </c>
      <c r="AS371" t="s">
        <v>3181</v>
      </c>
      <c r="AT371" t="s">
        <v>4901</v>
      </c>
      <c r="AU371">
        <v>2013</v>
      </c>
      <c r="AV371">
        <v>36</v>
      </c>
      <c r="AW371">
        <v>12</v>
      </c>
      <c r="AX371" t="s">
        <v>74</v>
      </c>
      <c r="AY371" t="s">
        <v>74</v>
      </c>
      <c r="AZ371" t="s">
        <v>74</v>
      </c>
      <c r="BA371" t="s">
        <v>74</v>
      </c>
      <c r="BB371">
        <v>1709</v>
      </c>
      <c r="BC371">
        <v>1722</v>
      </c>
      <c r="BD371" t="s">
        <v>74</v>
      </c>
      <c r="BE371" t="s">
        <v>7536</v>
      </c>
      <c r="BF371" t="str">
        <f>HYPERLINK("http://dx.doi.org/10.1007/s00300-013-1388-3","http://dx.doi.org/10.1007/s00300-013-1388-3")</f>
        <v>http://dx.doi.org/10.1007/s00300-013-1388-3</v>
      </c>
      <c r="BG371" t="s">
        <v>74</v>
      </c>
      <c r="BH371" t="s">
        <v>74</v>
      </c>
      <c r="BI371">
        <v>14</v>
      </c>
      <c r="BJ371" t="s">
        <v>3183</v>
      </c>
      <c r="BK371" t="s">
        <v>99</v>
      </c>
      <c r="BL371" t="s">
        <v>1050</v>
      </c>
      <c r="BM371" t="s">
        <v>6227</v>
      </c>
      <c r="BN371" t="s">
        <v>74</v>
      </c>
      <c r="BO371" t="s">
        <v>74</v>
      </c>
      <c r="BP371" t="s">
        <v>74</v>
      </c>
      <c r="BQ371" t="s">
        <v>74</v>
      </c>
      <c r="BR371" t="s">
        <v>103</v>
      </c>
      <c r="BS371" t="s">
        <v>7537</v>
      </c>
      <c r="BT371" t="str">
        <f>HYPERLINK("https%3A%2F%2Fwww.webofscience.com%2Fwos%2Fwoscc%2Ffull-record%2FWOS:000327393700001","View Full Record in Web of Science")</f>
        <v>View Full Record in Web of Science</v>
      </c>
    </row>
    <row r="372" spans="1:72" x14ac:dyDescent="0.15">
      <c r="A372" t="s">
        <v>72</v>
      </c>
      <c r="B372" t="s">
        <v>7538</v>
      </c>
      <c r="C372" t="s">
        <v>74</v>
      </c>
      <c r="D372" t="s">
        <v>74</v>
      </c>
      <c r="E372" t="s">
        <v>74</v>
      </c>
      <c r="F372" t="s">
        <v>7539</v>
      </c>
      <c r="G372" t="s">
        <v>74</v>
      </c>
      <c r="H372" t="s">
        <v>74</v>
      </c>
      <c r="I372" t="s">
        <v>7540</v>
      </c>
      <c r="J372" t="s">
        <v>3167</v>
      </c>
      <c r="K372" t="s">
        <v>74</v>
      </c>
      <c r="L372" t="s">
        <v>74</v>
      </c>
      <c r="M372" t="s">
        <v>78</v>
      </c>
      <c r="N372" t="s">
        <v>79</v>
      </c>
      <c r="O372" t="s">
        <v>74</v>
      </c>
      <c r="P372" t="s">
        <v>74</v>
      </c>
      <c r="Q372" t="s">
        <v>74</v>
      </c>
      <c r="R372" t="s">
        <v>74</v>
      </c>
      <c r="S372" t="s">
        <v>74</v>
      </c>
      <c r="T372" t="s">
        <v>7541</v>
      </c>
      <c r="U372" t="s">
        <v>7542</v>
      </c>
      <c r="V372" t="s">
        <v>7543</v>
      </c>
      <c r="W372" t="s">
        <v>7544</v>
      </c>
      <c r="X372" t="s">
        <v>7545</v>
      </c>
      <c r="Y372" t="s">
        <v>7546</v>
      </c>
      <c r="Z372" t="s">
        <v>7547</v>
      </c>
      <c r="AA372" t="s">
        <v>7548</v>
      </c>
      <c r="AB372" t="s">
        <v>7549</v>
      </c>
      <c r="AC372" t="s">
        <v>7550</v>
      </c>
      <c r="AD372" t="s">
        <v>4965</v>
      </c>
      <c r="AE372" t="s">
        <v>7551</v>
      </c>
      <c r="AF372" t="s">
        <v>74</v>
      </c>
      <c r="AG372">
        <v>48</v>
      </c>
      <c r="AH372">
        <v>9</v>
      </c>
      <c r="AI372">
        <v>9</v>
      </c>
      <c r="AJ372">
        <v>0</v>
      </c>
      <c r="AK372">
        <v>38</v>
      </c>
      <c r="AL372" t="s">
        <v>1067</v>
      </c>
      <c r="AM372" t="s">
        <v>921</v>
      </c>
      <c r="AN372" t="s">
        <v>2493</v>
      </c>
      <c r="AO372" t="s">
        <v>3178</v>
      </c>
      <c r="AP372" t="s">
        <v>3179</v>
      </c>
      <c r="AQ372" t="s">
        <v>74</v>
      </c>
      <c r="AR372" t="s">
        <v>3180</v>
      </c>
      <c r="AS372" t="s">
        <v>3181</v>
      </c>
      <c r="AT372" t="s">
        <v>4901</v>
      </c>
      <c r="AU372">
        <v>2013</v>
      </c>
      <c r="AV372">
        <v>36</v>
      </c>
      <c r="AW372">
        <v>12</v>
      </c>
      <c r="AX372" t="s">
        <v>74</v>
      </c>
      <c r="AY372" t="s">
        <v>74</v>
      </c>
      <c r="AZ372" t="s">
        <v>74</v>
      </c>
      <c r="BA372" t="s">
        <v>74</v>
      </c>
      <c r="BB372">
        <v>1723</v>
      </c>
      <c r="BC372">
        <v>1734</v>
      </c>
      <c r="BD372" t="s">
        <v>74</v>
      </c>
      <c r="BE372" t="s">
        <v>7552</v>
      </c>
      <c r="BF372" t="str">
        <f>HYPERLINK("http://dx.doi.org/10.1007/s00300-013-1389-2","http://dx.doi.org/10.1007/s00300-013-1389-2")</f>
        <v>http://dx.doi.org/10.1007/s00300-013-1389-2</v>
      </c>
      <c r="BG372" t="s">
        <v>74</v>
      </c>
      <c r="BH372" t="s">
        <v>74</v>
      </c>
      <c r="BI372">
        <v>12</v>
      </c>
      <c r="BJ372" t="s">
        <v>3183</v>
      </c>
      <c r="BK372" t="s">
        <v>99</v>
      </c>
      <c r="BL372" t="s">
        <v>1050</v>
      </c>
      <c r="BM372" t="s">
        <v>6227</v>
      </c>
      <c r="BN372" t="s">
        <v>74</v>
      </c>
      <c r="BO372" t="s">
        <v>74</v>
      </c>
      <c r="BP372" t="s">
        <v>74</v>
      </c>
      <c r="BQ372" t="s">
        <v>74</v>
      </c>
      <c r="BR372" t="s">
        <v>103</v>
      </c>
      <c r="BS372" t="s">
        <v>7553</v>
      </c>
      <c r="BT372" t="str">
        <f>HYPERLINK("https%3A%2F%2Fwww.webofscience.com%2Fwos%2Fwoscc%2Ffull-record%2FWOS:000327393700002","View Full Record in Web of Science")</f>
        <v>View Full Record in Web of Science</v>
      </c>
    </row>
    <row r="373" spans="1:72" x14ac:dyDescent="0.15">
      <c r="A373" t="s">
        <v>72</v>
      </c>
      <c r="B373" t="s">
        <v>7554</v>
      </c>
      <c r="C373" t="s">
        <v>74</v>
      </c>
      <c r="D373" t="s">
        <v>74</v>
      </c>
      <c r="E373" t="s">
        <v>74</v>
      </c>
      <c r="F373" t="s">
        <v>7555</v>
      </c>
      <c r="G373" t="s">
        <v>74</v>
      </c>
      <c r="H373" t="s">
        <v>74</v>
      </c>
      <c r="I373" t="s">
        <v>7556</v>
      </c>
      <c r="J373" t="s">
        <v>3167</v>
      </c>
      <c r="K373" t="s">
        <v>74</v>
      </c>
      <c r="L373" t="s">
        <v>74</v>
      </c>
      <c r="M373" t="s">
        <v>78</v>
      </c>
      <c r="N373" t="s">
        <v>79</v>
      </c>
      <c r="O373" t="s">
        <v>74</v>
      </c>
      <c r="P373" t="s">
        <v>74</v>
      </c>
      <c r="Q373" t="s">
        <v>74</v>
      </c>
      <c r="R373" t="s">
        <v>74</v>
      </c>
      <c r="S373" t="s">
        <v>74</v>
      </c>
      <c r="T373" t="s">
        <v>7557</v>
      </c>
      <c r="U373" t="s">
        <v>7558</v>
      </c>
      <c r="V373" t="s">
        <v>7559</v>
      </c>
      <c r="W373" t="s">
        <v>7560</v>
      </c>
      <c r="X373" t="s">
        <v>7561</v>
      </c>
      <c r="Y373" t="s">
        <v>7562</v>
      </c>
      <c r="Z373" t="s">
        <v>7563</v>
      </c>
      <c r="AA373" t="s">
        <v>7564</v>
      </c>
      <c r="AB373" t="s">
        <v>7565</v>
      </c>
      <c r="AC373" t="s">
        <v>7566</v>
      </c>
      <c r="AD373" t="s">
        <v>7567</v>
      </c>
      <c r="AE373" t="s">
        <v>7568</v>
      </c>
      <c r="AF373" t="s">
        <v>74</v>
      </c>
      <c r="AG373">
        <v>49</v>
      </c>
      <c r="AH373">
        <v>29</v>
      </c>
      <c r="AI373">
        <v>31</v>
      </c>
      <c r="AJ373">
        <v>6</v>
      </c>
      <c r="AK373">
        <v>47</v>
      </c>
      <c r="AL373" t="s">
        <v>1067</v>
      </c>
      <c r="AM373" t="s">
        <v>921</v>
      </c>
      <c r="AN373" t="s">
        <v>2493</v>
      </c>
      <c r="AO373" t="s">
        <v>3178</v>
      </c>
      <c r="AP373" t="s">
        <v>3179</v>
      </c>
      <c r="AQ373" t="s">
        <v>74</v>
      </c>
      <c r="AR373" t="s">
        <v>3180</v>
      </c>
      <c r="AS373" t="s">
        <v>3181</v>
      </c>
      <c r="AT373" t="s">
        <v>4901</v>
      </c>
      <c r="AU373">
        <v>2013</v>
      </c>
      <c r="AV373">
        <v>36</v>
      </c>
      <c r="AW373">
        <v>12</v>
      </c>
      <c r="AX373" t="s">
        <v>74</v>
      </c>
      <c r="AY373" t="s">
        <v>74</v>
      </c>
      <c r="AZ373" t="s">
        <v>74</v>
      </c>
      <c r="BA373" t="s">
        <v>74</v>
      </c>
      <c r="BB373">
        <v>1823</v>
      </c>
      <c r="BC373">
        <v>1831</v>
      </c>
      <c r="BD373" t="s">
        <v>74</v>
      </c>
      <c r="BE373" t="s">
        <v>7569</v>
      </c>
      <c r="BF373" t="str">
        <f>HYPERLINK("http://dx.doi.org/10.1007/s00300-013-1403-8","http://dx.doi.org/10.1007/s00300-013-1403-8")</f>
        <v>http://dx.doi.org/10.1007/s00300-013-1403-8</v>
      </c>
      <c r="BG373" t="s">
        <v>74</v>
      </c>
      <c r="BH373" t="s">
        <v>74</v>
      </c>
      <c r="BI373">
        <v>9</v>
      </c>
      <c r="BJ373" t="s">
        <v>3183</v>
      </c>
      <c r="BK373" t="s">
        <v>99</v>
      </c>
      <c r="BL373" t="s">
        <v>1050</v>
      </c>
      <c r="BM373" t="s">
        <v>6227</v>
      </c>
      <c r="BN373" t="s">
        <v>74</v>
      </c>
      <c r="BO373" t="s">
        <v>74</v>
      </c>
      <c r="BP373" t="s">
        <v>74</v>
      </c>
      <c r="BQ373" t="s">
        <v>74</v>
      </c>
      <c r="BR373" t="s">
        <v>103</v>
      </c>
      <c r="BS373" t="s">
        <v>7570</v>
      </c>
      <c r="BT373" t="str">
        <f>HYPERLINK("https%3A%2F%2Fwww.webofscience.com%2Fwos%2Fwoscc%2Ffull-record%2FWOS:000327393700010","View Full Record in Web of Science")</f>
        <v>View Full Record in Web of Science</v>
      </c>
    </row>
    <row r="374" spans="1:72" x14ac:dyDescent="0.15">
      <c r="A374" t="s">
        <v>72</v>
      </c>
      <c r="B374" t="s">
        <v>7571</v>
      </c>
      <c r="C374" t="s">
        <v>74</v>
      </c>
      <c r="D374" t="s">
        <v>74</v>
      </c>
      <c r="E374" t="s">
        <v>74</v>
      </c>
      <c r="F374" t="s">
        <v>7572</v>
      </c>
      <c r="G374" t="s">
        <v>74</v>
      </c>
      <c r="H374" t="s">
        <v>74</v>
      </c>
      <c r="I374" t="s">
        <v>7573</v>
      </c>
      <c r="J374" t="s">
        <v>3167</v>
      </c>
      <c r="K374" t="s">
        <v>74</v>
      </c>
      <c r="L374" t="s">
        <v>74</v>
      </c>
      <c r="M374" t="s">
        <v>78</v>
      </c>
      <c r="N374" t="s">
        <v>79</v>
      </c>
      <c r="O374" t="s">
        <v>74</v>
      </c>
      <c r="P374" t="s">
        <v>74</v>
      </c>
      <c r="Q374" t="s">
        <v>74</v>
      </c>
      <c r="R374" t="s">
        <v>74</v>
      </c>
      <c r="S374" t="s">
        <v>74</v>
      </c>
      <c r="T374" t="s">
        <v>7574</v>
      </c>
      <c r="U374" t="s">
        <v>7575</v>
      </c>
      <c r="V374" t="s">
        <v>7576</v>
      </c>
      <c r="W374" t="s">
        <v>7577</v>
      </c>
      <c r="X374" t="s">
        <v>7578</v>
      </c>
      <c r="Y374" t="s">
        <v>7579</v>
      </c>
      <c r="Z374" t="s">
        <v>7580</v>
      </c>
      <c r="AA374" t="s">
        <v>7581</v>
      </c>
      <c r="AB374" t="s">
        <v>7582</v>
      </c>
      <c r="AC374" t="s">
        <v>7583</v>
      </c>
      <c r="AD374" t="s">
        <v>7584</v>
      </c>
      <c r="AE374" t="s">
        <v>7585</v>
      </c>
      <c r="AF374" t="s">
        <v>74</v>
      </c>
      <c r="AG374">
        <v>21</v>
      </c>
      <c r="AH374">
        <v>6</v>
      </c>
      <c r="AI374">
        <v>6</v>
      </c>
      <c r="AJ374">
        <v>0</v>
      </c>
      <c r="AK374">
        <v>10</v>
      </c>
      <c r="AL374" t="s">
        <v>1067</v>
      </c>
      <c r="AM374" t="s">
        <v>921</v>
      </c>
      <c r="AN374" t="s">
        <v>2690</v>
      </c>
      <c r="AO374" t="s">
        <v>3178</v>
      </c>
      <c r="AP374" t="s">
        <v>3179</v>
      </c>
      <c r="AQ374" t="s">
        <v>74</v>
      </c>
      <c r="AR374" t="s">
        <v>3180</v>
      </c>
      <c r="AS374" t="s">
        <v>3181</v>
      </c>
      <c r="AT374" t="s">
        <v>4901</v>
      </c>
      <c r="AU374">
        <v>2013</v>
      </c>
      <c r="AV374">
        <v>36</v>
      </c>
      <c r="AW374">
        <v>12</v>
      </c>
      <c r="AX374" t="s">
        <v>74</v>
      </c>
      <c r="AY374" t="s">
        <v>74</v>
      </c>
      <c r="AZ374" t="s">
        <v>74</v>
      </c>
      <c r="BA374" t="s">
        <v>74</v>
      </c>
      <c r="BB374">
        <v>1833</v>
      </c>
      <c r="BC374">
        <v>1838</v>
      </c>
      <c r="BD374" t="s">
        <v>74</v>
      </c>
      <c r="BE374" t="s">
        <v>7586</v>
      </c>
      <c r="BF374" t="str">
        <f>HYPERLINK("http://dx.doi.org/10.1007/s00300-013-1390-9","http://dx.doi.org/10.1007/s00300-013-1390-9")</f>
        <v>http://dx.doi.org/10.1007/s00300-013-1390-9</v>
      </c>
      <c r="BG374" t="s">
        <v>74</v>
      </c>
      <c r="BH374" t="s">
        <v>74</v>
      </c>
      <c r="BI374">
        <v>6</v>
      </c>
      <c r="BJ374" t="s">
        <v>3183</v>
      </c>
      <c r="BK374" t="s">
        <v>99</v>
      </c>
      <c r="BL374" t="s">
        <v>1050</v>
      </c>
      <c r="BM374" t="s">
        <v>6227</v>
      </c>
      <c r="BN374" t="s">
        <v>74</v>
      </c>
      <c r="BO374" t="s">
        <v>74</v>
      </c>
      <c r="BP374" t="s">
        <v>74</v>
      </c>
      <c r="BQ374" t="s">
        <v>74</v>
      </c>
      <c r="BR374" t="s">
        <v>103</v>
      </c>
      <c r="BS374" t="s">
        <v>7587</v>
      </c>
      <c r="BT374" t="str">
        <f>HYPERLINK("https%3A%2F%2Fwww.webofscience.com%2Fwos%2Fwoscc%2Ffull-record%2FWOS:000327393700011","View Full Record in Web of Science")</f>
        <v>View Full Record in Web of Science</v>
      </c>
    </row>
    <row r="375" spans="1:72" x14ac:dyDescent="0.15">
      <c r="A375" t="s">
        <v>72</v>
      </c>
      <c r="B375" t="s">
        <v>7588</v>
      </c>
      <c r="C375" t="s">
        <v>74</v>
      </c>
      <c r="D375" t="s">
        <v>74</v>
      </c>
      <c r="E375" t="s">
        <v>74</v>
      </c>
      <c r="F375" t="s">
        <v>7589</v>
      </c>
      <c r="G375" t="s">
        <v>74</v>
      </c>
      <c r="H375" t="s">
        <v>74</v>
      </c>
      <c r="I375" t="s">
        <v>7590</v>
      </c>
      <c r="J375" t="s">
        <v>3167</v>
      </c>
      <c r="K375" t="s">
        <v>74</v>
      </c>
      <c r="L375" t="s">
        <v>74</v>
      </c>
      <c r="M375" t="s">
        <v>78</v>
      </c>
      <c r="N375" t="s">
        <v>79</v>
      </c>
      <c r="O375" t="s">
        <v>74</v>
      </c>
      <c r="P375" t="s">
        <v>74</v>
      </c>
      <c r="Q375" t="s">
        <v>74</v>
      </c>
      <c r="R375" t="s">
        <v>74</v>
      </c>
      <c r="S375" t="s">
        <v>74</v>
      </c>
      <c r="T375" t="s">
        <v>7591</v>
      </c>
      <c r="U375" t="s">
        <v>7592</v>
      </c>
      <c r="V375" t="s">
        <v>7593</v>
      </c>
      <c r="W375" t="s">
        <v>7594</v>
      </c>
      <c r="X375" t="s">
        <v>7595</v>
      </c>
      <c r="Y375" t="s">
        <v>7596</v>
      </c>
      <c r="Z375" t="s">
        <v>7597</v>
      </c>
      <c r="AA375" t="s">
        <v>74</v>
      </c>
      <c r="AB375" t="s">
        <v>74</v>
      </c>
      <c r="AC375" t="s">
        <v>7598</v>
      </c>
      <c r="AD375" t="s">
        <v>7599</v>
      </c>
      <c r="AE375" t="s">
        <v>7600</v>
      </c>
      <c r="AF375" t="s">
        <v>74</v>
      </c>
      <c r="AG375">
        <v>35</v>
      </c>
      <c r="AH375">
        <v>10</v>
      </c>
      <c r="AI375">
        <v>10</v>
      </c>
      <c r="AJ375">
        <v>0</v>
      </c>
      <c r="AK375">
        <v>37</v>
      </c>
      <c r="AL375" t="s">
        <v>1067</v>
      </c>
      <c r="AM375" t="s">
        <v>921</v>
      </c>
      <c r="AN375" t="s">
        <v>2493</v>
      </c>
      <c r="AO375" t="s">
        <v>3178</v>
      </c>
      <c r="AP375" t="s">
        <v>3179</v>
      </c>
      <c r="AQ375" t="s">
        <v>74</v>
      </c>
      <c r="AR375" t="s">
        <v>3180</v>
      </c>
      <c r="AS375" t="s">
        <v>3181</v>
      </c>
      <c r="AT375" t="s">
        <v>4901</v>
      </c>
      <c r="AU375">
        <v>2013</v>
      </c>
      <c r="AV375">
        <v>36</v>
      </c>
      <c r="AW375">
        <v>12</v>
      </c>
      <c r="AX375" t="s">
        <v>74</v>
      </c>
      <c r="AY375" t="s">
        <v>74</v>
      </c>
      <c r="AZ375" t="s">
        <v>74</v>
      </c>
      <c r="BA375" t="s">
        <v>74</v>
      </c>
      <c r="BB375">
        <v>1857</v>
      </c>
      <c r="BC375">
        <v>1864</v>
      </c>
      <c r="BD375" t="s">
        <v>74</v>
      </c>
      <c r="BE375" t="s">
        <v>7601</v>
      </c>
      <c r="BF375" t="str">
        <f>HYPERLINK("http://dx.doi.org/10.1007/s00300-013-1400-y","http://dx.doi.org/10.1007/s00300-013-1400-y")</f>
        <v>http://dx.doi.org/10.1007/s00300-013-1400-y</v>
      </c>
      <c r="BG375" t="s">
        <v>74</v>
      </c>
      <c r="BH375" t="s">
        <v>74</v>
      </c>
      <c r="BI375">
        <v>8</v>
      </c>
      <c r="BJ375" t="s">
        <v>3183</v>
      </c>
      <c r="BK375" t="s">
        <v>99</v>
      </c>
      <c r="BL375" t="s">
        <v>1050</v>
      </c>
      <c r="BM375" t="s">
        <v>6227</v>
      </c>
      <c r="BN375" t="s">
        <v>74</v>
      </c>
      <c r="BO375" t="s">
        <v>74</v>
      </c>
      <c r="BP375" t="s">
        <v>74</v>
      </c>
      <c r="BQ375" t="s">
        <v>74</v>
      </c>
      <c r="BR375" t="s">
        <v>103</v>
      </c>
      <c r="BS375" t="s">
        <v>7602</v>
      </c>
      <c r="BT375" t="str">
        <f>HYPERLINK("https%3A%2F%2Fwww.webofscience.com%2Fwos%2Fwoscc%2Ffull-record%2FWOS:000327393700015","View Full Record in Web of Science")</f>
        <v>View Full Record in Web of Science</v>
      </c>
    </row>
    <row r="376" spans="1:72" x14ac:dyDescent="0.15">
      <c r="A376" t="s">
        <v>72</v>
      </c>
      <c r="B376" t="s">
        <v>7603</v>
      </c>
      <c r="C376" t="s">
        <v>74</v>
      </c>
      <c r="D376" t="s">
        <v>74</v>
      </c>
      <c r="E376" t="s">
        <v>74</v>
      </c>
      <c r="F376" t="s">
        <v>7604</v>
      </c>
      <c r="G376" t="s">
        <v>74</v>
      </c>
      <c r="H376" t="s">
        <v>74</v>
      </c>
      <c r="I376" t="s">
        <v>7605</v>
      </c>
      <c r="J376" t="s">
        <v>3339</v>
      </c>
      <c r="K376" t="s">
        <v>74</v>
      </c>
      <c r="L376" t="s">
        <v>74</v>
      </c>
      <c r="M376" t="s">
        <v>78</v>
      </c>
      <c r="N376" t="s">
        <v>213</v>
      </c>
      <c r="O376" t="s">
        <v>74</v>
      </c>
      <c r="P376" t="s">
        <v>74</v>
      </c>
      <c r="Q376" t="s">
        <v>74</v>
      </c>
      <c r="R376" t="s">
        <v>74</v>
      </c>
      <c r="S376" t="s">
        <v>74</v>
      </c>
      <c r="T376" t="s">
        <v>74</v>
      </c>
      <c r="U376" t="s">
        <v>7606</v>
      </c>
      <c r="V376" t="s">
        <v>7607</v>
      </c>
      <c r="W376" t="s">
        <v>7608</v>
      </c>
      <c r="X376" t="s">
        <v>7609</v>
      </c>
      <c r="Y376" t="s">
        <v>7610</v>
      </c>
      <c r="Z376" t="s">
        <v>7611</v>
      </c>
      <c r="AA376" t="s">
        <v>7612</v>
      </c>
      <c r="AB376" t="s">
        <v>7613</v>
      </c>
      <c r="AC376" t="s">
        <v>7614</v>
      </c>
      <c r="AD376" t="s">
        <v>7615</v>
      </c>
      <c r="AE376" t="s">
        <v>7616</v>
      </c>
      <c r="AF376" t="s">
        <v>74</v>
      </c>
      <c r="AG376">
        <v>225</v>
      </c>
      <c r="AH376">
        <v>68</v>
      </c>
      <c r="AI376">
        <v>76</v>
      </c>
      <c r="AJ376">
        <v>4</v>
      </c>
      <c r="AK376">
        <v>133</v>
      </c>
      <c r="AL376" t="s">
        <v>872</v>
      </c>
      <c r="AM376" t="s">
        <v>252</v>
      </c>
      <c r="AN376" t="s">
        <v>873</v>
      </c>
      <c r="AO376" t="s">
        <v>3351</v>
      </c>
      <c r="AP376" t="s">
        <v>3369</v>
      </c>
      <c r="AQ376" t="s">
        <v>74</v>
      </c>
      <c r="AR376" t="s">
        <v>3352</v>
      </c>
      <c r="AS376" t="s">
        <v>3353</v>
      </c>
      <c r="AT376" t="s">
        <v>4901</v>
      </c>
      <c r="AU376">
        <v>2013</v>
      </c>
      <c r="AV376">
        <v>119</v>
      </c>
      <c r="AW376" t="s">
        <v>74</v>
      </c>
      <c r="AX376" t="s">
        <v>74</v>
      </c>
      <c r="AY376" t="s">
        <v>74</v>
      </c>
      <c r="AZ376" t="s">
        <v>283</v>
      </c>
      <c r="BA376" t="s">
        <v>74</v>
      </c>
      <c r="BB376">
        <v>4</v>
      </c>
      <c r="BC376">
        <v>23</v>
      </c>
      <c r="BD376" t="s">
        <v>74</v>
      </c>
      <c r="BE376" t="s">
        <v>7617</v>
      </c>
      <c r="BF376" t="str">
        <f>HYPERLINK("http://dx.doi.org/10.1016/j.pocean.2013.06.004","http://dx.doi.org/10.1016/j.pocean.2013.06.004")</f>
        <v>http://dx.doi.org/10.1016/j.pocean.2013.06.004</v>
      </c>
      <c r="BG376" t="s">
        <v>74</v>
      </c>
      <c r="BH376" t="s">
        <v>74</v>
      </c>
      <c r="BI376">
        <v>20</v>
      </c>
      <c r="BJ376" t="s">
        <v>1613</v>
      </c>
      <c r="BK376" t="s">
        <v>99</v>
      </c>
      <c r="BL376" t="s">
        <v>1613</v>
      </c>
      <c r="BM376" t="s">
        <v>7618</v>
      </c>
      <c r="BN376" t="s">
        <v>74</v>
      </c>
      <c r="BO376" t="s">
        <v>74</v>
      </c>
      <c r="BP376" t="s">
        <v>74</v>
      </c>
      <c r="BQ376" t="s">
        <v>74</v>
      </c>
      <c r="BR376" t="s">
        <v>103</v>
      </c>
      <c r="BS376" t="s">
        <v>7619</v>
      </c>
      <c r="BT376" t="str">
        <f>HYPERLINK("https%3A%2F%2Fwww.webofscience.com%2Fwos%2Fwoscc%2Ffull-record%2FWOS:000329018600002","View Full Record in Web of Science")</f>
        <v>View Full Record in Web of Science</v>
      </c>
    </row>
    <row r="377" spans="1:72" x14ac:dyDescent="0.15">
      <c r="A377" t="s">
        <v>72</v>
      </c>
      <c r="B377" t="s">
        <v>7620</v>
      </c>
      <c r="C377" t="s">
        <v>74</v>
      </c>
      <c r="D377" t="s">
        <v>74</v>
      </c>
      <c r="E377" t="s">
        <v>74</v>
      </c>
      <c r="F377" t="s">
        <v>7621</v>
      </c>
      <c r="G377" t="s">
        <v>74</v>
      </c>
      <c r="H377" t="s">
        <v>74</v>
      </c>
      <c r="I377" t="s">
        <v>7622</v>
      </c>
      <c r="J377" t="s">
        <v>7623</v>
      </c>
      <c r="K377" t="s">
        <v>74</v>
      </c>
      <c r="L377" t="s">
        <v>74</v>
      </c>
      <c r="M377" t="s">
        <v>78</v>
      </c>
      <c r="N377" t="s">
        <v>213</v>
      </c>
      <c r="O377" t="s">
        <v>74</v>
      </c>
      <c r="P377" t="s">
        <v>74</v>
      </c>
      <c r="Q377" t="s">
        <v>74</v>
      </c>
      <c r="R377" t="s">
        <v>74</v>
      </c>
      <c r="S377" t="s">
        <v>74</v>
      </c>
      <c r="T377" t="s">
        <v>74</v>
      </c>
      <c r="U377" t="s">
        <v>7624</v>
      </c>
      <c r="V377" t="s">
        <v>7625</v>
      </c>
      <c r="W377" t="s">
        <v>7626</v>
      </c>
      <c r="X377" t="s">
        <v>7627</v>
      </c>
      <c r="Y377" t="s">
        <v>7628</v>
      </c>
      <c r="Z377" t="s">
        <v>74</v>
      </c>
      <c r="AA377" t="s">
        <v>74</v>
      </c>
      <c r="AB377" t="s">
        <v>7629</v>
      </c>
      <c r="AC377" t="s">
        <v>7630</v>
      </c>
      <c r="AD377" t="s">
        <v>7631</v>
      </c>
      <c r="AE377" t="s">
        <v>7632</v>
      </c>
      <c r="AF377" t="s">
        <v>74</v>
      </c>
      <c r="AG377">
        <v>90</v>
      </c>
      <c r="AH377">
        <v>7</v>
      </c>
      <c r="AI377">
        <v>7</v>
      </c>
      <c r="AJ377">
        <v>0</v>
      </c>
      <c r="AK377">
        <v>1</v>
      </c>
      <c r="AL377" t="s">
        <v>410</v>
      </c>
      <c r="AM377" t="s">
        <v>411</v>
      </c>
      <c r="AN377" t="s">
        <v>412</v>
      </c>
      <c r="AO377" t="s">
        <v>7633</v>
      </c>
      <c r="AP377" t="s">
        <v>7634</v>
      </c>
      <c r="AQ377" t="s">
        <v>74</v>
      </c>
      <c r="AR377" t="s">
        <v>7635</v>
      </c>
      <c r="AS377" t="s">
        <v>7636</v>
      </c>
      <c r="AT377" t="s">
        <v>5426</v>
      </c>
      <c r="AU377">
        <v>2013</v>
      </c>
      <c r="AV377">
        <v>24</v>
      </c>
      <c r="AW377">
        <v>1</v>
      </c>
      <c r="AX377" t="s">
        <v>74</v>
      </c>
      <c r="AY377" t="s">
        <v>74</v>
      </c>
      <c r="AZ377" t="s">
        <v>74</v>
      </c>
      <c r="BA377" t="s">
        <v>74</v>
      </c>
      <c r="BB377">
        <v>49</v>
      </c>
      <c r="BC377">
        <v>67</v>
      </c>
      <c r="BD377" t="s">
        <v>74</v>
      </c>
      <c r="BE377" t="s">
        <v>7637</v>
      </c>
      <c r="BF377" t="str">
        <f>HYPERLINK("http://dx.doi.org/10.1002/rem.21377","http://dx.doi.org/10.1002/rem.21377")</f>
        <v>http://dx.doi.org/10.1002/rem.21377</v>
      </c>
      <c r="BG377" t="s">
        <v>74</v>
      </c>
      <c r="BH377" t="s">
        <v>74</v>
      </c>
      <c r="BI377">
        <v>19</v>
      </c>
      <c r="BJ377" t="s">
        <v>7638</v>
      </c>
      <c r="BK377" t="s">
        <v>494</v>
      </c>
      <c r="BL377" t="s">
        <v>4044</v>
      </c>
      <c r="BM377" t="s">
        <v>7639</v>
      </c>
      <c r="BN377" t="s">
        <v>74</v>
      </c>
      <c r="BO377" t="s">
        <v>74</v>
      </c>
      <c r="BP377" t="s">
        <v>74</v>
      </c>
      <c r="BQ377" t="s">
        <v>74</v>
      </c>
      <c r="BR377" t="s">
        <v>103</v>
      </c>
      <c r="BS377" t="s">
        <v>7640</v>
      </c>
      <c r="BT377" t="str">
        <f>HYPERLINK("https%3A%2F%2Fwww.webofscience.com%2Fwos%2Fwoscc%2Ffull-record%2FWOS:000211103500005","View Full Record in Web of Science")</f>
        <v>View Full Record in Web of Science</v>
      </c>
    </row>
    <row r="378" spans="1:72" x14ac:dyDescent="0.15">
      <c r="A378" t="s">
        <v>72</v>
      </c>
      <c r="B378" t="s">
        <v>7641</v>
      </c>
      <c r="C378" t="s">
        <v>74</v>
      </c>
      <c r="D378" t="s">
        <v>74</v>
      </c>
      <c r="E378" t="s">
        <v>74</v>
      </c>
      <c r="F378" t="s">
        <v>7642</v>
      </c>
      <c r="G378" t="s">
        <v>74</v>
      </c>
      <c r="H378" t="s">
        <v>74</v>
      </c>
      <c r="I378" t="s">
        <v>7643</v>
      </c>
      <c r="J378" t="s">
        <v>7644</v>
      </c>
      <c r="K378" t="s">
        <v>74</v>
      </c>
      <c r="L378" t="s">
        <v>74</v>
      </c>
      <c r="M378" t="s">
        <v>78</v>
      </c>
      <c r="N378" t="s">
        <v>79</v>
      </c>
      <c r="O378" t="s">
        <v>74</v>
      </c>
      <c r="P378" t="s">
        <v>74</v>
      </c>
      <c r="Q378" t="s">
        <v>74</v>
      </c>
      <c r="R378" t="s">
        <v>74</v>
      </c>
      <c r="S378" t="s">
        <v>74</v>
      </c>
      <c r="T378" t="s">
        <v>7645</v>
      </c>
      <c r="U378" t="s">
        <v>7646</v>
      </c>
      <c r="V378" t="s">
        <v>7647</v>
      </c>
      <c r="W378" t="s">
        <v>7648</v>
      </c>
      <c r="X378" t="s">
        <v>7649</v>
      </c>
      <c r="Y378" t="s">
        <v>7650</v>
      </c>
      <c r="Z378" t="s">
        <v>7651</v>
      </c>
      <c r="AA378" t="s">
        <v>74</v>
      </c>
      <c r="AB378" t="s">
        <v>74</v>
      </c>
      <c r="AC378" t="s">
        <v>7652</v>
      </c>
      <c r="AD378" t="s">
        <v>7653</v>
      </c>
      <c r="AE378" t="s">
        <v>7654</v>
      </c>
      <c r="AF378" t="s">
        <v>74</v>
      </c>
      <c r="AG378">
        <v>47</v>
      </c>
      <c r="AH378">
        <v>43</v>
      </c>
      <c r="AI378">
        <v>51</v>
      </c>
      <c r="AJ378">
        <v>4</v>
      </c>
      <c r="AK378">
        <v>54</v>
      </c>
      <c r="AL378" t="s">
        <v>4723</v>
      </c>
      <c r="AM378" t="s">
        <v>921</v>
      </c>
      <c r="AN378" t="s">
        <v>7655</v>
      </c>
      <c r="AO378" t="s">
        <v>7656</v>
      </c>
      <c r="AP378" t="s">
        <v>7657</v>
      </c>
      <c r="AQ378" t="s">
        <v>74</v>
      </c>
      <c r="AR378" t="s">
        <v>7658</v>
      </c>
      <c r="AS378" t="s">
        <v>7659</v>
      </c>
      <c r="AT378" t="s">
        <v>4901</v>
      </c>
      <c r="AU378">
        <v>2013</v>
      </c>
      <c r="AV378">
        <v>139</v>
      </c>
      <c r="AW378" t="s">
        <v>74</v>
      </c>
      <c r="AX378" t="s">
        <v>74</v>
      </c>
      <c r="AY378" t="s">
        <v>74</v>
      </c>
      <c r="AZ378" t="s">
        <v>74</v>
      </c>
      <c r="BA378" t="s">
        <v>74</v>
      </c>
      <c r="BB378">
        <v>353</v>
      </c>
      <c r="BC378">
        <v>364</v>
      </c>
      <c r="BD378" t="s">
        <v>74</v>
      </c>
      <c r="BE378" t="s">
        <v>7660</v>
      </c>
      <c r="BF378" t="str">
        <f>HYPERLINK("http://dx.doi.org/10.1016/j.rse.2013.08.009","http://dx.doi.org/10.1016/j.rse.2013.08.009")</f>
        <v>http://dx.doi.org/10.1016/j.rse.2013.08.009</v>
      </c>
      <c r="BG378" t="s">
        <v>74</v>
      </c>
      <c r="BH378" t="s">
        <v>74</v>
      </c>
      <c r="BI378">
        <v>12</v>
      </c>
      <c r="BJ378" t="s">
        <v>7661</v>
      </c>
      <c r="BK378" t="s">
        <v>99</v>
      </c>
      <c r="BL378" t="s">
        <v>7662</v>
      </c>
      <c r="BM378" t="s">
        <v>7663</v>
      </c>
      <c r="BN378" t="s">
        <v>74</v>
      </c>
      <c r="BO378" t="s">
        <v>524</v>
      </c>
      <c r="BP378" t="s">
        <v>74</v>
      </c>
      <c r="BQ378" t="s">
        <v>74</v>
      </c>
      <c r="BR378" t="s">
        <v>103</v>
      </c>
      <c r="BS378" t="s">
        <v>7664</v>
      </c>
      <c r="BT378" t="str">
        <f>HYPERLINK("https%3A%2F%2Fwww.webofscience.com%2Fwos%2Fwoscc%2Ffull-record%2FWOS:000329417700029","View Full Record in Web of Science")</f>
        <v>View Full Record in Web of Science</v>
      </c>
    </row>
    <row r="379" spans="1:72" x14ac:dyDescent="0.15">
      <c r="A379" t="s">
        <v>72</v>
      </c>
      <c r="B379" t="s">
        <v>7665</v>
      </c>
      <c r="C379" t="s">
        <v>74</v>
      </c>
      <c r="D379" t="s">
        <v>74</v>
      </c>
      <c r="E379" t="s">
        <v>74</v>
      </c>
      <c r="F379" t="s">
        <v>7666</v>
      </c>
      <c r="G379" t="s">
        <v>74</v>
      </c>
      <c r="H379" t="s">
        <v>74</v>
      </c>
      <c r="I379" t="s">
        <v>7667</v>
      </c>
      <c r="J379" t="s">
        <v>7668</v>
      </c>
      <c r="K379" t="s">
        <v>74</v>
      </c>
      <c r="L379" t="s">
        <v>74</v>
      </c>
      <c r="M379" t="s">
        <v>78</v>
      </c>
      <c r="N379" t="s">
        <v>79</v>
      </c>
      <c r="O379" t="s">
        <v>74</v>
      </c>
      <c r="P379" t="s">
        <v>74</v>
      </c>
      <c r="Q379" t="s">
        <v>74</v>
      </c>
      <c r="R379" t="s">
        <v>74</v>
      </c>
      <c r="S379" t="s">
        <v>74</v>
      </c>
      <c r="T379" t="s">
        <v>7669</v>
      </c>
      <c r="U379" t="s">
        <v>7670</v>
      </c>
      <c r="V379" t="s">
        <v>7671</v>
      </c>
      <c r="W379" t="s">
        <v>7672</v>
      </c>
      <c r="X379" t="s">
        <v>7673</v>
      </c>
      <c r="Y379" t="s">
        <v>7674</v>
      </c>
      <c r="Z379" t="s">
        <v>7675</v>
      </c>
      <c r="AA379" t="s">
        <v>7676</v>
      </c>
      <c r="AB379" t="s">
        <v>7677</v>
      </c>
      <c r="AC379" t="s">
        <v>7678</v>
      </c>
      <c r="AD379" t="s">
        <v>7679</v>
      </c>
      <c r="AE379" t="s">
        <v>7680</v>
      </c>
      <c r="AF379" t="s">
        <v>74</v>
      </c>
      <c r="AG379">
        <v>65</v>
      </c>
      <c r="AH379">
        <v>29</v>
      </c>
      <c r="AI379">
        <v>33</v>
      </c>
      <c r="AJ379">
        <v>2</v>
      </c>
      <c r="AK379">
        <v>79</v>
      </c>
      <c r="AL379" t="s">
        <v>1067</v>
      </c>
      <c r="AM379" t="s">
        <v>1068</v>
      </c>
      <c r="AN379" t="s">
        <v>1163</v>
      </c>
      <c r="AO379" t="s">
        <v>7681</v>
      </c>
      <c r="AP379" t="s">
        <v>7682</v>
      </c>
      <c r="AQ379" t="s">
        <v>74</v>
      </c>
      <c r="AR379" t="s">
        <v>7683</v>
      </c>
      <c r="AS379" t="s">
        <v>7684</v>
      </c>
      <c r="AT379" t="s">
        <v>4901</v>
      </c>
      <c r="AU379">
        <v>2013</v>
      </c>
      <c r="AV379">
        <v>23</v>
      </c>
      <c r="AW379">
        <v>4</v>
      </c>
      <c r="AX379" t="s">
        <v>74</v>
      </c>
      <c r="AY379" t="s">
        <v>74</v>
      </c>
      <c r="AZ379" t="s">
        <v>74</v>
      </c>
      <c r="BA379" t="s">
        <v>74</v>
      </c>
      <c r="BB379">
        <v>459</v>
      </c>
      <c r="BC379">
        <v>475</v>
      </c>
      <c r="BD379" t="s">
        <v>74</v>
      </c>
      <c r="BE379" t="s">
        <v>7685</v>
      </c>
      <c r="BF379" t="str">
        <f>HYPERLINK("http://dx.doi.org/10.1007/s11160-012-9301-7","http://dx.doi.org/10.1007/s11160-012-9301-7")</f>
        <v>http://dx.doi.org/10.1007/s11160-012-9301-7</v>
      </c>
      <c r="BG379" t="s">
        <v>74</v>
      </c>
      <c r="BH379" t="s">
        <v>74</v>
      </c>
      <c r="BI379">
        <v>17</v>
      </c>
      <c r="BJ379" t="s">
        <v>4824</v>
      </c>
      <c r="BK379" t="s">
        <v>99</v>
      </c>
      <c r="BL379" t="s">
        <v>4824</v>
      </c>
      <c r="BM379" t="s">
        <v>7686</v>
      </c>
      <c r="BN379" t="s">
        <v>74</v>
      </c>
      <c r="BO379" t="s">
        <v>74</v>
      </c>
      <c r="BP379" t="s">
        <v>74</v>
      </c>
      <c r="BQ379" t="s">
        <v>74</v>
      </c>
      <c r="BR379" t="s">
        <v>103</v>
      </c>
      <c r="BS379" t="s">
        <v>7687</v>
      </c>
      <c r="BT379" t="str">
        <f>HYPERLINK("https%3A%2F%2Fwww.webofscience.com%2Fwos%2Fwoscc%2Ffull-record%2FWOS:000327094000003","View Full Record in Web of Science")</f>
        <v>View Full Record in Web of Science</v>
      </c>
    </row>
    <row r="380" spans="1:72" x14ac:dyDescent="0.15">
      <c r="A380" t="s">
        <v>72</v>
      </c>
      <c r="B380" t="s">
        <v>7688</v>
      </c>
      <c r="C380" t="s">
        <v>74</v>
      </c>
      <c r="D380" t="s">
        <v>74</v>
      </c>
      <c r="E380" t="s">
        <v>74</v>
      </c>
      <c r="F380" t="s">
        <v>7689</v>
      </c>
      <c r="G380" t="s">
        <v>74</v>
      </c>
      <c r="H380" t="s">
        <v>74</v>
      </c>
      <c r="I380" t="s">
        <v>7690</v>
      </c>
      <c r="J380" t="s">
        <v>7691</v>
      </c>
      <c r="K380" t="s">
        <v>74</v>
      </c>
      <c r="L380" t="s">
        <v>74</v>
      </c>
      <c r="M380" t="s">
        <v>78</v>
      </c>
      <c r="N380" t="s">
        <v>79</v>
      </c>
      <c r="O380" t="s">
        <v>74</v>
      </c>
      <c r="P380" t="s">
        <v>74</v>
      </c>
      <c r="Q380" t="s">
        <v>74</v>
      </c>
      <c r="R380" t="s">
        <v>74</v>
      </c>
      <c r="S380" t="s">
        <v>74</v>
      </c>
      <c r="T380" t="s">
        <v>7692</v>
      </c>
      <c r="U380" t="s">
        <v>7693</v>
      </c>
      <c r="V380" t="s">
        <v>7694</v>
      </c>
      <c r="W380" t="s">
        <v>7695</v>
      </c>
      <c r="X380" t="s">
        <v>7696</v>
      </c>
      <c r="Y380" t="s">
        <v>7697</v>
      </c>
      <c r="Z380" t="s">
        <v>7698</v>
      </c>
      <c r="AA380" t="s">
        <v>7699</v>
      </c>
      <c r="AB380" t="s">
        <v>7700</v>
      </c>
      <c r="AC380" t="s">
        <v>7701</v>
      </c>
      <c r="AD380" t="s">
        <v>7702</v>
      </c>
      <c r="AE380" t="s">
        <v>7703</v>
      </c>
      <c r="AF380" t="s">
        <v>74</v>
      </c>
      <c r="AG380">
        <v>10</v>
      </c>
      <c r="AH380">
        <v>0</v>
      </c>
      <c r="AI380">
        <v>0</v>
      </c>
      <c r="AJ380">
        <v>0</v>
      </c>
      <c r="AK380">
        <v>8</v>
      </c>
      <c r="AL380" t="s">
        <v>1067</v>
      </c>
      <c r="AM380" t="s">
        <v>1068</v>
      </c>
      <c r="AN380" t="s">
        <v>1163</v>
      </c>
      <c r="AO380" t="s">
        <v>7704</v>
      </c>
      <c r="AP380" t="s">
        <v>7705</v>
      </c>
      <c r="AQ380" t="s">
        <v>74</v>
      </c>
      <c r="AR380" t="s">
        <v>7706</v>
      </c>
      <c r="AS380" t="s">
        <v>7707</v>
      </c>
      <c r="AT380" t="s">
        <v>4901</v>
      </c>
      <c r="AU380">
        <v>2013</v>
      </c>
      <c r="AV380">
        <v>5</v>
      </c>
      <c r="AW380">
        <v>4</v>
      </c>
      <c r="AX380" t="s">
        <v>74</v>
      </c>
      <c r="AY380" t="s">
        <v>74</v>
      </c>
      <c r="AZ380" t="s">
        <v>74</v>
      </c>
      <c r="BA380" t="s">
        <v>74</v>
      </c>
      <c r="BB380">
        <v>963</v>
      </c>
      <c r="BC380">
        <v>965</v>
      </c>
      <c r="BD380" t="s">
        <v>74</v>
      </c>
      <c r="BE380" t="s">
        <v>7708</v>
      </c>
      <c r="BF380" t="str">
        <f>HYPERLINK("http://dx.doi.org/10.1007/s12686-013-9944-2","http://dx.doi.org/10.1007/s12686-013-9944-2")</f>
        <v>http://dx.doi.org/10.1007/s12686-013-9944-2</v>
      </c>
      <c r="BG380" t="s">
        <v>74</v>
      </c>
      <c r="BH380" t="s">
        <v>74</v>
      </c>
      <c r="BI380">
        <v>3</v>
      </c>
      <c r="BJ380" t="s">
        <v>7709</v>
      </c>
      <c r="BK380" t="s">
        <v>99</v>
      </c>
      <c r="BL380" t="s">
        <v>7710</v>
      </c>
      <c r="BM380" t="s">
        <v>7711</v>
      </c>
      <c r="BN380" t="s">
        <v>74</v>
      </c>
      <c r="BO380" t="s">
        <v>74</v>
      </c>
      <c r="BP380" t="s">
        <v>74</v>
      </c>
      <c r="BQ380" t="s">
        <v>74</v>
      </c>
      <c r="BR380" t="s">
        <v>103</v>
      </c>
      <c r="BS380" t="s">
        <v>7712</v>
      </c>
      <c r="BT380" t="str">
        <f>HYPERLINK("https%3A%2F%2Fwww.webofscience.com%2Fwos%2Fwoscc%2Ffull-record%2FWOS:000326387800017","View Full Record in Web of Science")</f>
        <v>View Full Record in Web of Science</v>
      </c>
    </row>
    <row r="381" spans="1:72" x14ac:dyDescent="0.15">
      <c r="A381" t="s">
        <v>72</v>
      </c>
      <c r="B381" t="s">
        <v>7713</v>
      </c>
      <c r="C381" t="s">
        <v>74</v>
      </c>
      <c r="D381" t="s">
        <v>74</v>
      </c>
      <c r="E381" t="s">
        <v>74</v>
      </c>
      <c r="F381" t="s">
        <v>7714</v>
      </c>
      <c r="G381" t="s">
        <v>74</v>
      </c>
      <c r="H381" t="s">
        <v>74</v>
      </c>
      <c r="I381" t="s">
        <v>7715</v>
      </c>
      <c r="J381" t="s">
        <v>1150</v>
      </c>
      <c r="K381" t="s">
        <v>74</v>
      </c>
      <c r="L381" t="s">
        <v>74</v>
      </c>
      <c r="M381" t="s">
        <v>78</v>
      </c>
      <c r="N381" t="s">
        <v>79</v>
      </c>
      <c r="O381" t="s">
        <v>74</v>
      </c>
      <c r="P381" t="s">
        <v>74</v>
      </c>
      <c r="Q381" t="s">
        <v>74</v>
      </c>
      <c r="R381" t="s">
        <v>74</v>
      </c>
      <c r="S381" t="s">
        <v>74</v>
      </c>
      <c r="T381" t="s">
        <v>7716</v>
      </c>
      <c r="U381" t="s">
        <v>7717</v>
      </c>
      <c r="V381" t="s">
        <v>7718</v>
      </c>
      <c r="W381" t="s">
        <v>7719</v>
      </c>
      <c r="X381" t="s">
        <v>483</v>
      </c>
      <c r="Y381" t="s">
        <v>7720</v>
      </c>
      <c r="Z381" t="s">
        <v>7721</v>
      </c>
      <c r="AA381" t="s">
        <v>7722</v>
      </c>
      <c r="AB381" t="s">
        <v>74</v>
      </c>
      <c r="AC381" t="s">
        <v>7723</v>
      </c>
      <c r="AD381" t="s">
        <v>7724</v>
      </c>
      <c r="AE381" t="s">
        <v>7725</v>
      </c>
      <c r="AF381" t="s">
        <v>74</v>
      </c>
      <c r="AG381">
        <v>75</v>
      </c>
      <c r="AH381">
        <v>3</v>
      </c>
      <c r="AI381">
        <v>3</v>
      </c>
      <c r="AJ381">
        <v>1</v>
      </c>
      <c r="AK381">
        <v>19</v>
      </c>
      <c r="AL381" t="s">
        <v>1067</v>
      </c>
      <c r="AM381" t="s">
        <v>1068</v>
      </c>
      <c r="AN381" t="s">
        <v>1163</v>
      </c>
      <c r="AO381" t="s">
        <v>1164</v>
      </c>
      <c r="AP381" t="s">
        <v>1165</v>
      </c>
      <c r="AQ381" t="s">
        <v>74</v>
      </c>
      <c r="AR381" t="s">
        <v>1150</v>
      </c>
      <c r="AS381" t="s">
        <v>1166</v>
      </c>
      <c r="AT381" t="s">
        <v>4901</v>
      </c>
      <c r="AU381">
        <v>2013</v>
      </c>
      <c r="AV381">
        <v>720</v>
      </c>
      <c r="AW381">
        <v>1</v>
      </c>
      <c r="AX381" t="s">
        <v>74</v>
      </c>
      <c r="AY381" t="s">
        <v>74</v>
      </c>
      <c r="AZ381" t="s">
        <v>74</v>
      </c>
      <c r="BA381" t="s">
        <v>74</v>
      </c>
      <c r="BB381">
        <v>89</v>
      </c>
      <c r="BC381">
        <v>99</v>
      </c>
      <c r="BD381" t="s">
        <v>74</v>
      </c>
      <c r="BE381" t="s">
        <v>7726</v>
      </c>
      <c r="BF381" t="str">
        <f>HYPERLINK("http://dx.doi.org/10.1007/s10750-013-1627-1","http://dx.doi.org/10.1007/s10750-013-1627-1")</f>
        <v>http://dx.doi.org/10.1007/s10750-013-1627-1</v>
      </c>
      <c r="BG381" t="s">
        <v>74</v>
      </c>
      <c r="BH381" t="s">
        <v>74</v>
      </c>
      <c r="BI381">
        <v>11</v>
      </c>
      <c r="BJ381" t="s">
        <v>285</v>
      </c>
      <c r="BK381" t="s">
        <v>99</v>
      </c>
      <c r="BL381" t="s">
        <v>285</v>
      </c>
      <c r="BM381" t="s">
        <v>7727</v>
      </c>
      <c r="BN381" t="s">
        <v>74</v>
      </c>
      <c r="BO381" t="s">
        <v>74</v>
      </c>
      <c r="BP381" t="s">
        <v>74</v>
      </c>
      <c r="BQ381" t="s">
        <v>74</v>
      </c>
      <c r="BR381" t="s">
        <v>103</v>
      </c>
      <c r="BS381" t="s">
        <v>7728</v>
      </c>
      <c r="BT381" t="str">
        <f>HYPERLINK("https%3A%2F%2Fwww.webofscience.com%2Fwos%2Fwoscc%2Ffull-record%2FWOS:000326246600006","View Full Record in Web of Science")</f>
        <v>View Full Record in Web of Science</v>
      </c>
    </row>
    <row r="382" spans="1:72" x14ac:dyDescent="0.15">
      <c r="A382" t="s">
        <v>72</v>
      </c>
      <c r="B382" t="s">
        <v>7729</v>
      </c>
      <c r="C382" t="s">
        <v>74</v>
      </c>
      <c r="D382" t="s">
        <v>74</v>
      </c>
      <c r="E382" t="s">
        <v>74</v>
      </c>
      <c r="F382" t="s">
        <v>7730</v>
      </c>
      <c r="G382" t="s">
        <v>74</v>
      </c>
      <c r="H382" t="s">
        <v>74</v>
      </c>
      <c r="I382" t="s">
        <v>7731</v>
      </c>
      <c r="J382" t="s">
        <v>861</v>
      </c>
      <c r="K382" t="s">
        <v>74</v>
      </c>
      <c r="L382" t="s">
        <v>74</v>
      </c>
      <c r="M382" t="s">
        <v>78</v>
      </c>
      <c r="N382" t="s">
        <v>79</v>
      </c>
      <c r="O382" t="s">
        <v>74</v>
      </c>
      <c r="P382" t="s">
        <v>74</v>
      </c>
      <c r="Q382" t="s">
        <v>74</v>
      </c>
      <c r="R382" t="s">
        <v>74</v>
      </c>
      <c r="S382" t="s">
        <v>74</v>
      </c>
      <c r="T382" t="s">
        <v>74</v>
      </c>
      <c r="U382" t="s">
        <v>7732</v>
      </c>
      <c r="V382" t="s">
        <v>7733</v>
      </c>
      <c r="W382" t="s">
        <v>7734</v>
      </c>
      <c r="X382" t="s">
        <v>7735</v>
      </c>
      <c r="Y382" t="s">
        <v>7736</v>
      </c>
      <c r="Z382" t="s">
        <v>7737</v>
      </c>
      <c r="AA382" t="s">
        <v>74</v>
      </c>
      <c r="AB382" t="s">
        <v>7738</v>
      </c>
      <c r="AC382" t="s">
        <v>7739</v>
      </c>
      <c r="AD382" t="s">
        <v>7740</v>
      </c>
      <c r="AE382" t="s">
        <v>7741</v>
      </c>
      <c r="AF382" t="s">
        <v>74</v>
      </c>
      <c r="AG382">
        <v>93</v>
      </c>
      <c r="AH382">
        <v>24</v>
      </c>
      <c r="AI382">
        <v>26</v>
      </c>
      <c r="AJ382">
        <v>0</v>
      </c>
      <c r="AK382">
        <v>28</v>
      </c>
      <c r="AL382" t="s">
        <v>872</v>
      </c>
      <c r="AM382" t="s">
        <v>252</v>
      </c>
      <c r="AN382" t="s">
        <v>873</v>
      </c>
      <c r="AO382" t="s">
        <v>874</v>
      </c>
      <c r="AP382" t="s">
        <v>875</v>
      </c>
      <c r="AQ382" t="s">
        <v>74</v>
      </c>
      <c r="AR382" t="s">
        <v>876</v>
      </c>
      <c r="AS382" t="s">
        <v>877</v>
      </c>
      <c r="AT382" t="s">
        <v>4919</v>
      </c>
      <c r="AU382">
        <v>2013</v>
      </c>
      <c r="AV382">
        <v>122</v>
      </c>
      <c r="AW382" t="s">
        <v>74</v>
      </c>
      <c r="AX382" t="s">
        <v>74</v>
      </c>
      <c r="AY382" t="s">
        <v>74</v>
      </c>
      <c r="AZ382" t="s">
        <v>74</v>
      </c>
      <c r="BA382" t="s">
        <v>74</v>
      </c>
      <c r="BB382">
        <v>280</v>
      </c>
      <c r="BC382">
        <v>305</v>
      </c>
      <c r="BD382" t="s">
        <v>74</v>
      </c>
      <c r="BE382" t="s">
        <v>7742</v>
      </c>
      <c r="BF382" t="str">
        <f>HYPERLINK("http://dx.doi.org/10.1016/j.gca.2013.08.003","http://dx.doi.org/10.1016/j.gca.2013.08.003")</f>
        <v>http://dx.doi.org/10.1016/j.gca.2013.08.003</v>
      </c>
      <c r="BG382" t="s">
        <v>74</v>
      </c>
      <c r="BH382" t="s">
        <v>74</v>
      </c>
      <c r="BI382">
        <v>26</v>
      </c>
      <c r="BJ382" t="s">
        <v>313</v>
      </c>
      <c r="BK382" t="s">
        <v>99</v>
      </c>
      <c r="BL382" t="s">
        <v>313</v>
      </c>
      <c r="BM382" t="s">
        <v>6786</v>
      </c>
      <c r="BN382" t="s">
        <v>74</v>
      </c>
      <c r="BO382" t="s">
        <v>74</v>
      </c>
      <c r="BP382" t="s">
        <v>74</v>
      </c>
      <c r="BQ382" t="s">
        <v>74</v>
      </c>
      <c r="BR382" t="s">
        <v>103</v>
      </c>
      <c r="BS382" t="s">
        <v>7743</v>
      </c>
      <c r="BT382" t="str">
        <f>HYPERLINK("https%3A%2F%2Fwww.webofscience.com%2Fwos%2Fwoscc%2Ffull-record%2FWOS:000326269800017","View Full Record in Web of Science")</f>
        <v>View Full Record in Web of Science</v>
      </c>
    </row>
    <row r="383" spans="1:72" x14ac:dyDescent="0.15">
      <c r="A383" t="s">
        <v>72</v>
      </c>
      <c r="B383" t="s">
        <v>7744</v>
      </c>
      <c r="C383" t="s">
        <v>74</v>
      </c>
      <c r="D383" t="s">
        <v>74</v>
      </c>
      <c r="E383" t="s">
        <v>74</v>
      </c>
      <c r="F383" t="s">
        <v>7745</v>
      </c>
      <c r="G383" t="s">
        <v>74</v>
      </c>
      <c r="H383" t="s">
        <v>74</v>
      </c>
      <c r="I383" t="s">
        <v>7746</v>
      </c>
      <c r="J383" t="s">
        <v>7747</v>
      </c>
      <c r="K383" t="s">
        <v>74</v>
      </c>
      <c r="L383" t="s">
        <v>74</v>
      </c>
      <c r="M383" t="s">
        <v>78</v>
      </c>
      <c r="N383" t="s">
        <v>79</v>
      </c>
      <c r="O383" t="s">
        <v>74</v>
      </c>
      <c r="P383" t="s">
        <v>74</v>
      </c>
      <c r="Q383" t="s">
        <v>74</v>
      </c>
      <c r="R383" t="s">
        <v>74</v>
      </c>
      <c r="S383" t="s">
        <v>74</v>
      </c>
      <c r="T383" t="s">
        <v>7748</v>
      </c>
      <c r="U383" t="s">
        <v>7749</v>
      </c>
      <c r="V383" t="s">
        <v>7750</v>
      </c>
      <c r="W383" t="s">
        <v>7751</v>
      </c>
      <c r="X383" t="s">
        <v>7752</v>
      </c>
      <c r="Y383" t="s">
        <v>7753</v>
      </c>
      <c r="Z383" t="s">
        <v>7754</v>
      </c>
      <c r="AA383" t="s">
        <v>7755</v>
      </c>
      <c r="AB383" t="s">
        <v>7756</v>
      </c>
      <c r="AC383" t="s">
        <v>7757</v>
      </c>
      <c r="AD383" t="s">
        <v>7758</v>
      </c>
      <c r="AE383" t="s">
        <v>7759</v>
      </c>
      <c r="AF383" t="s">
        <v>74</v>
      </c>
      <c r="AG383">
        <v>49</v>
      </c>
      <c r="AH383">
        <v>32</v>
      </c>
      <c r="AI383">
        <v>33</v>
      </c>
      <c r="AJ383">
        <v>0</v>
      </c>
      <c r="AK383">
        <v>53</v>
      </c>
      <c r="AL383" t="s">
        <v>1067</v>
      </c>
      <c r="AM383" t="s">
        <v>921</v>
      </c>
      <c r="AN383" t="s">
        <v>2493</v>
      </c>
      <c r="AO383" t="s">
        <v>7760</v>
      </c>
      <c r="AP383" t="s">
        <v>7761</v>
      </c>
      <c r="AQ383" t="s">
        <v>74</v>
      </c>
      <c r="AR383" t="s">
        <v>7762</v>
      </c>
      <c r="AS383" t="s">
        <v>7763</v>
      </c>
      <c r="AT383" t="s">
        <v>4901</v>
      </c>
      <c r="AU383">
        <v>2013</v>
      </c>
      <c r="AV383">
        <v>67</v>
      </c>
      <c r="AW383">
        <v>6</v>
      </c>
      <c r="AX383" t="s">
        <v>74</v>
      </c>
      <c r="AY383" t="s">
        <v>74</v>
      </c>
      <c r="AZ383" t="s">
        <v>74</v>
      </c>
      <c r="BA383" t="s">
        <v>74</v>
      </c>
      <c r="BB383">
        <v>637</v>
      </c>
      <c r="BC383">
        <v>646</v>
      </c>
      <c r="BD383" t="s">
        <v>74</v>
      </c>
      <c r="BE383" t="s">
        <v>7764</v>
      </c>
      <c r="BF383" t="str">
        <f>HYPERLINK("http://dx.doi.org/10.1007/s00284-013-0406-6","http://dx.doi.org/10.1007/s00284-013-0406-6")</f>
        <v>http://dx.doi.org/10.1007/s00284-013-0406-6</v>
      </c>
      <c r="BG383" t="s">
        <v>74</v>
      </c>
      <c r="BH383" t="s">
        <v>74</v>
      </c>
      <c r="BI383">
        <v>10</v>
      </c>
      <c r="BJ383" t="s">
        <v>815</v>
      </c>
      <c r="BK383" t="s">
        <v>99</v>
      </c>
      <c r="BL383" t="s">
        <v>815</v>
      </c>
      <c r="BM383" t="s">
        <v>7765</v>
      </c>
      <c r="BN383">
        <v>23794042</v>
      </c>
      <c r="BO383" t="s">
        <v>74</v>
      </c>
      <c r="BP383" t="s">
        <v>74</v>
      </c>
      <c r="BQ383" t="s">
        <v>74</v>
      </c>
      <c r="BR383" t="s">
        <v>103</v>
      </c>
      <c r="BS383" t="s">
        <v>7766</v>
      </c>
      <c r="BT383" t="str">
        <f>HYPERLINK("https%3A%2F%2Fwww.webofscience.com%2Fwos%2Fwoscc%2Ffull-record%2FWOS:000325813400001","View Full Record in Web of Science")</f>
        <v>View Full Record in Web of Science</v>
      </c>
    </row>
    <row r="384" spans="1:72" x14ac:dyDescent="0.15">
      <c r="A384" t="s">
        <v>72</v>
      </c>
      <c r="B384" t="s">
        <v>7767</v>
      </c>
      <c r="C384" t="s">
        <v>74</v>
      </c>
      <c r="D384" t="s">
        <v>74</v>
      </c>
      <c r="E384" t="s">
        <v>74</v>
      </c>
      <c r="F384" t="s">
        <v>7768</v>
      </c>
      <c r="G384" t="s">
        <v>74</v>
      </c>
      <c r="H384" t="s">
        <v>74</v>
      </c>
      <c r="I384" t="s">
        <v>7769</v>
      </c>
      <c r="J384" t="s">
        <v>7770</v>
      </c>
      <c r="K384" t="s">
        <v>74</v>
      </c>
      <c r="L384" t="s">
        <v>74</v>
      </c>
      <c r="M384" t="s">
        <v>78</v>
      </c>
      <c r="N384" t="s">
        <v>79</v>
      </c>
      <c r="O384" t="s">
        <v>74</v>
      </c>
      <c r="P384" t="s">
        <v>74</v>
      </c>
      <c r="Q384" t="s">
        <v>74</v>
      </c>
      <c r="R384" t="s">
        <v>74</v>
      </c>
      <c r="S384" t="s">
        <v>74</v>
      </c>
      <c r="T384" t="s">
        <v>7771</v>
      </c>
      <c r="U384" t="s">
        <v>7772</v>
      </c>
      <c r="V384" t="s">
        <v>7773</v>
      </c>
      <c r="W384" t="s">
        <v>7774</v>
      </c>
      <c r="X384" t="s">
        <v>7775</v>
      </c>
      <c r="Y384" t="s">
        <v>7776</v>
      </c>
      <c r="Z384" t="s">
        <v>7777</v>
      </c>
      <c r="AA384" t="s">
        <v>7778</v>
      </c>
      <c r="AB384" t="s">
        <v>7779</v>
      </c>
      <c r="AC384" t="s">
        <v>7780</v>
      </c>
      <c r="AD384" t="s">
        <v>7781</v>
      </c>
      <c r="AE384" t="s">
        <v>7782</v>
      </c>
      <c r="AF384" t="s">
        <v>74</v>
      </c>
      <c r="AG384">
        <v>19</v>
      </c>
      <c r="AH384">
        <v>26</v>
      </c>
      <c r="AI384">
        <v>26</v>
      </c>
      <c r="AJ384">
        <v>3</v>
      </c>
      <c r="AK384">
        <v>73</v>
      </c>
      <c r="AL384" t="s">
        <v>4163</v>
      </c>
      <c r="AM384" t="s">
        <v>849</v>
      </c>
      <c r="AN384" t="s">
        <v>4164</v>
      </c>
      <c r="AO384" t="s">
        <v>7783</v>
      </c>
      <c r="AP384" t="s">
        <v>74</v>
      </c>
      <c r="AQ384" t="s">
        <v>74</v>
      </c>
      <c r="AR384" t="s">
        <v>7784</v>
      </c>
      <c r="AS384" t="s">
        <v>7785</v>
      </c>
      <c r="AT384" t="s">
        <v>4901</v>
      </c>
      <c r="AU384">
        <v>2013</v>
      </c>
      <c r="AV384">
        <v>67</v>
      </c>
      <c r="AW384" t="s">
        <v>74</v>
      </c>
      <c r="AX384" t="s">
        <v>74</v>
      </c>
      <c r="AY384" t="s">
        <v>74</v>
      </c>
      <c r="AZ384" t="s">
        <v>74</v>
      </c>
      <c r="BA384" t="s">
        <v>74</v>
      </c>
      <c r="BB384">
        <v>143</v>
      </c>
      <c r="BC384">
        <v>147</v>
      </c>
      <c r="BD384" t="s">
        <v>74</v>
      </c>
      <c r="BE384" t="s">
        <v>7786</v>
      </c>
      <c r="BF384" t="str">
        <f>HYPERLINK("http://dx.doi.org/10.1016/j.jct.2013.07.023","http://dx.doi.org/10.1016/j.jct.2013.07.023")</f>
        <v>http://dx.doi.org/10.1016/j.jct.2013.07.023</v>
      </c>
      <c r="BG384" t="s">
        <v>74</v>
      </c>
      <c r="BH384" t="s">
        <v>74</v>
      </c>
      <c r="BI384">
        <v>5</v>
      </c>
      <c r="BJ384" t="s">
        <v>7787</v>
      </c>
      <c r="BK384" t="s">
        <v>99</v>
      </c>
      <c r="BL384" t="s">
        <v>7788</v>
      </c>
      <c r="BM384" t="s">
        <v>7789</v>
      </c>
      <c r="BN384" t="s">
        <v>74</v>
      </c>
      <c r="BO384" t="s">
        <v>74</v>
      </c>
      <c r="BP384" t="s">
        <v>74</v>
      </c>
      <c r="BQ384" t="s">
        <v>74</v>
      </c>
      <c r="BR384" t="s">
        <v>103</v>
      </c>
      <c r="BS384" t="s">
        <v>7790</v>
      </c>
      <c r="BT384" t="str">
        <f>HYPERLINK("https%3A%2F%2Fwww.webofscience.com%2Fwos%2Fwoscc%2Ffull-record%2FWOS:000325133600019","View Full Record in Web of Science")</f>
        <v>View Full Record in Web of Science</v>
      </c>
    </row>
    <row r="385" spans="1:72" x14ac:dyDescent="0.15">
      <c r="A385" t="s">
        <v>72</v>
      </c>
      <c r="B385" t="s">
        <v>7791</v>
      </c>
      <c r="C385" t="s">
        <v>74</v>
      </c>
      <c r="D385" t="s">
        <v>74</v>
      </c>
      <c r="E385" t="s">
        <v>74</v>
      </c>
      <c r="F385" t="s">
        <v>7792</v>
      </c>
      <c r="G385" t="s">
        <v>74</v>
      </c>
      <c r="H385" t="s">
        <v>74</v>
      </c>
      <c r="I385" t="s">
        <v>7793</v>
      </c>
      <c r="J385" t="s">
        <v>7794</v>
      </c>
      <c r="K385" t="s">
        <v>74</v>
      </c>
      <c r="L385" t="s">
        <v>74</v>
      </c>
      <c r="M385" t="s">
        <v>78</v>
      </c>
      <c r="N385" t="s">
        <v>79</v>
      </c>
      <c r="O385" t="s">
        <v>74</v>
      </c>
      <c r="P385" t="s">
        <v>74</v>
      </c>
      <c r="Q385" t="s">
        <v>74</v>
      </c>
      <c r="R385" t="s">
        <v>74</v>
      </c>
      <c r="S385" t="s">
        <v>74</v>
      </c>
      <c r="T385" t="s">
        <v>74</v>
      </c>
      <c r="U385" t="s">
        <v>7795</v>
      </c>
      <c r="V385" t="s">
        <v>7796</v>
      </c>
      <c r="W385" t="s">
        <v>7797</v>
      </c>
      <c r="X385" t="s">
        <v>7798</v>
      </c>
      <c r="Y385" t="s">
        <v>7799</v>
      </c>
      <c r="Z385" t="s">
        <v>7800</v>
      </c>
      <c r="AA385" t="s">
        <v>7801</v>
      </c>
      <c r="AB385" t="s">
        <v>7802</v>
      </c>
      <c r="AC385" t="s">
        <v>7803</v>
      </c>
      <c r="AD385" t="s">
        <v>7804</v>
      </c>
      <c r="AE385" t="s">
        <v>7805</v>
      </c>
      <c r="AF385" t="s">
        <v>74</v>
      </c>
      <c r="AG385">
        <v>24</v>
      </c>
      <c r="AH385">
        <v>66</v>
      </c>
      <c r="AI385">
        <v>70</v>
      </c>
      <c r="AJ385">
        <v>0</v>
      </c>
      <c r="AK385">
        <v>36</v>
      </c>
      <c r="AL385" t="s">
        <v>7806</v>
      </c>
      <c r="AM385" t="s">
        <v>808</v>
      </c>
      <c r="AN385" t="s">
        <v>7807</v>
      </c>
      <c r="AO385" t="s">
        <v>7808</v>
      </c>
      <c r="AP385" t="s">
        <v>7809</v>
      </c>
      <c r="AQ385" t="s">
        <v>74</v>
      </c>
      <c r="AR385" t="s">
        <v>7794</v>
      </c>
      <c r="AS385" t="s">
        <v>7810</v>
      </c>
      <c r="AT385" t="s">
        <v>7811</v>
      </c>
      <c r="AU385">
        <v>2013</v>
      </c>
      <c r="AV385">
        <v>342</v>
      </c>
      <c r="AW385">
        <v>6162</v>
      </c>
      <c r="AX385" t="s">
        <v>74</v>
      </c>
      <c r="AY385" t="s">
        <v>74</v>
      </c>
      <c r="AZ385" t="s">
        <v>74</v>
      </c>
      <c r="BA385" t="s">
        <v>74</v>
      </c>
      <c r="BB385">
        <v>1086</v>
      </c>
      <c r="BC385">
        <v>1089</v>
      </c>
      <c r="BD385" t="s">
        <v>74</v>
      </c>
      <c r="BE385" t="s">
        <v>7812</v>
      </c>
      <c r="BF385" t="str">
        <f>HYPERLINK("http://dx.doi.org/10.1126/science.1243903","http://dx.doi.org/10.1126/science.1243903")</f>
        <v>http://dx.doi.org/10.1126/science.1243903</v>
      </c>
      <c r="BG385" t="s">
        <v>74</v>
      </c>
      <c r="BH385" t="s">
        <v>74</v>
      </c>
      <c r="BI385">
        <v>4</v>
      </c>
      <c r="BJ385" t="s">
        <v>2652</v>
      </c>
      <c r="BK385" t="s">
        <v>99</v>
      </c>
      <c r="BL385" t="s">
        <v>2653</v>
      </c>
      <c r="BM385" t="s">
        <v>7813</v>
      </c>
      <c r="BN385">
        <v>24200815</v>
      </c>
      <c r="BO385" t="s">
        <v>475</v>
      </c>
      <c r="BP385" t="s">
        <v>74</v>
      </c>
      <c r="BQ385" t="s">
        <v>74</v>
      </c>
      <c r="BR385" t="s">
        <v>103</v>
      </c>
      <c r="BS385" t="s">
        <v>7814</v>
      </c>
      <c r="BT385" t="str">
        <f>HYPERLINK("https%3A%2F%2Fwww.webofscience.com%2Fwos%2Fwoscc%2Ffull-record%2FWOS:000327518600055","View Full Record in Web of Science")</f>
        <v>View Full Record in Web of Science</v>
      </c>
    </row>
    <row r="386" spans="1:72" x14ac:dyDescent="0.15">
      <c r="A386" t="s">
        <v>72</v>
      </c>
      <c r="B386" t="s">
        <v>7815</v>
      </c>
      <c r="C386" t="s">
        <v>74</v>
      </c>
      <c r="D386" t="s">
        <v>74</v>
      </c>
      <c r="E386" t="s">
        <v>74</v>
      </c>
      <c r="F386" t="s">
        <v>7816</v>
      </c>
      <c r="G386" t="s">
        <v>74</v>
      </c>
      <c r="H386" t="s">
        <v>74</v>
      </c>
      <c r="I386" t="s">
        <v>7817</v>
      </c>
      <c r="J386" t="s">
        <v>4368</v>
      </c>
      <c r="K386" t="s">
        <v>74</v>
      </c>
      <c r="L386" t="s">
        <v>74</v>
      </c>
      <c r="M386" t="s">
        <v>78</v>
      </c>
      <c r="N386" t="s">
        <v>79</v>
      </c>
      <c r="O386" t="s">
        <v>74</v>
      </c>
      <c r="P386" t="s">
        <v>74</v>
      </c>
      <c r="Q386" t="s">
        <v>74</v>
      </c>
      <c r="R386" t="s">
        <v>74</v>
      </c>
      <c r="S386" t="s">
        <v>74</v>
      </c>
      <c r="T386" t="s">
        <v>7818</v>
      </c>
      <c r="U386" t="s">
        <v>7819</v>
      </c>
      <c r="V386" t="s">
        <v>7820</v>
      </c>
      <c r="W386" t="s">
        <v>7821</v>
      </c>
      <c r="X386" t="s">
        <v>7822</v>
      </c>
      <c r="Y386" t="s">
        <v>7823</v>
      </c>
      <c r="Z386" t="s">
        <v>7824</v>
      </c>
      <c r="AA386" t="s">
        <v>7825</v>
      </c>
      <c r="AB386" t="s">
        <v>7826</v>
      </c>
      <c r="AC386" t="s">
        <v>7827</v>
      </c>
      <c r="AD386" t="s">
        <v>7828</v>
      </c>
      <c r="AE386" t="s">
        <v>7829</v>
      </c>
      <c r="AF386" t="s">
        <v>74</v>
      </c>
      <c r="AG386">
        <v>27</v>
      </c>
      <c r="AH386">
        <v>168</v>
      </c>
      <c r="AI386">
        <v>195</v>
      </c>
      <c r="AJ386">
        <v>3</v>
      </c>
      <c r="AK386">
        <v>33</v>
      </c>
      <c r="AL386" t="s">
        <v>1606</v>
      </c>
      <c r="AM386" t="s">
        <v>808</v>
      </c>
      <c r="AN386" t="s">
        <v>1607</v>
      </c>
      <c r="AO386" t="s">
        <v>4379</v>
      </c>
      <c r="AP386" t="s">
        <v>4380</v>
      </c>
      <c r="AQ386" t="s">
        <v>74</v>
      </c>
      <c r="AR386" t="s">
        <v>4381</v>
      </c>
      <c r="AS386" t="s">
        <v>4382</v>
      </c>
      <c r="AT386" t="s">
        <v>7830</v>
      </c>
      <c r="AU386">
        <v>2013</v>
      </c>
      <c r="AV386">
        <v>40</v>
      </c>
      <c r="AW386">
        <v>22</v>
      </c>
      <c r="AX386" t="s">
        <v>74</v>
      </c>
      <c r="AY386" t="s">
        <v>74</v>
      </c>
      <c r="AZ386" t="s">
        <v>74</v>
      </c>
      <c r="BA386" t="s">
        <v>74</v>
      </c>
      <c r="BB386">
        <v>5872</v>
      </c>
      <c r="BC386">
        <v>5876</v>
      </c>
      <c r="BD386" t="s">
        <v>74</v>
      </c>
      <c r="BE386" t="s">
        <v>7831</v>
      </c>
      <c r="BF386" t="str">
        <f>HYPERLINK("http://dx.doi.org/10.1002/2013GL057694","http://dx.doi.org/10.1002/2013GL057694")</f>
        <v>http://dx.doi.org/10.1002/2013GL057694</v>
      </c>
      <c r="BG386" t="s">
        <v>74</v>
      </c>
      <c r="BH386" t="s">
        <v>74</v>
      </c>
      <c r="BI386">
        <v>5</v>
      </c>
      <c r="BJ386" t="s">
        <v>337</v>
      </c>
      <c r="BK386" t="s">
        <v>99</v>
      </c>
      <c r="BL386" t="s">
        <v>338</v>
      </c>
      <c r="BM386" t="s">
        <v>7832</v>
      </c>
      <c r="BN386" t="s">
        <v>74</v>
      </c>
      <c r="BO386" t="s">
        <v>1630</v>
      </c>
      <c r="BP386" t="s">
        <v>74</v>
      </c>
      <c r="BQ386" t="s">
        <v>74</v>
      </c>
      <c r="BR386" t="s">
        <v>103</v>
      </c>
      <c r="BS386" t="s">
        <v>7833</v>
      </c>
      <c r="BT386" t="str">
        <f>HYPERLINK("https%3A%2F%2Fwww.webofscience.com%2Fwos%2Fwoscc%2Ffull-record%2FWOS:000328210600009","View Full Record in Web of Science")</f>
        <v>View Full Record in Web of Science</v>
      </c>
    </row>
    <row r="387" spans="1:72" x14ac:dyDescent="0.15">
      <c r="A387" t="s">
        <v>72</v>
      </c>
      <c r="B387" t="s">
        <v>7834</v>
      </c>
      <c r="C387" t="s">
        <v>74</v>
      </c>
      <c r="D387" t="s">
        <v>74</v>
      </c>
      <c r="E387" t="s">
        <v>74</v>
      </c>
      <c r="F387" t="s">
        <v>7835</v>
      </c>
      <c r="G387" t="s">
        <v>74</v>
      </c>
      <c r="H387" t="s">
        <v>74</v>
      </c>
      <c r="I387" t="s">
        <v>7836</v>
      </c>
      <c r="J387" t="s">
        <v>4368</v>
      </c>
      <c r="K387" t="s">
        <v>74</v>
      </c>
      <c r="L387" t="s">
        <v>74</v>
      </c>
      <c r="M387" t="s">
        <v>78</v>
      </c>
      <c r="N387" t="s">
        <v>79</v>
      </c>
      <c r="O387" t="s">
        <v>74</v>
      </c>
      <c r="P387" t="s">
        <v>74</v>
      </c>
      <c r="Q387" t="s">
        <v>74</v>
      </c>
      <c r="R387" t="s">
        <v>74</v>
      </c>
      <c r="S387" t="s">
        <v>74</v>
      </c>
      <c r="T387" t="s">
        <v>7837</v>
      </c>
      <c r="U387" t="s">
        <v>7838</v>
      </c>
      <c r="V387" t="s">
        <v>7839</v>
      </c>
      <c r="W387" t="s">
        <v>7840</v>
      </c>
      <c r="X387" t="s">
        <v>7841</v>
      </c>
      <c r="Y387" t="s">
        <v>7842</v>
      </c>
      <c r="Z387" t="s">
        <v>7843</v>
      </c>
      <c r="AA387" t="s">
        <v>7844</v>
      </c>
      <c r="AB387" t="s">
        <v>7845</v>
      </c>
      <c r="AC387" t="s">
        <v>74</v>
      </c>
      <c r="AD387" t="s">
        <v>74</v>
      </c>
      <c r="AE387" t="s">
        <v>74</v>
      </c>
      <c r="AF387" t="s">
        <v>74</v>
      </c>
      <c r="AG387">
        <v>25</v>
      </c>
      <c r="AH387">
        <v>19</v>
      </c>
      <c r="AI387">
        <v>20</v>
      </c>
      <c r="AJ387">
        <v>0</v>
      </c>
      <c r="AK387">
        <v>10</v>
      </c>
      <c r="AL387" t="s">
        <v>1606</v>
      </c>
      <c r="AM387" t="s">
        <v>808</v>
      </c>
      <c r="AN387" t="s">
        <v>1607</v>
      </c>
      <c r="AO387" t="s">
        <v>4379</v>
      </c>
      <c r="AP387" t="s">
        <v>4380</v>
      </c>
      <c r="AQ387" t="s">
        <v>74</v>
      </c>
      <c r="AR387" t="s">
        <v>4381</v>
      </c>
      <c r="AS387" t="s">
        <v>4382</v>
      </c>
      <c r="AT387" t="s">
        <v>7830</v>
      </c>
      <c r="AU387">
        <v>2013</v>
      </c>
      <c r="AV387">
        <v>40</v>
      </c>
      <c r="AW387">
        <v>22</v>
      </c>
      <c r="AX387" t="s">
        <v>74</v>
      </c>
      <c r="AY387" t="s">
        <v>74</v>
      </c>
      <c r="AZ387" t="s">
        <v>74</v>
      </c>
      <c r="BA387" t="s">
        <v>74</v>
      </c>
      <c r="BB387">
        <v>5926</v>
      </c>
      <c r="BC387">
        <v>5931</v>
      </c>
      <c r="BD387" t="s">
        <v>74</v>
      </c>
      <c r="BE387" t="s">
        <v>7846</v>
      </c>
      <c r="BF387" t="str">
        <f>HYPERLINK("http://dx.doi.org/10.1002/2013GL058162","http://dx.doi.org/10.1002/2013GL058162")</f>
        <v>http://dx.doi.org/10.1002/2013GL058162</v>
      </c>
      <c r="BG387" t="s">
        <v>74</v>
      </c>
      <c r="BH387" t="s">
        <v>74</v>
      </c>
      <c r="BI387">
        <v>6</v>
      </c>
      <c r="BJ387" t="s">
        <v>337</v>
      </c>
      <c r="BK387" t="s">
        <v>99</v>
      </c>
      <c r="BL387" t="s">
        <v>338</v>
      </c>
      <c r="BM387" t="s">
        <v>7832</v>
      </c>
      <c r="BN387" t="s">
        <v>74</v>
      </c>
      <c r="BO387" t="s">
        <v>475</v>
      </c>
      <c r="BP387" t="s">
        <v>74</v>
      </c>
      <c r="BQ387" t="s">
        <v>74</v>
      </c>
      <c r="BR387" t="s">
        <v>103</v>
      </c>
      <c r="BS387" t="s">
        <v>7847</v>
      </c>
      <c r="BT387" t="str">
        <f>HYPERLINK("https%3A%2F%2Fwww.webofscience.com%2Fwos%2Fwoscc%2Ffull-record%2FWOS:000328210600019","View Full Record in Web of Science")</f>
        <v>View Full Record in Web of Science</v>
      </c>
    </row>
    <row r="388" spans="1:72" x14ac:dyDescent="0.15">
      <c r="A388" t="s">
        <v>72</v>
      </c>
      <c r="B388" t="s">
        <v>7848</v>
      </c>
      <c r="C388" t="s">
        <v>74</v>
      </c>
      <c r="D388" t="s">
        <v>74</v>
      </c>
      <c r="E388" t="s">
        <v>74</v>
      </c>
      <c r="F388" t="s">
        <v>7849</v>
      </c>
      <c r="G388" t="s">
        <v>74</v>
      </c>
      <c r="H388" t="s">
        <v>74</v>
      </c>
      <c r="I388" t="s">
        <v>7850</v>
      </c>
      <c r="J388" t="s">
        <v>4368</v>
      </c>
      <c r="K388" t="s">
        <v>74</v>
      </c>
      <c r="L388" t="s">
        <v>74</v>
      </c>
      <c r="M388" t="s">
        <v>78</v>
      </c>
      <c r="N388" t="s">
        <v>79</v>
      </c>
      <c r="O388" t="s">
        <v>74</v>
      </c>
      <c r="P388" t="s">
        <v>74</v>
      </c>
      <c r="Q388" t="s">
        <v>74</v>
      </c>
      <c r="R388" t="s">
        <v>74</v>
      </c>
      <c r="S388" t="s">
        <v>74</v>
      </c>
      <c r="T388" t="s">
        <v>7851</v>
      </c>
      <c r="U388" t="s">
        <v>7852</v>
      </c>
      <c r="V388" t="s">
        <v>7853</v>
      </c>
      <c r="W388" t="s">
        <v>7854</v>
      </c>
      <c r="X388" t="s">
        <v>709</v>
      </c>
      <c r="Y388" t="s">
        <v>7855</v>
      </c>
      <c r="Z388" t="s">
        <v>7856</v>
      </c>
      <c r="AA388" t="s">
        <v>7857</v>
      </c>
      <c r="AB388" t="s">
        <v>7858</v>
      </c>
      <c r="AC388" t="s">
        <v>7859</v>
      </c>
      <c r="AD388" t="s">
        <v>1747</v>
      </c>
      <c r="AE388" t="s">
        <v>74</v>
      </c>
      <c r="AF388" t="s">
        <v>74</v>
      </c>
      <c r="AG388">
        <v>19</v>
      </c>
      <c r="AH388">
        <v>31</v>
      </c>
      <c r="AI388">
        <v>31</v>
      </c>
      <c r="AJ388">
        <v>0</v>
      </c>
      <c r="AK388">
        <v>16</v>
      </c>
      <c r="AL388" t="s">
        <v>1606</v>
      </c>
      <c r="AM388" t="s">
        <v>808</v>
      </c>
      <c r="AN388" t="s">
        <v>1607</v>
      </c>
      <c r="AO388" t="s">
        <v>4379</v>
      </c>
      <c r="AP388" t="s">
        <v>4380</v>
      </c>
      <c r="AQ388" t="s">
        <v>74</v>
      </c>
      <c r="AR388" t="s">
        <v>4381</v>
      </c>
      <c r="AS388" t="s">
        <v>4382</v>
      </c>
      <c r="AT388" t="s">
        <v>7830</v>
      </c>
      <c r="AU388">
        <v>2013</v>
      </c>
      <c r="AV388">
        <v>40</v>
      </c>
      <c r="AW388">
        <v>22</v>
      </c>
      <c r="AX388" t="s">
        <v>74</v>
      </c>
      <c r="AY388" t="s">
        <v>74</v>
      </c>
      <c r="AZ388" t="s">
        <v>74</v>
      </c>
      <c r="BA388" t="s">
        <v>74</v>
      </c>
      <c r="BB388">
        <v>5894</v>
      </c>
      <c r="BC388">
        <v>5898</v>
      </c>
      <c r="BD388" t="s">
        <v>74</v>
      </c>
      <c r="BE388" t="s">
        <v>7860</v>
      </c>
      <c r="BF388" t="str">
        <f>HYPERLINK("http://dx.doi.org/10.1002/2013GL058371","http://dx.doi.org/10.1002/2013GL058371")</f>
        <v>http://dx.doi.org/10.1002/2013GL058371</v>
      </c>
      <c r="BG388" t="s">
        <v>74</v>
      </c>
      <c r="BH388" t="s">
        <v>74</v>
      </c>
      <c r="BI388">
        <v>5</v>
      </c>
      <c r="BJ388" t="s">
        <v>337</v>
      </c>
      <c r="BK388" t="s">
        <v>99</v>
      </c>
      <c r="BL388" t="s">
        <v>338</v>
      </c>
      <c r="BM388" t="s">
        <v>7832</v>
      </c>
      <c r="BN388" t="s">
        <v>74</v>
      </c>
      <c r="BO388" t="s">
        <v>1630</v>
      </c>
      <c r="BP388" t="s">
        <v>74</v>
      </c>
      <c r="BQ388" t="s">
        <v>74</v>
      </c>
      <c r="BR388" t="s">
        <v>103</v>
      </c>
      <c r="BS388" t="s">
        <v>7861</v>
      </c>
      <c r="BT388" t="str">
        <f>HYPERLINK("https%3A%2F%2Fwww.webofscience.com%2Fwos%2Fwoscc%2Ffull-record%2FWOS:000328210600013","View Full Record in Web of Science")</f>
        <v>View Full Record in Web of Science</v>
      </c>
    </row>
    <row r="389" spans="1:72" x14ac:dyDescent="0.15">
      <c r="A389" t="s">
        <v>72</v>
      </c>
      <c r="B389" t="s">
        <v>7862</v>
      </c>
      <c r="C389" t="s">
        <v>74</v>
      </c>
      <c r="D389" t="s">
        <v>74</v>
      </c>
      <c r="E389" t="s">
        <v>74</v>
      </c>
      <c r="F389" t="s">
        <v>7863</v>
      </c>
      <c r="G389" t="s">
        <v>74</v>
      </c>
      <c r="H389" t="s">
        <v>74</v>
      </c>
      <c r="I389" t="s">
        <v>7864</v>
      </c>
      <c r="J389" t="s">
        <v>4368</v>
      </c>
      <c r="K389" t="s">
        <v>74</v>
      </c>
      <c r="L389" t="s">
        <v>74</v>
      </c>
      <c r="M389" t="s">
        <v>78</v>
      </c>
      <c r="N389" t="s">
        <v>79</v>
      </c>
      <c r="O389" t="s">
        <v>74</v>
      </c>
      <c r="P389" t="s">
        <v>74</v>
      </c>
      <c r="Q389" t="s">
        <v>74</v>
      </c>
      <c r="R389" t="s">
        <v>74</v>
      </c>
      <c r="S389" t="s">
        <v>74</v>
      </c>
      <c r="T389" t="s">
        <v>7865</v>
      </c>
      <c r="U389" t="s">
        <v>7866</v>
      </c>
      <c r="V389" t="s">
        <v>7867</v>
      </c>
      <c r="W389" t="s">
        <v>7868</v>
      </c>
      <c r="X389" t="s">
        <v>7869</v>
      </c>
      <c r="Y389" t="s">
        <v>7870</v>
      </c>
      <c r="Z389" t="s">
        <v>7871</v>
      </c>
      <c r="AA389" t="s">
        <v>74</v>
      </c>
      <c r="AB389" t="s">
        <v>74</v>
      </c>
      <c r="AC389" t="s">
        <v>7872</v>
      </c>
      <c r="AD389" t="s">
        <v>7872</v>
      </c>
      <c r="AE389" t="s">
        <v>7873</v>
      </c>
      <c r="AF389" t="s">
        <v>74</v>
      </c>
      <c r="AG389">
        <v>25</v>
      </c>
      <c r="AH389">
        <v>21</v>
      </c>
      <c r="AI389">
        <v>22</v>
      </c>
      <c r="AJ389">
        <v>3</v>
      </c>
      <c r="AK389">
        <v>19</v>
      </c>
      <c r="AL389" t="s">
        <v>1606</v>
      </c>
      <c r="AM389" t="s">
        <v>808</v>
      </c>
      <c r="AN389" t="s">
        <v>1607</v>
      </c>
      <c r="AO389" t="s">
        <v>4379</v>
      </c>
      <c r="AP389" t="s">
        <v>4380</v>
      </c>
      <c r="AQ389" t="s">
        <v>74</v>
      </c>
      <c r="AR389" t="s">
        <v>4381</v>
      </c>
      <c r="AS389" t="s">
        <v>4382</v>
      </c>
      <c r="AT389" t="s">
        <v>7830</v>
      </c>
      <c r="AU389">
        <v>2013</v>
      </c>
      <c r="AV389">
        <v>40</v>
      </c>
      <c r="AW389">
        <v>22</v>
      </c>
      <c r="AX389" t="s">
        <v>74</v>
      </c>
      <c r="AY389" t="s">
        <v>74</v>
      </c>
      <c r="AZ389" t="s">
        <v>74</v>
      </c>
      <c r="BA389" t="s">
        <v>74</v>
      </c>
      <c r="BB389">
        <v>5920</v>
      </c>
      <c r="BC389">
        <v>5925</v>
      </c>
      <c r="BD389" t="s">
        <v>74</v>
      </c>
      <c r="BE389" t="s">
        <v>7874</v>
      </c>
      <c r="BF389" t="str">
        <f>HYPERLINK("http://dx.doi.org/10.1002/2013GL058114","http://dx.doi.org/10.1002/2013GL058114")</f>
        <v>http://dx.doi.org/10.1002/2013GL058114</v>
      </c>
      <c r="BG389" t="s">
        <v>74</v>
      </c>
      <c r="BH389" t="s">
        <v>74</v>
      </c>
      <c r="BI389">
        <v>6</v>
      </c>
      <c r="BJ389" t="s">
        <v>337</v>
      </c>
      <c r="BK389" t="s">
        <v>99</v>
      </c>
      <c r="BL389" t="s">
        <v>338</v>
      </c>
      <c r="BM389" t="s">
        <v>7832</v>
      </c>
      <c r="BN389" t="s">
        <v>74</v>
      </c>
      <c r="BO389" t="s">
        <v>1549</v>
      </c>
      <c r="BP389" t="s">
        <v>74</v>
      </c>
      <c r="BQ389" t="s">
        <v>74</v>
      </c>
      <c r="BR389" t="s">
        <v>103</v>
      </c>
      <c r="BS389" t="s">
        <v>7875</v>
      </c>
      <c r="BT389" t="str">
        <f>HYPERLINK("https%3A%2F%2Fwww.webofscience.com%2Fwos%2Fwoscc%2Ffull-record%2FWOS:000328210600018","View Full Record in Web of Science")</f>
        <v>View Full Record in Web of Science</v>
      </c>
    </row>
    <row r="390" spans="1:72" x14ac:dyDescent="0.15">
      <c r="A390" t="s">
        <v>72</v>
      </c>
      <c r="B390" t="s">
        <v>7876</v>
      </c>
      <c r="C390" t="s">
        <v>74</v>
      </c>
      <c r="D390" t="s">
        <v>74</v>
      </c>
      <c r="E390" t="s">
        <v>74</v>
      </c>
      <c r="F390" t="s">
        <v>7877</v>
      </c>
      <c r="G390" t="s">
        <v>74</v>
      </c>
      <c r="H390" t="s">
        <v>74</v>
      </c>
      <c r="I390" t="s">
        <v>7878</v>
      </c>
      <c r="J390" t="s">
        <v>4346</v>
      </c>
      <c r="K390" t="s">
        <v>74</v>
      </c>
      <c r="L390" t="s">
        <v>74</v>
      </c>
      <c r="M390" t="s">
        <v>78</v>
      </c>
      <c r="N390" t="s">
        <v>79</v>
      </c>
      <c r="O390" t="s">
        <v>74</v>
      </c>
      <c r="P390" t="s">
        <v>74</v>
      </c>
      <c r="Q390" t="s">
        <v>74</v>
      </c>
      <c r="R390" t="s">
        <v>74</v>
      </c>
      <c r="S390" t="s">
        <v>74</v>
      </c>
      <c r="T390" t="s">
        <v>7879</v>
      </c>
      <c r="U390" t="s">
        <v>7880</v>
      </c>
      <c r="V390" t="s">
        <v>7881</v>
      </c>
      <c r="W390" t="s">
        <v>7882</v>
      </c>
      <c r="X390" t="s">
        <v>7883</v>
      </c>
      <c r="Y390" t="s">
        <v>7884</v>
      </c>
      <c r="Z390" t="s">
        <v>7885</v>
      </c>
      <c r="AA390" t="s">
        <v>74</v>
      </c>
      <c r="AB390" t="s">
        <v>74</v>
      </c>
      <c r="AC390" t="s">
        <v>7886</v>
      </c>
      <c r="AD390" t="s">
        <v>7887</v>
      </c>
      <c r="AE390" t="s">
        <v>7888</v>
      </c>
      <c r="AF390" t="s">
        <v>74</v>
      </c>
      <c r="AG390">
        <v>62</v>
      </c>
      <c r="AH390">
        <v>8</v>
      </c>
      <c r="AI390">
        <v>9</v>
      </c>
      <c r="AJ390">
        <v>0</v>
      </c>
      <c r="AK390">
        <v>8</v>
      </c>
      <c r="AL390" t="s">
        <v>1606</v>
      </c>
      <c r="AM390" t="s">
        <v>808</v>
      </c>
      <c r="AN390" t="s">
        <v>1607</v>
      </c>
      <c r="AO390" t="s">
        <v>4357</v>
      </c>
      <c r="AP390" t="s">
        <v>4358</v>
      </c>
      <c r="AQ390" t="s">
        <v>74</v>
      </c>
      <c r="AR390" t="s">
        <v>4359</v>
      </c>
      <c r="AS390" t="s">
        <v>4360</v>
      </c>
      <c r="AT390" t="s">
        <v>7889</v>
      </c>
      <c r="AU390">
        <v>2013</v>
      </c>
      <c r="AV390">
        <v>118</v>
      </c>
      <c r="AW390">
        <v>22</v>
      </c>
      <c r="AX390" t="s">
        <v>74</v>
      </c>
      <c r="AY390" t="s">
        <v>74</v>
      </c>
      <c r="AZ390" t="s">
        <v>74</v>
      </c>
      <c r="BA390" t="s">
        <v>74</v>
      </c>
      <c r="BB390">
        <v>12332</v>
      </c>
      <c r="BC390">
        <v>12344</v>
      </c>
      <c r="BD390" t="s">
        <v>74</v>
      </c>
      <c r="BE390" t="s">
        <v>7890</v>
      </c>
      <c r="BF390" t="str">
        <f>HYPERLINK("http://dx.doi.org/10.1002/2013JD020530","http://dx.doi.org/10.1002/2013JD020530")</f>
        <v>http://dx.doi.org/10.1002/2013JD020530</v>
      </c>
      <c r="BG390" t="s">
        <v>74</v>
      </c>
      <c r="BH390" t="s">
        <v>74</v>
      </c>
      <c r="BI390">
        <v>13</v>
      </c>
      <c r="BJ390" t="s">
        <v>1503</v>
      </c>
      <c r="BK390" t="s">
        <v>99</v>
      </c>
      <c r="BL390" t="s">
        <v>1503</v>
      </c>
      <c r="BM390" t="s">
        <v>7891</v>
      </c>
      <c r="BN390" t="s">
        <v>74</v>
      </c>
      <c r="BO390" t="s">
        <v>74</v>
      </c>
      <c r="BP390" t="s">
        <v>74</v>
      </c>
      <c r="BQ390" t="s">
        <v>74</v>
      </c>
      <c r="BR390" t="s">
        <v>103</v>
      </c>
      <c r="BS390" t="s">
        <v>7892</v>
      </c>
      <c r="BT390" t="str">
        <f>HYPERLINK("https%3A%2F%2Fwww.webofscience.com%2Fwos%2Fwoscc%2Ffull-record%2FWOS:000330266000015","View Full Record in Web of Science")</f>
        <v>View Full Record in Web of Science</v>
      </c>
    </row>
    <row r="391" spans="1:72" x14ac:dyDescent="0.15">
      <c r="A391" t="s">
        <v>72</v>
      </c>
      <c r="B391" t="s">
        <v>7893</v>
      </c>
      <c r="C391" t="s">
        <v>74</v>
      </c>
      <c r="D391" t="s">
        <v>74</v>
      </c>
      <c r="E391" t="s">
        <v>74</v>
      </c>
      <c r="F391" t="s">
        <v>7894</v>
      </c>
      <c r="G391" t="s">
        <v>74</v>
      </c>
      <c r="H391" t="s">
        <v>74</v>
      </c>
      <c r="I391" t="s">
        <v>7895</v>
      </c>
      <c r="J391" t="s">
        <v>4346</v>
      </c>
      <c r="K391" t="s">
        <v>74</v>
      </c>
      <c r="L391" t="s">
        <v>74</v>
      </c>
      <c r="M391" t="s">
        <v>78</v>
      </c>
      <c r="N391" t="s">
        <v>79</v>
      </c>
      <c r="O391" t="s">
        <v>74</v>
      </c>
      <c r="P391" t="s">
        <v>74</v>
      </c>
      <c r="Q391" t="s">
        <v>74</v>
      </c>
      <c r="R391" t="s">
        <v>74</v>
      </c>
      <c r="S391" t="s">
        <v>74</v>
      </c>
      <c r="T391" t="s">
        <v>7896</v>
      </c>
      <c r="U391" t="s">
        <v>7897</v>
      </c>
      <c r="V391" t="s">
        <v>7898</v>
      </c>
      <c r="W391" t="s">
        <v>7899</v>
      </c>
      <c r="X391" t="s">
        <v>1489</v>
      </c>
      <c r="Y391" t="s">
        <v>7900</v>
      </c>
      <c r="Z391" t="s">
        <v>7901</v>
      </c>
      <c r="AA391" t="s">
        <v>7902</v>
      </c>
      <c r="AB391" t="s">
        <v>7903</v>
      </c>
      <c r="AC391" t="s">
        <v>74</v>
      </c>
      <c r="AD391" t="s">
        <v>74</v>
      </c>
      <c r="AE391" t="s">
        <v>74</v>
      </c>
      <c r="AF391" t="s">
        <v>74</v>
      </c>
      <c r="AG391">
        <v>43</v>
      </c>
      <c r="AH391">
        <v>80</v>
      </c>
      <c r="AI391">
        <v>87</v>
      </c>
      <c r="AJ391">
        <v>5</v>
      </c>
      <c r="AK391">
        <v>41</v>
      </c>
      <c r="AL391" t="s">
        <v>1606</v>
      </c>
      <c r="AM391" t="s">
        <v>808</v>
      </c>
      <c r="AN391" t="s">
        <v>1607</v>
      </c>
      <c r="AO391" t="s">
        <v>4357</v>
      </c>
      <c r="AP391" t="s">
        <v>4358</v>
      </c>
      <c r="AQ391" t="s">
        <v>74</v>
      </c>
      <c r="AR391" t="s">
        <v>4359</v>
      </c>
      <c r="AS391" t="s">
        <v>4360</v>
      </c>
      <c r="AT391" t="s">
        <v>7889</v>
      </c>
      <c r="AU391">
        <v>2013</v>
      </c>
      <c r="AV391">
        <v>118</v>
      </c>
      <c r="AW391">
        <v>22</v>
      </c>
      <c r="AX391" t="s">
        <v>74</v>
      </c>
      <c r="AY391" t="s">
        <v>74</v>
      </c>
      <c r="AZ391" t="s">
        <v>74</v>
      </c>
      <c r="BA391" t="s">
        <v>74</v>
      </c>
      <c r="BB391">
        <v>12422</v>
      </c>
      <c r="BC391">
        <v>12434</v>
      </c>
      <c r="BD391" t="s">
        <v>74</v>
      </c>
      <c r="BE391" t="s">
        <v>7904</v>
      </c>
      <c r="BF391" t="str">
        <f>HYPERLINK("http://dx.doi.org/10.1002/2013JD020147","http://dx.doi.org/10.1002/2013JD020147")</f>
        <v>http://dx.doi.org/10.1002/2013JD020147</v>
      </c>
      <c r="BG391" t="s">
        <v>74</v>
      </c>
      <c r="BH391" t="s">
        <v>74</v>
      </c>
      <c r="BI391">
        <v>13</v>
      </c>
      <c r="BJ391" t="s">
        <v>1503</v>
      </c>
      <c r="BK391" t="s">
        <v>99</v>
      </c>
      <c r="BL391" t="s">
        <v>1503</v>
      </c>
      <c r="BM391" t="s">
        <v>7891</v>
      </c>
      <c r="BN391" t="s">
        <v>74</v>
      </c>
      <c r="BO391" t="s">
        <v>475</v>
      </c>
      <c r="BP391" t="s">
        <v>74</v>
      </c>
      <c r="BQ391" t="s">
        <v>74</v>
      </c>
      <c r="BR391" t="s">
        <v>103</v>
      </c>
      <c r="BS391" t="s">
        <v>7905</v>
      </c>
      <c r="BT391" t="str">
        <f>HYPERLINK("https%3A%2F%2Fwww.webofscience.com%2Fwos%2Fwoscc%2Ffull-record%2FWOS:000330266000013","View Full Record in Web of Science")</f>
        <v>View Full Record in Web of Science</v>
      </c>
    </row>
    <row r="392" spans="1:72" x14ac:dyDescent="0.15">
      <c r="A392" t="s">
        <v>72</v>
      </c>
      <c r="B392" t="s">
        <v>7906</v>
      </c>
      <c r="C392" t="s">
        <v>74</v>
      </c>
      <c r="D392" t="s">
        <v>74</v>
      </c>
      <c r="E392" t="s">
        <v>74</v>
      </c>
      <c r="F392" t="s">
        <v>7907</v>
      </c>
      <c r="G392" t="s">
        <v>74</v>
      </c>
      <c r="H392" t="s">
        <v>74</v>
      </c>
      <c r="I392" t="s">
        <v>7908</v>
      </c>
      <c r="J392" t="s">
        <v>7909</v>
      </c>
      <c r="K392" t="s">
        <v>74</v>
      </c>
      <c r="L392" t="s">
        <v>74</v>
      </c>
      <c r="M392" t="s">
        <v>78</v>
      </c>
      <c r="N392" t="s">
        <v>7910</v>
      </c>
      <c r="O392" t="s">
        <v>7911</v>
      </c>
      <c r="P392" t="s">
        <v>7912</v>
      </c>
      <c r="Q392" t="s">
        <v>7913</v>
      </c>
      <c r="R392" t="s">
        <v>74</v>
      </c>
      <c r="S392" t="s">
        <v>74</v>
      </c>
      <c r="T392" t="s">
        <v>74</v>
      </c>
      <c r="U392" t="s">
        <v>7914</v>
      </c>
      <c r="V392" t="s">
        <v>7915</v>
      </c>
      <c r="W392" t="s">
        <v>7916</v>
      </c>
      <c r="X392" t="s">
        <v>7917</v>
      </c>
      <c r="Y392" t="s">
        <v>7918</v>
      </c>
      <c r="Z392" t="s">
        <v>7919</v>
      </c>
      <c r="AA392" t="s">
        <v>7920</v>
      </c>
      <c r="AB392" t="s">
        <v>7921</v>
      </c>
      <c r="AC392" t="s">
        <v>7922</v>
      </c>
      <c r="AD392" t="s">
        <v>7923</v>
      </c>
      <c r="AE392" t="s">
        <v>7924</v>
      </c>
      <c r="AF392" t="s">
        <v>74</v>
      </c>
      <c r="AG392">
        <v>87</v>
      </c>
      <c r="AH392">
        <v>18</v>
      </c>
      <c r="AI392">
        <v>18</v>
      </c>
      <c r="AJ392">
        <v>0</v>
      </c>
      <c r="AK392">
        <v>11</v>
      </c>
      <c r="AL392" t="s">
        <v>872</v>
      </c>
      <c r="AM392" t="s">
        <v>252</v>
      </c>
      <c r="AN392" t="s">
        <v>873</v>
      </c>
      <c r="AO392" t="s">
        <v>7925</v>
      </c>
      <c r="AP392" t="s">
        <v>7926</v>
      </c>
      <c r="AQ392" t="s">
        <v>74</v>
      </c>
      <c r="AR392" t="s">
        <v>7927</v>
      </c>
      <c r="AS392" t="s">
        <v>7928</v>
      </c>
      <c r="AT392" t="s">
        <v>7889</v>
      </c>
      <c r="AU392">
        <v>2013</v>
      </c>
      <c r="AV392">
        <v>315</v>
      </c>
      <c r="AW392" t="s">
        <v>74</v>
      </c>
      <c r="AX392" t="s">
        <v>74</v>
      </c>
      <c r="AY392" t="s">
        <v>74</v>
      </c>
      <c r="AZ392" t="s">
        <v>74</v>
      </c>
      <c r="BA392" t="s">
        <v>74</v>
      </c>
      <c r="BB392">
        <v>184</v>
      </c>
      <c r="BC392">
        <v>199</v>
      </c>
      <c r="BD392" t="s">
        <v>74</v>
      </c>
      <c r="BE392" t="s">
        <v>7929</v>
      </c>
      <c r="BF392" t="str">
        <f>HYPERLINK("http://dx.doi.org/10.1016/j.quaint.2013.07.001","http://dx.doi.org/10.1016/j.quaint.2013.07.001")</f>
        <v>http://dx.doi.org/10.1016/j.quaint.2013.07.001</v>
      </c>
      <c r="BG392" t="s">
        <v>74</v>
      </c>
      <c r="BH392" t="s">
        <v>74</v>
      </c>
      <c r="BI392">
        <v>16</v>
      </c>
      <c r="BJ392" t="s">
        <v>98</v>
      </c>
      <c r="BK392" t="s">
        <v>7930</v>
      </c>
      <c r="BL392" t="s">
        <v>100</v>
      </c>
      <c r="BM392" t="s">
        <v>7931</v>
      </c>
      <c r="BN392" t="s">
        <v>74</v>
      </c>
      <c r="BO392" t="s">
        <v>831</v>
      </c>
      <c r="BP392" t="s">
        <v>74</v>
      </c>
      <c r="BQ392" t="s">
        <v>74</v>
      </c>
      <c r="BR392" t="s">
        <v>103</v>
      </c>
      <c r="BS392" t="s">
        <v>7932</v>
      </c>
      <c r="BT392" t="str">
        <f>HYPERLINK("https%3A%2F%2Fwww.webofscience.com%2Fwos%2Fwoscc%2Ffull-record%2FWOS:000327908400014","View Full Record in Web of Science")</f>
        <v>View Full Record in Web of Science</v>
      </c>
    </row>
    <row r="393" spans="1:72" x14ac:dyDescent="0.15">
      <c r="A393" t="s">
        <v>72</v>
      </c>
      <c r="B393" t="s">
        <v>7933</v>
      </c>
      <c r="C393" t="s">
        <v>74</v>
      </c>
      <c r="D393" t="s">
        <v>74</v>
      </c>
      <c r="E393" t="s">
        <v>74</v>
      </c>
      <c r="F393" t="s">
        <v>7934</v>
      </c>
      <c r="G393" t="s">
        <v>74</v>
      </c>
      <c r="H393" t="s">
        <v>74</v>
      </c>
      <c r="I393" t="s">
        <v>7935</v>
      </c>
      <c r="J393" t="s">
        <v>4346</v>
      </c>
      <c r="K393" t="s">
        <v>74</v>
      </c>
      <c r="L393" t="s">
        <v>74</v>
      </c>
      <c r="M393" t="s">
        <v>78</v>
      </c>
      <c r="N393" t="s">
        <v>79</v>
      </c>
      <c r="O393" t="s">
        <v>74</v>
      </c>
      <c r="P393" t="s">
        <v>74</v>
      </c>
      <c r="Q393" t="s">
        <v>74</v>
      </c>
      <c r="R393" t="s">
        <v>74</v>
      </c>
      <c r="S393" t="s">
        <v>74</v>
      </c>
      <c r="T393" t="s">
        <v>7936</v>
      </c>
      <c r="U393" t="s">
        <v>7937</v>
      </c>
      <c r="V393" t="s">
        <v>7938</v>
      </c>
      <c r="W393" t="s">
        <v>7939</v>
      </c>
      <c r="X393" t="s">
        <v>4351</v>
      </c>
      <c r="Y393" t="s">
        <v>7940</v>
      </c>
      <c r="Z393" t="s">
        <v>4353</v>
      </c>
      <c r="AA393" t="s">
        <v>74</v>
      </c>
      <c r="AB393" t="s">
        <v>7941</v>
      </c>
      <c r="AC393" t="s">
        <v>7942</v>
      </c>
      <c r="AD393" t="s">
        <v>7943</v>
      </c>
      <c r="AE393" t="s">
        <v>7944</v>
      </c>
      <c r="AF393" t="s">
        <v>74</v>
      </c>
      <c r="AG393">
        <v>106</v>
      </c>
      <c r="AH393">
        <v>27</v>
      </c>
      <c r="AI393">
        <v>33</v>
      </c>
      <c r="AJ393">
        <v>3</v>
      </c>
      <c r="AK393">
        <v>24</v>
      </c>
      <c r="AL393" t="s">
        <v>1606</v>
      </c>
      <c r="AM393" t="s">
        <v>808</v>
      </c>
      <c r="AN393" t="s">
        <v>1607</v>
      </c>
      <c r="AO393" t="s">
        <v>4357</v>
      </c>
      <c r="AP393" t="s">
        <v>4358</v>
      </c>
      <c r="AQ393" t="s">
        <v>74</v>
      </c>
      <c r="AR393" t="s">
        <v>4359</v>
      </c>
      <c r="AS393" t="s">
        <v>4360</v>
      </c>
      <c r="AT393" t="s">
        <v>7889</v>
      </c>
      <c r="AU393">
        <v>2013</v>
      </c>
      <c r="AV393">
        <v>118</v>
      </c>
      <c r="AW393">
        <v>22</v>
      </c>
      <c r="AX393" t="s">
        <v>74</v>
      </c>
      <c r="AY393" t="s">
        <v>74</v>
      </c>
      <c r="AZ393" t="s">
        <v>74</v>
      </c>
      <c r="BA393" t="s">
        <v>74</v>
      </c>
      <c r="BB393">
        <v>12634</v>
      </c>
      <c r="BC393">
        <v>12648</v>
      </c>
      <c r="BD393" t="s">
        <v>74</v>
      </c>
      <c r="BE393" t="s">
        <v>7945</v>
      </c>
      <c r="BF393" t="str">
        <f>HYPERLINK("http://dx.doi.org/10.1002/2013JD020367","http://dx.doi.org/10.1002/2013JD020367")</f>
        <v>http://dx.doi.org/10.1002/2013JD020367</v>
      </c>
      <c r="BG393" t="s">
        <v>74</v>
      </c>
      <c r="BH393" t="s">
        <v>74</v>
      </c>
      <c r="BI393">
        <v>15</v>
      </c>
      <c r="BJ393" t="s">
        <v>1503</v>
      </c>
      <c r="BK393" t="s">
        <v>99</v>
      </c>
      <c r="BL393" t="s">
        <v>1503</v>
      </c>
      <c r="BM393" t="s">
        <v>7891</v>
      </c>
      <c r="BN393" t="s">
        <v>74</v>
      </c>
      <c r="BO393" t="s">
        <v>74</v>
      </c>
      <c r="BP393" t="s">
        <v>74</v>
      </c>
      <c r="BQ393" t="s">
        <v>74</v>
      </c>
      <c r="BR393" t="s">
        <v>103</v>
      </c>
      <c r="BS393" t="s">
        <v>7946</v>
      </c>
      <c r="BT393" t="str">
        <f>HYPERLINK("https%3A%2F%2Fwww.webofscience.com%2Fwos%2Fwoscc%2Ffull-record%2FWOS:000330266000036","View Full Record in Web of Science")</f>
        <v>View Full Record in Web of Science</v>
      </c>
    </row>
    <row r="394" spans="1:72" x14ac:dyDescent="0.15">
      <c r="A394" t="s">
        <v>72</v>
      </c>
      <c r="B394" t="s">
        <v>7947</v>
      </c>
      <c r="C394" t="s">
        <v>74</v>
      </c>
      <c r="D394" t="s">
        <v>74</v>
      </c>
      <c r="E394" t="s">
        <v>74</v>
      </c>
      <c r="F394" t="s">
        <v>7948</v>
      </c>
      <c r="G394" t="s">
        <v>74</v>
      </c>
      <c r="H394" t="s">
        <v>74</v>
      </c>
      <c r="I394" t="s">
        <v>7949</v>
      </c>
      <c r="J394" t="s">
        <v>4346</v>
      </c>
      <c r="K394" t="s">
        <v>74</v>
      </c>
      <c r="L394" t="s">
        <v>74</v>
      </c>
      <c r="M394" t="s">
        <v>78</v>
      </c>
      <c r="N394" t="s">
        <v>79</v>
      </c>
      <c r="O394" t="s">
        <v>74</v>
      </c>
      <c r="P394" t="s">
        <v>74</v>
      </c>
      <c r="Q394" t="s">
        <v>74</v>
      </c>
      <c r="R394" t="s">
        <v>74</v>
      </c>
      <c r="S394" t="s">
        <v>74</v>
      </c>
      <c r="T394" t="s">
        <v>7950</v>
      </c>
      <c r="U394" t="s">
        <v>7951</v>
      </c>
      <c r="V394" t="s">
        <v>7952</v>
      </c>
      <c r="W394" t="s">
        <v>7953</v>
      </c>
      <c r="X394" t="s">
        <v>5692</v>
      </c>
      <c r="Y394" t="s">
        <v>7954</v>
      </c>
      <c r="Z394" t="s">
        <v>7955</v>
      </c>
      <c r="AA394" t="s">
        <v>74</v>
      </c>
      <c r="AB394" t="s">
        <v>7956</v>
      </c>
      <c r="AC394" t="s">
        <v>7957</v>
      </c>
      <c r="AD394" t="s">
        <v>7958</v>
      </c>
      <c r="AE394" t="s">
        <v>7959</v>
      </c>
      <c r="AF394" t="s">
        <v>74</v>
      </c>
      <c r="AG394">
        <v>55</v>
      </c>
      <c r="AH394">
        <v>12</v>
      </c>
      <c r="AI394">
        <v>13</v>
      </c>
      <c r="AJ394">
        <v>0</v>
      </c>
      <c r="AK394">
        <v>12</v>
      </c>
      <c r="AL394" t="s">
        <v>1606</v>
      </c>
      <c r="AM394" t="s">
        <v>808</v>
      </c>
      <c r="AN394" t="s">
        <v>1607</v>
      </c>
      <c r="AO394" t="s">
        <v>4357</v>
      </c>
      <c r="AP394" t="s">
        <v>4358</v>
      </c>
      <c r="AQ394" t="s">
        <v>74</v>
      </c>
      <c r="AR394" t="s">
        <v>4359</v>
      </c>
      <c r="AS394" t="s">
        <v>4360</v>
      </c>
      <c r="AT394" t="s">
        <v>7889</v>
      </c>
      <c r="AU394">
        <v>2013</v>
      </c>
      <c r="AV394">
        <v>118</v>
      </c>
      <c r="AW394">
        <v>22</v>
      </c>
      <c r="AX394" t="s">
        <v>74</v>
      </c>
      <c r="AY394" t="s">
        <v>74</v>
      </c>
      <c r="AZ394" t="s">
        <v>74</v>
      </c>
      <c r="BA394" t="s">
        <v>74</v>
      </c>
      <c r="BB394">
        <v>12719</v>
      </c>
      <c r="BC394">
        <v>12733</v>
      </c>
      <c r="BD394" t="s">
        <v>74</v>
      </c>
      <c r="BE394" t="s">
        <v>7960</v>
      </c>
      <c r="BF394" t="str">
        <f>HYPERLINK("http://dx.doi.org/10.1002/2012JD019257","http://dx.doi.org/10.1002/2012JD019257")</f>
        <v>http://dx.doi.org/10.1002/2012JD019257</v>
      </c>
      <c r="BG394" t="s">
        <v>74</v>
      </c>
      <c r="BH394" t="s">
        <v>74</v>
      </c>
      <c r="BI394">
        <v>15</v>
      </c>
      <c r="BJ394" t="s">
        <v>1503</v>
      </c>
      <c r="BK394" t="s">
        <v>99</v>
      </c>
      <c r="BL394" t="s">
        <v>1503</v>
      </c>
      <c r="BM394" t="s">
        <v>7891</v>
      </c>
      <c r="BN394" t="s">
        <v>74</v>
      </c>
      <c r="BO394" t="s">
        <v>74</v>
      </c>
      <c r="BP394" t="s">
        <v>74</v>
      </c>
      <c r="BQ394" t="s">
        <v>74</v>
      </c>
      <c r="BR394" t="s">
        <v>103</v>
      </c>
      <c r="BS394" t="s">
        <v>7961</v>
      </c>
      <c r="BT394" t="str">
        <f>HYPERLINK("https%3A%2F%2Fwww.webofscience.com%2Fwos%2Fwoscc%2Ffull-record%2FWOS:000330266000031","View Full Record in Web of Science")</f>
        <v>View Full Record in Web of Science</v>
      </c>
    </row>
    <row r="395" spans="1:72" x14ac:dyDescent="0.15">
      <c r="A395" t="s">
        <v>72</v>
      </c>
      <c r="B395" t="s">
        <v>7962</v>
      </c>
      <c r="C395" t="s">
        <v>74</v>
      </c>
      <c r="D395" t="s">
        <v>74</v>
      </c>
      <c r="E395" t="s">
        <v>74</v>
      </c>
      <c r="F395" t="s">
        <v>7963</v>
      </c>
      <c r="G395" t="s">
        <v>74</v>
      </c>
      <c r="H395" t="s">
        <v>74</v>
      </c>
      <c r="I395" t="s">
        <v>7964</v>
      </c>
      <c r="J395" t="s">
        <v>4072</v>
      </c>
      <c r="K395" t="s">
        <v>74</v>
      </c>
      <c r="L395" t="s">
        <v>74</v>
      </c>
      <c r="M395" t="s">
        <v>78</v>
      </c>
      <c r="N395" t="s">
        <v>79</v>
      </c>
      <c r="O395" t="s">
        <v>74</v>
      </c>
      <c r="P395" t="s">
        <v>74</v>
      </c>
      <c r="Q395" t="s">
        <v>74</v>
      </c>
      <c r="R395" t="s">
        <v>74</v>
      </c>
      <c r="S395" t="s">
        <v>74</v>
      </c>
      <c r="T395" t="s">
        <v>74</v>
      </c>
      <c r="U395" t="s">
        <v>7965</v>
      </c>
      <c r="V395" t="s">
        <v>7966</v>
      </c>
      <c r="W395" t="s">
        <v>7967</v>
      </c>
      <c r="X395" t="s">
        <v>7968</v>
      </c>
      <c r="Y395" t="s">
        <v>7969</v>
      </c>
      <c r="Z395" t="s">
        <v>7970</v>
      </c>
      <c r="AA395" t="s">
        <v>7971</v>
      </c>
      <c r="AB395" t="s">
        <v>7972</v>
      </c>
      <c r="AC395" t="s">
        <v>7973</v>
      </c>
      <c r="AD395" t="s">
        <v>7974</v>
      </c>
      <c r="AE395" t="s">
        <v>7975</v>
      </c>
      <c r="AF395" t="s">
        <v>74</v>
      </c>
      <c r="AG395">
        <v>92</v>
      </c>
      <c r="AH395">
        <v>25</v>
      </c>
      <c r="AI395">
        <v>25</v>
      </c>
      <c r="AJ395">
        <v>1</v>
      </c>
      <c r="AK395">
        <v>45</v>
      </c>
      <c r="AL395" t="s">
        <v>4084</v>
      </c>
      <c r="AM395" t="s">
        <v>4085</v>
      </c>
      <c r="AN395" t="s">
        <v>4086</v>
      </c>
      <c r="AO395" t="s">
        <v>4087</v>
      </c>
      <c r="AP395" t="s">
        <v>74</v>
      </c>
      <c r="AQ395" t="s">
        <v>74</v>
      </c>
      <c r="AR395" t="s">
        <v>4072</v>
      </c>
      <c r="AS395" t="s">
        <v>4088</v>
      </c>
      <c r="AT395" t="s">
        <v>7976</v>
      </c>
      <c r="AU395">
        <v>2013</v>
      </c>
      <c r="AV395">
        <v>8</v>
      </c>
      <c r="AW395">
        <v>11</v>
      </c>
      <c r="AX395" t="s">
        <v>74</v>
      </c>
      <c r="AY395" t="s">
        <v>74</v>
      </c>
      <c r="AZ395" t="s">
        <v>74</v>
      </c>
      <c r="BA395" t="s">
        <v>74</v>
      </c>
      <c r="BB395" t="s">
        <v>74</v>
      </c>
      <c r="BC395" t="s">
        <v>74</v>
      </c>
      <c r="BD395" t="s">
        <v>7977</v>
      </c>
      <c r="BE395" t="s">
        <v>7978</v>
      </c>
      <c r="BF395" t="str">
        <f>HYPERLINK("http://dx.doi.org/10.1371/journal.pone.0080510","http://dx.doi.org/10.1371/journal.pone.0080510")</f>
        <v>http://dx.doi.org/10.1371/journal.pone.0080510</v>
      </c>
      <c r="BG395" t="s">
        <v>74</v>
      </c>
      <c r="BH395" t="s">
        <v>74</v>
      </c>
      <c r="BI395">
        <v>15</v>
      </c>
      <c r="BJ395" t="s">
        <v>2652</v>
      </c>
      <c r="BK395" t="s">
        <v>99</v>
      </c>
      <c r="BL395" t="s">
        <v>2653</v>
      </c>
      <c r="BM395" t="s">
        <v>7979</v>
      </c>
      <c r="BN395">
        <v>24303022</v>
      </c>
      <c r="BO395" t="s">
        <v>7980</v>
      </c>
      <c r="BP395" t="s">
        <v>74</v>
      </c>
      <c r="BQ395" t="s">
        <v>74</v>
      </c>
      <c r="BR395" t="s">
        <v>103</v>
      </c>
      <c r="BS395" t="s">
        <v>7981</v>
      </c>
      <c r="BT395" t="str">
        <f>HYPERLINK("https%3A%2F%2Fwww.webofscience.com%2Fwos%2Fwoscc%2Ffull-record%2FWOS:000327546400038","View Full Record in Web of Science")</f>
        <v>View Full Record in Web of Science</v>
      </c>
    </row>
    <row r="396" spans="1:72" x14ac:dyDescent="0.15">
      <c r="A396" t="s">
        <v>72</v>
      </c>
      <c r="B396" t="s">
        <v>7982</v>
      </c>
      <c r="C396" t="s">
        <v>74</v>
      </c>
      <c r="D396" t="s">
        <v>74</v>
      </c>
      <c r="E396" t="s">
        <v>74</v>
      </c>
      <c r="F396" t="s">
        <v>7983</v>
      </c>
      <c r="G396" t="s">
        <v>74</v>
      </c>
      <c r="H396" t="s">
        <v>74</v>
      </c>
      <c r="I396" t="s">
        <v>7984</v>
      </c>
      <c r="J396" t="s">
        <v>4072</v>
      </c>
      <c r="K396" t="s">
        <v>74</v>
      </c>
      <c r="L396" t="s">
        <v>74</v>
      </c>
      <c r="M396" t="s">
        <v>78</v>
      </c>
      <c r="N396" t="s">
        <v>79</v>
      </c>
      <c r="O396" t="s">
        <v>74</v>
      </c>
      <c r="P396" t="s">
        <v>74</v>
      </c>
      <c r="Q396" t="s">
        <v>74</v>
      </c>
      <c r="R396" t="s">
        <v>74</v>
      </c>
      <c r="S396" t="s">
        <v>74</v>
      </c>
      <c r="T396" t="s">
        <v>74</v>
      </c>
      <c r="U396" t="s">
        <v>7985</v>
      </c>
      <c r="V396" t="s">
        <v>7986</v>
      </c>
      <c r="W396" t="s">
        <v>7987</v>
      </c>
      <c r="X396" t="s">
        <v>7988</v>
      </c>
      <c r="Y396" t="s">
        <v>7989</v>
      </c>
      <c r="Z396" t="s">
        <v>7990</v>
      </c>
      <c r="AA396" t="s">
        <v>7991</v>
      </c>
      <c r="AB396" t="s">
        <v>7992</v>
      </c>
      <c r="AC396" t="s">
        <v>7993</v>
      </c>
      <c r="AD396" t="s">
        <v>7994</v>
      </c>
      <c r="AE396" t="s">
        <v>7995</v>
      </c>
      <c r="AF396" t="s">
        <v>74</v>
      </c>
      <c r="AG396">
        <v>50</v>
      </c>
      <c r="AH396">
        <v>71</v>
      </c>
      <c r="AI396">
        <v>76</v>
      </c>
      <c r="AJ396">
        <v>0</v>
      </c>
      <c r="AK396">
        <v>34</v>
      </c>
      <c r="AL396" t="s">
        <v>4084</v>
      </c>
      <c r="AM396" t="s">
        <v>4085</v>
      </c>
      <c r="AN396" t="s">
        <v>4086</v>
      </c>
      <c r="AO396" t="s">
        <v>4087</v>
      </c>
      <c r="AP396" t="s">
        <v>74</v>
      </c>
      <c r="AQ396" t="s">
        <v>74</v>
      </c>
      <c r="AR396" t="s">
        <v>4072</v>
      </c>
      <c r="AS396" t="s">
        <v>4088</v>
      </c>
      <c r="AT396" t="s">
        <v>7976</v>
      </c>
      <c r="AU396">
        <v>2013</v>
      </c>
      <c r="AV396">
        <v>8</v>
      </c>
      <c r="AW396">
        <v>11</v>
      </c>
      <c r="AX396" t="s">
        <v>74</v>
      </c>
      <c r="AY396" t="s">
        <v>74</v>
      </c>
      <c r="AZ396" t="s">
        <v>74</v>
      </c>
      <c r="BA396" t="s">
        <v>74</v>
      </c>
      <c r="BB396" t="s">
        <v>74</v>
      </c>
      <c r="BC396" t="s">
        <v>74</v>
      </c>
      <c r="BD396" t="s">
        <v>7996</v>
      </c>
      <c r="BE396" t="s">
        <v>7997</v>
      </c>
      <c r="BF396" t="str">
        <f>HYPERLINK("http://dx.doi.org/10.1371/journal.pone.0080277","http://dx.doi.org/10.1371/journal.pone.0080277")</f>
        <v>http://dx.doi.org/10.1371/journal.pone.0080277</v>
      </c>
      <c r="BG396" t="s">
        <v>74</v>
      </c>
      <c r="BH396" t="s">
        <v>74</v>
      </c>
      <c r="BI396">
        <v>7</v>
      </c>
      <c r="BJ396" t="s">
        <v>2652</v>
      </c>
      <c r="BK396" t="s">
        <v>99</v>
      </c>
      <c r="BL396" t="s">
        <v>2653</v>
      </c>
      <c r="BM396" t="s">
        <v>7979</v>
      </c>
      <c r="BN396">
        <v>24303002</v>
      </c>
      <c r="BO396" t="s">
        <v>1304</v>
      </c>
      <c r="BP396" t="s">
        <v>74</v>
      </c>
      <c r="BQ396" t="s">
        <v>74</v>
      </c>
      <c r="BR396" t="s">
        <v>103</v>
      </c>
      <c r="BS396" t="s">
        <v>7998</v>
      </c>
      <c r="BT396" t="str">
        <f>HYPERLINK("https%3A%2F%2Fwww.webofscience.com%2Fwos%2Fwoscc%2Ffull-record%2FWOS:000327546400018","View Full Record in Web of Science")</f>
        <v>View Full Record in Web of Science</v>
      </c>
    </row>
    <row r="397" spans="1:72" x14ac:dyDescent="0.15">
      <c r="A397" t="s">
        <v>72</v>
      </c>
      <c r="B397" t="s">
        <v>7999</v>
      </c>
      <c r="C397" t="s">
        <v>74</v>
      </c>
      <c r="D397" t="s">
        <v>74</v>
      </c>
      <c r="E397" t="s">
        <v>74</v>
      </c>
      <c r="F397" t="s">
        <v>8000</v>
      </c>
      <c r="G397" t="s">
        <v>74</v>
      </c>
      <c r="H397" t="s">
        <v>74</v>
      </c>
      <c r="I397" t="s">
        <v>8001</v>
      </c>
      <c r="J397" t="s">
        <v>4311</v>
      </c>
      <c r="K397" t="s">
        <v>74</v>
      </c>
      <c r="L397" t="s">
        <v>74</v>
      </c>
      <c r="M397" t="s">
        <v>78</v>
      </c>
      <c r="N397" t="s">
        <v>7135</v>
      </c>
      <c r="O397" t="s">
        <v>74</v>
      </c>
      <c r="P397" t="s">
        <v>74</v>
      </c>
      <c r="Q397" t="s">
        <v>74</v>
      </c>
      <c r="R397" t="s">
        <v>74</v>
      </c>
      <c r="S397" t="s">
        <v>74</v>
      </c>
      <c r="T397" t="s">
        <v>74</v>
      </c>
      <c r="U397" t="s">
        <v>74</v>
      </c>
      <c r="V397" t="s">
        <v>74</v>
      </c>
      <c r="W397" t="s">
        <v>8002</v>
      </c>
      <c r="X397" t="s">
        <v>709</v>
      </c>
      <c r="Y397" t="s">
        <v>8003</v>
      </c>
      <c r="Z397" t="s">
        <v>8004</v>
      </c>
      <c r="AA397" t="s">
        <v>8005</v>
      </c>
      <c r="AB397" t="s">
        <v>8006</v>
      </c>
      <c r="AC397" t="s">
        <v>4249</v>
      </c>
      <c r="AD397" t="s">
        <v>1747</v>
      </c>
      <c r="AE397" t="s">
        <v>74</v>
      </c>
      <c r="AF397" t="s">
        <v>74</v>
      </c>
      <c r="AG397">
        <v>5</v>
      </c>
      <c r="AH397">
        <v>7</v>
      </c>
      <c r="AI397">
        <v>7</v>
      </c>
      <c r="AJ397">
        <v>0</v>
      </c>
      <c r="AK397">
        <v>12</v>
      </c>
      <c r="AL397" t="s">
        <v>4318</v>
      </c>
      <c r="AM397" t="s">
        <v>808</v>
      </c>
      <c r="AN397" t="s">
        <v>4319</v>
      </c>
      <c r="AO397" t="s">
        <v>4320</v>
      </c>
      <c r="AP397" t="s">
        <v>74</v>
      </c>
      <c r="AQ397" t="s">
        <v>74</v>
      </c>
      <c r="AR397" t="s">
        <v>4321</v>
      </c>
      <c r="AS397" t="s">
        <v>4322</v>
      </c>
      <c r="AT397" t="s">
        <v>7976</v>
      </c>
      <c r="AU397">
        <v>2013</v>
      </c>
      <c r="AV397">
        <v>110</v>
      </c>
      <c r="AW397">
        <v>48</v>
      </c>
      <c r="AX397" t="s">
        <v>74</v>
      </c>
      <c r="AY397" t="s">
        <v>74</v>
      </c>
      <c r="AZ397" t="s">
        <v>74</v>
      </c>
      <c r="BA397" t="s">
        <v>74</v>
      </c>
      <c r="BB397" t="s">
        <v>8007</v>
      </c>
      <c r="BC397" t="s">
        <v>8007</v>
      </c>
      <c r="BD397" t="s">
        <v>74</v>
      </c>
      <c r="BE397" t="s">
        <v>8008</v>
      </c>
      <c r="BF397" t="str">
        <f>HYPERLINK("http://dx.doi.org/10.1073/pnas.1318925110","http://dx.doi.org/10.1073/pnas.1318925110")</f>
        <v>http://dx.doi.org/10.1073/pnas.1318925110</v>
      </c>
      <c r="BG397" t="s">
        <v>74</v>
      </c>
      <c r="BH397" t="s">
        <v>74</v>
      </c>
      <c r="BI397">
        <v>1</v>
      </c>
      <c r="BJ397" t="s">
        <v>2652</v>
      </c>
      <c r="BK397" t="s">
        <v>99</v>
      </c>
      <c r="BL397" t="s">
        <v>2653</v>
      </c>
      <c r="BM397" t="s">
        <v>8009</v>
      </c>
      <c r="BN397">
        <v>24243958</v>
      </c>
      <c r="BO397" t="s">
        <v>1381</v>
      </c>
      <c r="BP397" t="s">
        <v>74</v>
      </c>
      <c r="BQ397" t="s">
        <v>74</v>
      </c>
      <c r="BR397" t="s">
        <v>103</v>
      </c>
      <c r="BS397" t="s">
        <v>8010</v>
      </c>
      <c r="BT397" t="str">
        <f>HYPERLINK("https%3A%2F%2Fwww.webofscience.com%2Fwos%2Fwoscc%2Ffull-record%2FWOS:000327390400001","View Full Record in Web of Science")</f>
        <v>View Full Record in Web of Science</v>
      </c>
    </row>
    <row r="398" spans="1:72" x14ac:dyDescent="0.15">
      <c r="A398" t="s">
        <v>72</v>
      </c>
      <c r="B398" t="s">
        <v>8011</v>
      </c>
      <c r="C398" t="s">
        <v>74</v>
      </c>
      <c r="D398" t="s">
        <v>74</v>
      </c>
      <c r="E398" t="s">
        <v>74</v>
      </c>
      <c r="F398" t="s">
        <v>8012</v>
      </c>
      <c r="G398" t="s">
        <v>74</v>
      </c>
      <c r="H398" t="s">
        <v>74</v>
      </c>
      <c r="I398" t="s">
        <v>8013</v>
      </c>
      <c r="J398" t="s">
        <v>8014</v>
      </c>
      <c r="K398" t="s">
        <v>74</v>
      </c>
      <c r="L398" t="s">
        <v>74</v>
      </c>
      <c r="M398" t="s">
        <v>78</v>
      </c>
      <c r="N398" t="s">
        <v>79</v>
      </c>
      <c r="O398" t="s">
        <v>74</v>
      </c>
      <c r="P398" t="s">
        <v>74</v>
      </c>
      <c r="Q398" t="s">
        <v>74</v>
      </c>
      <c r="R398" t="s">
        <v>74</v>
      </c>
      <c r="S398" t="s">
        <v>74</v>
      </c>
      <c r="T398" t="s">
        <v>8015</v>
      </c>
      <c r="U398" t="s">
        <v>8016</v>
      </c>
      <c r="V398" t="s">
        <v>8017</v>
      </c>
      <c r="W398" t="s">
        <v>8018</v>
      </c>
      <c r="X398" t="s">
        <v>8019</v>
      </c>
      <c r="Y398" t="s">
        <v>8020</v>
      </c>
      <c r="Z398" t="s">
        <v>8021</v>
      </c>
      <c r="AA398" t="s">
        <v>74</v>
      </c>
      <c r="AB398" t="s">
        <v>74</v>
      </c>
      <c r="AC398" t="s">
        <v>8022</v>
      </c>
      <c r="AD398" t="s">
        <v>8023</v>
      </c>
      <c r="AE398" t="s">
        <v>8024</v>
      </c>
      <c r="AF398" t="s">
        <v>74</v>
      </c>
      <c r="AG398">
        <v>62</v>
      </c>
      <c r="AH398">
        <v>12</v>
      </c>
      <c r="AI398">
        <v>13</v>
      </c>
      <c r="AJ398">
        <v>0</v>
      </c>
      <c r="AK398">
        <v>29</v>
      </c>
      <c r="AL398" t="s">
        <v>8025</v>
      </c>
      <c r="AM398" t="s">
        <v>8026</v>
      </c>
      <c r="AN398" t="s">
        <v>8027</v>
      </c>
      <c r="AO398" t="s">
        <v>8028</v>
      </c>
      <c r="AP398" t="s">
        <v>8029</v>
      </c>
      <c r="AQ398" t="s">
        <v>74</v>
      </c>
      <c r="AR398" t="s">
        <v>8030</v>
      </c>
      <c r="AS398" t="s">
        <v>8031</v>
      </c>
      <c r="AT398" t="s">
        <v>8032</v>
      </c>
      <c r="AU398">
        <v>2013</v>
      </c>
      <c r="AV398">
        <v>19</v>
      </c>
      <c r="AW398">
        <v>48</v>
      </c>
      <c r="AX398" t="s">
        <v>74</v>
      </c>
      <c r="AY398" t="s">
        <v>74</v>
      </c>
      <c r="AZ398" t="s">
        <v>74</v>
      </c>
      <c r="BA398" t="s">
        <v>74</v>
      </c>
      <c r="BB398">
        <v>16146</v>
      </c>
      <c r="BC398">
        <v>16168</v>
      </c>
      <c r="BD398" t="s">
        <v>74</v>
      </c>
      <c r="BE398" t="s">
        <v>8033</v>
      </c>
      <c r="BF398" t="str">
        <f>HYPERLINK("http://dx.doi.org/10.1002/chem.201302167","http://dx.doi.org/10.1002/chem.201302167")</f>
        <v>http://dx.doi.org/10.1002/chem.201302167</v>
      </c>
      <c r="BG398" t="s">
        <v>74</v>
      </c>
      <c r="BH398" t="s">
        <v>74</v>
      </c>
      <c r="BI398">
        <v>23</v>
      </c>
      <c r="BJ398" t="s">
        <v>4974</v>
      </c>
      <c r="BK398" t="s">
        <v>99</v>
      </c>
      <c r="BL398" t="s">
        <v>4975</v>
      </c>
      <c r="BM398" t="s">
        <v>8034</v>
      </c>
      <c r="BN398">
        <v>24249686</v>
      </c>
      <c r="BO398" t="s">
        <v>74</v>
      </c>
      <c r="BP398" t="s">
        <v>74</v>
      </c>
      <c r="BQ398" t="s">
        <v>74</v>
      </c>
      <c r="BR398" t="s">
        <v>103</v>
      </c>
      <c r="BS398" t="s">
        <v>8035</v>
      </c>
      <c r="BT398" t="str">
        <f>HYPERLINK("https%3A%2F%2Fwww.webofscience.com%2Fwos%2Fwoscc%2Ffull-record%2FWOS:000330110100001","View Full Record in Web of Science")</f>
        <v>View Full Record in Web of Science</v>
      </c>
    </row>
    <row r="399" spans="1:72" x14ac:dyDescent="0.15">
      <c r="A399" t="s">
        <v>72</v>
      </c>
      <c r="B399" t="s">
        <v>8036</v>
      </c>
      <c r="C399" t="s">
        <v>74</v>
      </c>
      <c r="D399" t="s">
        <v>74</v>
      </c>
      <c r="E399" t="s">
        <v>74</v>
      </c>
      <c r="F399" t="s">
        <v>8037</v>
      </c>
      <c r="G399" t="s">
        <v>74</v>
      </c>
      <c r="H399" t="s">
        <v>74</v>
      </c>
      <c r="I399" t="s">
        <v>8038</v>
      </c>
      <c r="J399" t="s">
        <v>8039</v>
      </c>
      <c r="K399" t="s">
        <v>74</v>
      </c>
      <c r="L399" t="s">
        <v>74</v>
      </c>
      <c r="M399" t="s">
        <v>78</v>
      </c>
      <c r="N399" t="s">
        <v>79</v>
      </c>
      <c r="O399" t="s">
        <v>74</v>
      </c>
      <c r="P399" t="s">
        <v>74</v>
      </c>
      <c r="Q399" t="s">
        <v>74</v>
      </c>
      <c r="R399" t="s">
        <v>74</v>
      </c>
      <c r="S399" t="s">
        <v>74</v>
      </c>
      <c r="T399" t="s">
        <v>8040</v>
      </c>
      <c r="U399" t="s">
        <v>8041</v>
      </c>
      <c r="V399" t="s">
        <v>8042</v>
      </c>
      <c r="W399" t="s">
        <v>8043</v>
      </c>
      <c r="X399" t="s">
        <v>8044</v>
      </c>
      <c r="Y399" t="s">
        <v>8045</v>
      </c>
      <c r="Z399" t="s">
        <v>8046</v>
      </c>
      <c r="AA399" t="s">
        <v>8047</v>
      </c>
      <c r="AB399" t="s">
        <v>8048</v>
      </c>
      <c r="AC399" t="s">
        <v>8049</v>
      </c>
      <c r="AD399" t="s">
        <v>8050</v>
      </c>
      <c r="AE399" t="s">
        <v>8051</v>
      </c>
      <c r="AF399" t="s">
        <v>74</v>
      </c>
      <c r="AG399">
        <v>67</v>
      </c>
      <c r="AH399">
        <v>44</v>
      </c>
      <c r="AI399">
        <v>49</v>
      </c>
      <c r="AJ399">
        <v>1</v>
      </c>
      <c r="AK399">
        <v>58</v>
      </c>
      <c r="AL399" t="s">
        <v>8052</v>
      </c>
      <c r="AM399" t="s">
        <v>8053</v>
      </c>
      <c r="AN399" t="s">
        <v>8054</v>
      </c>
      <c r="AO399" t="s">
        <v>8055</v>
      </c>
      <c r="AP399" t="s">
        <v>8056</v>
      </c>
      <c r="AQ399" t="s">
        <v>74</v>
      </c>
      <c r="AR399" t="s">
        <v>8057</v>
      </c>
      <c r="AS399" t="s">
        <v>8058</v>
      </c>
      <c r="AT399" t="s">
        <v>8032</v>
      </c>
      <c r="AU399">
        <v>2013</v>
      </c>
      <c r="AV399">
        <v>206</v>
      </c>
      <c r="AW399">
        <v>2</v>
      </c>
      <c r="AX399" t="s">
        <v>74</v>
      </c>
      <c r="AY399" t="s">
        <v>74</v>
      </c>
      <c r="AZ399" t="s">
        <v>74</v>
      </c>
      <c r="BA399" t="s">
        <v>74</v>
      </c>
      <c r="BB399">
        <v>423</v>
      </c>
      <c r="BC399">
        <v>431</v>
      </c>
      <c r="BD399" t="s">
        <v>74</v>
      </c>
      <c r="BE399" t="s">
        <v>8059</v>
      </c>
      <c r="BF399" t="str">
        <f>HYPERLINK("http://dx.doi.org/10.1016/j.cbi.2013.04.011","http://dx.doi.org/10.1016/j.cbi.2013.04.011")</f>
        <v>http://dx.doi.org/10.1016/j.cbi.2013.04.011</v>
      </c>
      <c r="BG399" t="s">
        <v>74</v>
      </c>
      <c r="BH399" t="s">
        <v>74</v>
      </c>
      <c r="BI399">
        <v>9</v>
      </c>
      <c r="BJ399" t="s">
        <v>8060</v>
      </c>
      <c r="BK399" t="s">
        <v>99</v>
      </c>
      <c r="BL399" t="s">
        <v>8060</v>
      </c>
      <c r="BM399" t="s">
        <v>8061</v>
      </c>
      <c r="BN399">
        <v>23648386</v>
      </c>
      <c r="BO399" t="s">
        <v>1145</v>
      </c>
      <c r="BP399" t="s">
        <v>74</v>
      </c>
      <c r="BQ399" t="s">
        <v>74</v>
      </c>
      <c r="BR399" t="s">
        <v>103</v>
      </c>
      <c r="BS399" t="s">
        <v>8062</v>
      </c>
      <c r="BT399" t="str">
        <f>HYPERLINK("https%3A%2F%2Fwww.webofscience.com%2Fwos%2Fwoscc%2Ffull-record%2FWOS:000328523100035","View Full Record in Web of Science")</f>
        <v>View Full Record in Web of Science</v>
      </c>
    </row>
    <row r="400" spans="1:72" x14ac:dyDescent="0.15">
      <c r="A400" t="s">
        <v>72</v>
      </c>
      <c r="B400" t="s">
        <v>8063</v>
      </c>
      <c r="C400" t="s">
        <v>74</v>
      </c>
      <c r="D400" t="s">
        <v>74</v>
      </c>
      <c r="E400" t="s">
        <v>74</v>
      </c>
      <c r="F400" t="s">
        <v>8064</v>
      </c>
      <c r="G400" t="s">
        <v>74</v>
      </c>
      <c r="H400" t="s">
        <v>74</v>
      </c>
      <c r="I400" t="s">
        <v>8065</v>
      </c>
      <c r="J400" t="s">
        <v>4784</v>
      </c>
      <c r="K400" t="s">
        <v>74</v>
      </c>
      <c r="L400" t="s">
        <v>74</v>
      </c>
      <c r="M400" t="s">
        <v>78</v>
      </c>
      <c r="N400" t="s">
        <v>213</v>
      </c>
      <c r="O400" t="s">
        <v>74</v>
      </c>
      <c r="P400" t="s">
        <v>74</v>
      </c>
      <c r="Q400" t="s">
        <v>74</v>
      </c>
      <c r="R400" t="s">
        <v>74</v>
      </c>
      <c r="S400" t="s">
        <v>74</v>
      </c>
      <c r="T400" t="s">
        <v>8066</v>
      </c>
      <c r="U400" t="s">
        <v>8067</v>
      </c>
      <c r="V400" t="s">
        <v>8068</v>
      </c>
      <c r="W400" t="s">
        <v>8069</v>
      </c>
      <c r="X400" t="s">
        <v>8070</v>
      </c>
      <c r="Y400" t="s">
        <v>8071</v>
      </c>
      <c r="Z400" t="s">
        <v>8072</v>
      </c>
      <c r="AA400" t="s">
        <v>8073</v>
      </c>
      <c r="AB400" t="s">
        <v>8074</v>
      </c>
      <c r="AC400" t="s">
        <v>8075</v>
      </c>
      <c r="AD400" t="s">
        <v>8076</v>
      </c>
      <c r="AE400" t="s">
        <v>8077</v>
      </c>
      <c r="AF400" t="s">
        <v>74</v>
      </c>
      <c r="AG400">
        <v>137</v>
      </c>
      <c r="AH400">
        <v>105</v>
      </c>
      <c r="AI400">
        <v>112</v>
      </c>
      <c r="AJ400">
        <v>0</v>
      </c>
      <c r="AK400">
        <v>182</v>
      </c>
      <c r="AL400" t="s">
        <v>4135</v>
      </c>
      <c r="AM400" t="s">
        <v>849</v>
      </c>
      <c r="AN400" t="s">
        <v>4136</v>
      </c>
      <c r="AO400" t="s">
        <v>4794</v>
      </c>
      <c r="AP400" t="s">
        <v>4795</v>
      </c>
      <c r="AQ400" t="s">
        <v>74</v>
      </c>
      <c r="AR400" t="s">
        <v>4796</v>
      </c>
      <c r="AS400" t="s">
        <v>4797</v>
      </c>
      <c r="AT400" t="s">
        <v>8078</v>
      </c>
      <c r="AU400">
        <v>2013</v>
      </c>
      <c r="AV400">
        <v>280</v>
      </c>
      <c r="AW400">
        <v>1771</v>
      </c>
      <c r="AX400" t="s">
        <v>74</v>
      </c>
      <c r="AY400" t="s">
        <v>74</v>
      </c>
      <c r="AZ400" t="s">
        <v>74</v>
      </c>
      <c r="BA400" t="s">
        <v>74</v>
      </c>
      <c r="BB400" t="s">
        <v>74</v>
      </c>
      <c r="BC400" t="s">
        <v>74</v>
      </c>
      <c r="BD400">
        <v>20131452</v>
      </c>
      <c r="BE400" t="s">
        <v>8079</v>
      </c>
      <c r="BF400" t="str">
        <f>HYPERLINK("http://dx.doi.org/10.1098/rspb.2013.1452","http://dx.doi.org/10.1098/rspb.2013.1452")</f>
        <v>http://dx.doi.org/10.1098/rspb.2013.1452</v>
      </c>
      <c r="BG400" t="s">
        <v>74</v>
      </c>
      <c r="BH400" t="s">
        <v>74</v>
      </c>
      <c r="BI400">
        <v>9</v>
      </c>
      <c r="BJ400" t="s">
        <v>4143</v>
      </c>
      <c r="BK400" t="s">
        <v>99</v>
      </c>
      <c r="BL400" t="s">
        <v>4144</v>
      </c>
      <c r="BM400" t="s">
        <v>8080</v>
      </c>
      <c r="BN400">
        <v>24089332</v>
      </c>
      <c r="BO400" t="s">
        <v>8081</v>
      </c>
      <c r="BP400" t="s">
        <v>74</v>
      </c>
      <c r="BQ400" t="s">
        <v>74</v>
      </c>
      <c r="BR400" t="s">
        <v>103</v>
      </c>
      <c r="BS400" t="s">
        <v>8082</v>
      </c>
      <c r="BT400" t="str">
        <f>HYPERLINK("https%3A%2F%2Fwww.webofscience.com%2Fwos%2Fwoscc%2Ffull-record%2FWOS:000330324900004","View Full Record in Web of Science")</f>
        <v>View Full Record in Web of Science</v>
      </c>
    </row>
    <row r="401" spans="1:72" x14ac:dyDescent="0.15">
      <c r="A401" t="s">
        <v>72</v>
      </c>
      <c r="B401" t="s">
        <v>8083</v>
      </c>
      <c r="C401" t="s">
        <v>74</v>
      </c>
      <c r="D401" t="s">
        <v>74</v>
      </c>
      <c r="E401" t="s">
        <v>74</v>
      </c>
      <c r="F401" t="s">
        <v>8084</v>
      </c>
      <c r="G401" t="s">
        <v>74</v>
      </c>
      <c r="H401" t="s">
        <v>74</v>
      </c>
      <c r="I401" t="s">
        <v>8085</v>
      </c>
      <c r="J401" t="s">
        <v>8086</v>
      </c>
      <c r="K401" t="s">
        <v>74</v>
      </c>
      <c r="L401" t="s">
        <v>74</v>
      </c>
      <c r="M401" t="s">
        <v>78</v>
      </c>
      <c r="N401" t="s">
        <v>79</v>
      </c>
      <c r="O401" t="s">
        <v>74</v>
      </c>
      <c r="P401" t="s">
        <v>74</v>
      </c>
      <c r="Q401" t="s">
        <v>74</v>
      </c>
      <c r="R401" t="s">
        <v>74</v>
      </c>
      <c r="S401" t="s">
        <v>74</v>
      </c>
      <c r="T401" t="s">
        <v>74</v>
      </c>
      <c r="U401" t="s">
        <v>8087</v>
      </c>
      <c r="V401" t="s">
        <v>8088</v>
      </c>
      <c r="W401" t="s">
        <v>8089</v>
      </c>
      <c r="X401" t="s">
        <v>8090</v>
      </c>
      <c r="Y401" t="s">
        <v>8091</v>
      </c>
      <c r="Z401" t="s">
        <v>8092</v>
      </c>
      <c r="AA401" t="s">
        <v>74</v>
      </c>
      <c r="AB401" t="s">
        <v>74</v>
      </c>
      <c r="AC401" t="s">
        <v>8093</v>
      </c>
      <c r="AD401" t="s">
        <v>8094</v>
      </c>
      <c r="AE401" t="s">
        <v>8095</v>
      </c>
      <c r="AF401" t="s">
        <v>74</v>
      </c>
      <c r="AG401">
        <v>66</v>
      </c>
      <c r="AH401">
        <v>52</v>
      </c>
      <c r="AI401">
        <v>57</v>
      </c>
      <c r="AJ401">
        <v>0</v>
      </c>
      <c r="AK401">
        <v>33</v>
      </c>
      <c r="AL401" t="s">
        <v>848</v>
      </c>
      <c r="AM401" t="s">
        <v>849</v>
      </c>
      <c r="AN401" t="s">
        <v>850</v>
      </c>
      <c r="AO401" t="s">
        <v>8096</v>
      </c>
      <c r="AP401" t="s">
        <v>74</v>
      </c>
      <c r="AQ401" t="s">
        <v>74</v>
      </c>
      <c r="AR401" t="s">
        <v>8086</v>
      </c>
      <c r="AS401" t="s">
        <v>8097</v>
      </c>
      <c r="AT401" t="s">
        <v>8098</v>
      </c>
      <c r="AU401">
        <v>2013</v>
      </c>
      <c r="AV401">
        <v>14</v>
      </c>
      <c r="AW401" t="s">
        <v>74</v>
      </c>
      <c r="AX401" t="s">
        <v>74</v>
      </c>
      <c r="AY401" t="s">
        <v>74</v>
      </c>
      <c r="AZ401" t="s">
        <v>74</v>
      </c>
      <c r="BA401" t="s">
        <v>74</v>
      </c>
      <c r="BB401" t="s">
        <v>74</v>
      </c>
      <c r="BC401" t="s">
        <v>74</v>
      </c>
      <c r="BD401">
        <v>805</v>
      </c>
      <c r="BE401" t="s">
        <v>8099</v>
      </c>
      <c r="BF401" t="str">
        <f>HYPERLINK("http://dx.doi.org/10.1186/1471-2164-14-805","http://dx.doi.org/10.1186/1471-2164-14-805")</f>
        <v>http://dx.doi.org/10.1186/1471-2164-14-805</v>
      </c>
      <c r="BG401" t="s">
        <v>74</v>
      </c>
      <c r="BH401" t="s">
        <v>74</v>
      </c>
      <c r="BI401">
        <v>13</v>
      </c>
      <c r="BJ401" t="s">
        <v>855</v>
      </c>
      <c r="BK401" t="s">
        <v>99</v>
      </c>
      <c r="BL401" t="s">
        <v>855</v>
      </c>
      <c r="BM401" t="s">
        <v>8100</v>
      </c>
      <c r="BN401">
        <v>24252228</v>
      </c>
      <c r="BO401" t="s">
        <v>616</v>
      </c>
      <c r="BP401" t="s">
        <v>74</v>
      </c>
      <c r="BQ401" t="s">
        <v>74</v>
      </c>
      <c r="BR401" t="s">
        <v>103</v>
      </c>
      <c r="BS401" t="s">
        <v>8101</v>
      </c>
      <c r="BT401" t="str">
        <f>HYPERLINK("https%3A%2F%2Fwww.webofscience.com%2Fwos%2Fwoscc%2Ffull-record%2FWOS:000328642500001","View Full Record in Web of Science")</f>
        <v>View Full Record in Web of Science</v>
      </c>
    </row>
    <row r="402" spans="1:72" x14ac:dyDescent="0.15">
      <c r="A402" t="s">
        <v>72</v>
      </c>
      <c r="B402" t="s">
        <v>8102</v>
      </c>
      <c r="C402" t="s">
        <v>74</v>
      </c>
      <c r="D402" t="s">
        <v>74</v>
      </c>
      <c r="E402" t="s">
        <v>74</v>
      </c>
      <c r="F402" t="s">
        <v>8103</v>
      </c>
      <c r="G402" t="s">
        <v>74</v>
      </c>
      <c r="H402" t="s">
        <v>74</v>
      </c>
      <c r="I402" t="s">
        <v>8104</v>
      </c>
      <c r="J402" t="s">
        <v>4072</v>
      </c>
      <c r="K402" t="s">
        <v>74</v>
      </c>
      <c r="L402" t="s">
        <v>74</v>
      </c>
      <c r="M402" t="s">
        <v>78</v>
      </c>
      <c r="N402" t="s">
        <v>79</v>
      </c>
      <c r="O402" t="s">
        <v>74</v>
      </c>
      <c r="P402" t="s">
        <v>74</v>
      </c>
      <c r="Q402" t="s">
        <v>74</v>
      </c>
      <c r="R402" t="s">
        <v>74</v>
      </c>
      <c r="S402" t="s">
        <v>74</v>
      </c>
      <c r="T402" t="s">
        <v>74</v>
      </c>
      <c r="U402" t="s">
        <v>8105</v>
      </c>
      <c r="V402" t="s">
        <v>8106</v>
      </c>
      <c r="W402" t="s">
        <v>8107</v>
      </c>
      <c r="X402" t="s">
        <v>8108</v>
      </c>
      <c r="Y402" t="s">
        <v>8109</v>
      </c>
      <c r="Z402" t="s">
        <v>8110</v>
      </c>
      <c r="AA402" t="s">
        <v>8111</v>
      </c>
      <c r="AB402" t="s">
        <v>8112</v>
      </c>
      <c r="AC402" t="s">
        <v>8113</v>
      </c>
      <c r="AD402" t="s">
        <v>8114</v>
      </c>
      <c r="AE402" t="s">
        <v>8115</v>
      </c>
      <c r="AF402" t="s">
        <v>74</v>
      </c>
      <c r="AG402">
        <v>59</v>
      </c>
      <c r="AH402">
        <v>58</v>
      </c>
      <c r="AI402">
        <v>64</v>
      </c>
      <c r="AJ402">
        <v>0</v>
      </c>
      <c r="AK402">
        <v>62</v>
      </c>
      <c r="AL402" t="s">
        <v>4084</v>
      </c>
      <c r="AM402" t="s">
        <v>4085</v>
      </c>
      <c r="AN402" t="s">
        <v>4086</v>
      </c>
      <c r="AO402" t="s">
        <v>4087</v>
      </c>
      <c r="AP402" t="s">
        <v>74</v>
      </c>
      <c r="AQ402" t="s">
        <v>74</v>
      </c>
      <c r="AR402" t="s">
        <v>4072</v>
      </c>
      <c r="AS402" t="s">
        <v>4088</v>
      </c>
      <c r="AT402" t="s">
        <v>8098</v>
      </c>
      <c r="AU402">
        <v>2013</v>
      </c>
      <c r="AV402">
        <v>8</v>
      </c>
      <c r="AW402">
        <v>11</v>
      </c>
      <c r="AX402" t="s">
        <v>74</v>
      </c>
      <c r="AY402" t="s">
        <v>74</v>
      </c>
      <c r="AZ402" t="s">
        <v>74</v>
      </c>
      <c r="BA402" t="s">
        <v>74</v>
      </c>
      <c r="BB402" t="s">
        <v>74</v>
      </c>
      <c r="BC402" t="s">
        <v>74</v>
      </c>
      <c r="BD402" t="s">
        <v>8116</v>
      </c>
      <c r="BE402" t="s">
        <v>8117</v>
      </c>
      <c r="BF402" t="str">
        <f>HYPERLINK("http://dx.doi.org/10.1371/journal.pone.0079422","http://dx.doi.org/10.1371/journal.pone.0079422")</f>
        <v>http://dx.doi.org/10.1371/journal.pone.0079422</v>
      </c>
      <c r="BG402" t="s">
        <v>74</v>
      </c>
      <c r="BH402" t="s">
        <v>74</v>
      </c>
      <c r="BI402">
        <v>9</v>
      </c>
      <c r="BJ402" t="s">
        <v>2652</v>
      </c>
      <c r="BK402" t="s">
        <v>99</v>
      </c>
      <c r="BL402" t="s">
        <v>2653</v>
      </c>
      <c r="BM402" t="s">
        <v>8118</v>
      </c>
      <c r="BN402">
        <v>24278134</v>
      </c>
      <c r="BO402" t="s">
        <v>3000</v>
      </c>
      <c r="BP402" t="s">
        <v>74</v>
      </c>
      <c r="BQ402" t="s">
        <v>74</v>
      </c>
      <c r="BR402" t="s">
        <v>103</v>
      </c>
      <c r="BS402" t="s">
        <v>8119</v>
      </c>
      <c r="BT402" t="str">
        <f>HYPERLINK("https%3A%2F%2Fwww.webofscience.com%2Fwos%2Fwoscc%2Ffull-record%2FWOS:000327313100021","View Full Record in Web of Science")</f>
        <v>View Full Record in Web of Science</v>
      </c>
    </row>
    <row r="403" spans="1:72" x14ac:dyDescent="0.15">
      <c r="A403" t="s">
        <v>72</v>
      </c>
      <c r="B403" t="s">
        <v>8120</v>
      </c>
      <c r="C403" t="s">
        <v>74</v>
      </c>
      <c r="D403" t="s">
        <v>74</v>
      </c>
      <c r="E403" t="s">
        <v>74</v>
      </c>
      <c r="F403" t="s">
        <v>8121</v>
      </c>
      <c r="G403" t="s">
        <v>74</v>
      </c>
      <c r="H403" t="s">
        <v>74</v>
      </c>
      <c r="I403" t="s">
        <v>8122</v>
      </c>
      <c r="J403" t="s">
        <v>4267</v>
      </c>
      <c r="K403" t="s">
        <v>74</v>
      </c>
      <c r="L403" t="s">
        <v>74</v>
      </c>
      <c r="M403" t="s">
        <v>78</v>
      </c>
      <c r="N403" t="s">
        <v>79</v>
      </c>
      <c r="O403" t="s">
        <v>74</v>
      </c>
      <c r="P403" t="s">
        <v>74</v>
      </c>
      <c r="Q403" t="s">
        <v>74</v>
      </c>
      <c r="R403" t="s">
        <v>74</v>
      </c>
      <c r="S403" t="s">
        <v>74</v>
      </c>
      <c r="T403" t="s">
        <v>74</v>
      </c>
      <c r="U403" t="s">
        <v>8123</v>
      </c>
      <c r="V403" t="s">
        <v>8124</v>
      </c>
      <c r="W403" t="s">
        <v>8125</v>
      </c>
      <c r="X403" t="s">
        <v>8126</v>
      </c>
      <c r="Y403" t="s">
        <v>8127</v>
      </c>
      <c r="Z403" t="s">
        <v>8128</v>
      </c>
      <c r="AA403" t="s">
        <v>74</v>
      </c>
      <c r="AB403" t="s">
        <v>74</v>
      </c>
      <c r="AC403" t="s">
        <v>8129</v>
      </c>
      <c r="AD403" t="s">
        <v>8130</v>
      </c>
      <c r="AE403" t="s">
        <v>8131</v>
      </c>
      <c r="AF403" t="s">
        <v>74</v>
      </c>
      <c r="AG403">
        <v>51</v>
      </c>
      <c r="AH403">
        <v>15</v>
      </c>
      <c r="AI403">
        <v>17</v>
      </c>
      <c r="AJ403">
        <v>6</v>
      </c>
      <c r="AK403">
        <v>73</v>
      </c>
      <c r="AL403" t="s">
        <v>4279</v>
      </c>
      <c r="AM403" t="s">
        <v>808</v>
      </c>
      <c r="AN403" t="s">
        <v>4280</v>
      </c>
      <c r="AO403" t="s">
        <v>4281</v>
      </c>
      <c r="AP403" t="s">
        <v>4282</v>
      </c>
      <c r="AQ403" t="s">
        <v>74</v>
      </c>
      <c r="AR403" t="s">
        <v>4283</v>
      </c>
      <c r="AS403" t="s">
        <v>4284</v>
      </c>
      <c r="AT403" t="s">
        <v>8132</v>
      </c>
      <c r="AU403">
        <v>2013</v>
      </c>
      <c r="AV403">
        <v>47</v>
      </c>
      <c r="AW403">
        <v>22</v>
      </c>
      <c r="AX403" t="s">
        <v>74</v>
      </c>
      <c r="AY403" t="s">
        <v>74</v>
      </c>
      <c r="AZ403" t="s">
        <v>74</v>
      </c>
      <c r="BA403" t="s">
        <v>74</v>
      </c>
      <c r="BB403">
        <v>12744</v>
      </c>
      <c r="BC403">
        <v>12752</v>
      </c>
      <c r="BD403" t="s">
        <v>74</v>
      </c>
      <c r="BE403" t="s">
        <v>8133</v>
      </c>
      <c r="BF403" t="str">
        <f>HYPERLINK("http://dx.doi.org/10.1021/es403577f","http://dx.doi.org/10.1021/es403577f")</f>
        <v>http://dx.doi.org/10.1021/es403577f</v>
      </c>
      <c r="BG403" t="s">
        <v>74</v>
      </c>
      <c r="BH403" t="s">
        <v>74</v>
      </c>
      <c r="BI403">
        <v>9</v>
      </c>
      <c r="BJ403" t="s">
        <v>4286</v>
      </c>
      <c r="BK403" t="s">
        <v>99</v>
      </c>
      <c r="BL403" t="s">
        <v>4287</v>
      </c>
      <c r="BM403" t="s">
        <v>8134</v>
      </c>
      <c r="BN403">
        <v>24138491</v>
      </c>
      <c r="BO403" t="s">
        <v>74</v>
      </c>
      <c r="BP403" t="s">
        <v>74</v>
      </c>
      <c r="BQ403" t="s">
        <v>74</v>
      </c>
      <c r="BR403" t="s">
        <v>103</v>
      </c>
      <c r="BS403" t="s">
        <v>8135</v>
      </c>
      <c r="BT403" t="str">
        <f>HYPERLINK("https%3A%2F%2Fwww.webofscience.com%2Fwos%2Fwoscc%2Ffull-record%2FWOS:000327360600018","View Full Record in Web of Science")</f>
        <v>View Full Record in Web of Science</v>
      </c>
    </row>
    <row r="404" spans="1:72" x14ac:dyDescent="0.15">
      <c r="A404" t="s">
        <v>72</v>
      </c>
      <c r="B404" t="s">
        <v>8136</v>
      </c>
      <c r="C404" t="s">
        <v>74</v>
      </c>
      <c r="D404" t="s">
        <v>74</v>
      </c>
      <c r="E404" t="s">
        <v>74</v>
      </c>
      <c r="F404" t="s">
        <v>8137</v>
      </c>
      <c r="G404" t="s">
        <v>74</v>
      </c>
      <c r="H404" t="s">
        <v>74</v>
      </c>
      <c r="I404" t="s">
        <v>8138</v>
      </c>
      <c r="J404" t="s">
        <v>4072</v>
      </c>
      <c r="K404" t="s">
        <v>74</v>
      </c>
      <c r="L404" t="s">
        <v>74</v>
      </c>
      <c r="M404" t="s">
        <v>78</v>
      </c>
      <c r="N404" t="s">
        <v>79</v>
      </c>
      <c r="O404" t="s">
        <v>74</v>
      </c>
      <c r="P404" t="s">
        <v>74</v>
      </c>
      <c r="Q404" t="s">
        <v>74</v>
      </c>
      <c r="R404" t="s">
        <v>74</v>
      </c>
      <c r="S404" t="s">
        <v>74</v>
      </c>
      <c r="T404" t="s">
        <v>74</v>
      </c>
      <c r="U404" t="s">
        <v>8139</v>
      </c>
      <c r="V404" t="s">
        <v>8140</v>
      </c>
      <c r="W404" t="s">
        <v>8141</v>
      </c>
      <c r="X404" t="s">
        <v>8142</v>
      </c>
      <c r="Y404" t="s">
        <v>8143</v>
      </c>
      <c r="Z404" t="s">
        <v>8144</v>
      </c>
      <c r="AA404" t="s">
        <v>8145</v>
      </c>
      <c r="AB404" t="s">
        <v>8146</v>
      </c>
      <c r="AC404" t="s">
        <v>8147</v>
      </c>
      <c r="AD404" t="s">
        <v>8147</v>
      </c>
      <c r="AE404" t="s">
        <v>8148</v>
      </c>
      <c r="AF404" t="s">
        <v>74</v>
      </c>
      <c r="AG404">
        <v>113</v>
      </c>
      <c r="AH404">
        <v>50</v>
      </c>
      <c r="AI404">
        <v>54</v>
      </c>
      <c r="AJ404">
        <v>0</v>
      </c>
      <c r="AK404">
        <v>91</v>
      </c>
      <c r="AL404" t="s">
        <v>4084</v>
      </c>
      <c r="AM404" t="s">
        <v>4085</v>
      </c>
      <c r="AN404" t="s">
        <v>4086</v>
      </c>
      <c r="AO404" t="s">
        <v>4087</v>
      </c>
      <c r="AP404" t="s">
        <v>74</v>
      </c>
      <c r="AQ404" t="s">
        <v>74</v>
      </c>
      <c r="AR404" t="s">
        <v>4072</v>
      </c>
      <c r="AS404" t="s">
        <v>4088</v>
      </c>
      <c r="AT404" t="s">
        <v>8149</v>
      </c>
      <c r="AU404">
        <v>2013</v>
      </c>
      <c r="AV404">
        <v>8</v>
      </c>
      <c r="AW404">
        <v>11</v>
      </c>
      <c r="AX404" t="s">
        <v>74</v>
      </c>
      <c r="AY404" t="s">
        <v>74</v>
      </c>
      <c r="AZ404" t="s">
        <v>74</v>
      </c>
      <c r="BA404" t="s">
        <v>74</v>
      </c>
      <c r="BB404" t="s">
        <v>74</v>
      </c>
      <c r="BC404" t="s">
        <v>74</v>
      </c>
      <c r="BD404" t="s">
        <v>8150</v>
      </c>
      <c r="BE404" t="s">
        <v>8151</v>
      </c>
      <c r="BF404" t="str">
        <f>HYPERLINK("http://dx.doi.org/10.1371/journal.pone.0080137","http://dx.doi.org/10.1371/journal.pone.0080137")</f>
        <v>http://dx.doi.org/10.1371/journal.pone.0080137</v>
      </c>
      <c r="BG404" t="s">
        <v>74</v>
      </c>
      <c r="BH404" t="s">
        <v>74</v>
      </c>
      <c r="BI404">
        <v>17</v>
      </c>
      <c r="BJ404" t="s">
        <v>2652</v>
      </c>
      <c r="BK404" t="s">
        <v>99</v>
      </c>
      <c r="BL404" t="s">
        <v>2653</v>
      </c>
      <c r="BM404" t="s">
        <v>8152</v>
      </c>
      <c r="BN404">
        <v>24260347</v>
      </c>
      <c r="BO404" t="s">
        <v>8153</v>
      </c>
      <c r="BP404" t="s">
        <v>74</v>
      </c>
      <c r="BQ404" t="s">
        <v>74</v>
      </c>
      <c r="BR404" t="s">
        <v>103</v>
      </c>
      <c r="BS404" t="s">
        <v>8154</v>
      </c>
      <c r="BT404" t="str">
        <f>HYPERLINK("https%3A%2F%2Fwww.webofscience.com%2Fwos%2Fwoscc%2Ffull-record%2FWOS:000327308500117","View Full Record in Web of Science")</f>
        <v>View Full Record in Web of Science</v>
      </c>
    </row>
    <row r="405" spans="1:72" x14ac:dyDescent="0.15">
      <c r="A405" t="s">
        <v>72</v>
      </c>
      <c r="B405" t="s">
        <v>8155</v>
      </c>
      <c r="C405" t="s">
        <v>74</v>
      </c>
      <c r="D405" t="s">
        <v>74</v>
      </c>
      <c r="E405" t="s">
        <v>74</v>
      </c>
      <c r="F405" t="s">
        <v>8156</v>
      </c>
      <c r="G405" t="s">
        <v>74</v>
      </c>
      <c r="H405" t="s">
        <v>74</v>
      </c>
      <c r="I405" t="s">
        <v>8157</v>
      </c>
      <c r="J405" t="s">
        <v>4346</v>
      </c>
      <c r="K405" t="s">
        <v>74</v>
      </c>
      <c r="L405" t="s">
        <v>74</v>
      </c>
      <c r="M405" t="s">
        <v>78</v>
      </c>
      <c r="N405" t="s">
        <v>79</v>
      </c>
      <c r="O405" t="s">
        <v>74</v>
      </c>
      <c r="P405" t="s">
        <v>74</v>
      </c>
      <c r="Q405" t="s">
        <v>74</v>
      </c>
      <c r="R405" t="s">
        <v>74</v>
      </c>
      <c r="S405" t="s">
        <v>74</v>
      </c>
      <c r="T405" t="s">
        <v>74</v>
      </c>
      <c r="U405" t="s">
        <v>8158</v>
      </c>
      <c r="V405" t="s">
        <v>8159</v>
      </c>
      <c r="W405" t="s">
        <v>8160</v>
      </c>
      <c r="X405" t="s">
        <v>8161</v>
      </c>
      <c r="Y405" t="s">
        <v>8162</v>
      </c>
      <c r="Z405" t="s">
        <v>8163</v>
      </c>
      <c r="AA405" t="s">
        <v>8164</v>
      </c>
      <c r="AB405" t="s">
        <v>8165</v>
      </c>
      <c r="AC405" t="s">
        <v>8166</v>
      </c>
      <c r="AD405" t="s">
        <v>8167</v>
      </c>
      <c r="AE405" t="s">
        <v>8168</v>
      </c>
      <c r="AF405" t="s">
        <v>74</v>
      </c>
      <c r="AG405">
        <v>92</v>
      </c>
      <c r="AH405">
        <v>38</v>
      </c>
      <c r="AI405">
        <v>39</v>
      </c>
      <c r="AJ405">
        <v>0</v>
      </c>
      <c r="AK405">
        <v>18</v>
      </c>
      <c r="AL405" t="s">
        <v>1606</v>
      </c>
      <c r="AM405" t="s">
        <v>808</v>
      </c>
      <c r="AN405" t="s">
        <v>1607</v>
      </c>
      <c r="AO405" t="s">
        <v>4357</v>
      </c>
      <c r="AP405" t="s">
        <v>4358</v>
      </c>
      <c r="AQ405" t="s">
        <v>74</v>
      </c>
      <c r="AR405" t="s">
        <v>4359</v>
      </c>
      <c r="AS405" t="s">
        <v>4360</v>
      </c>
      <c r="AT405" t="s">
        <v>8169</v>
      </c>
      <c r="AU405">
        <v>2013</v>
      </c>
      <c r="AV405">
        <v>118</v>
      </c>
      <c r="AW405">
        <v>21</v>
      </c>
      <c r="AX405" t="s">
        <v>74</v>
      </c>
      <c r="AY405" t="s">
        <v>74</v>
      </c>
      <c r="AZ405" t="s">
        <v>74</v>
      </c>
      <c r="BA405" t="s">
        <v>74</v>
      </c>
      <c r="BB405">
        <v>11936</v>
      </c>
      <c r="BC405">
        <v>11950</v>
      </c>
      <c r="BD405" t="s">
        <v>74</v>
      </c>
      <c r="BE405" t="s">
        <v>8170</v>
      </c>
      <c r="BF405" t="str">
        <f>HYPERLINK("http://dx.doi.org/10.1002/2013JD020087","http://dx.doi.org/10.1002/2013JD020087")</f>
        <v>http://dx.doi.org/10.1002/2013JD020087</v>
      </c>
      <c r="BG405" t="s">
        <v>74</v>
      </c>
      <c r="BH405" t="s">
        <v>74</v>
      </c>
      <c r="BI405">
        <v>15</v>
      </c>
      <c r="BJ405" t="s">
        <v>1503</v>
      </c>
      <c r="BK405" t="s">
        <v>99</v>
      </c>
      <c r="BL405" t="s">
        <v>1503</v>
      </c>
      <c r="BM405" t="s">
        <v>8171</v>
      </c>
      <c r="BN405" t="s">
        <v>74</v>
      </c>
      <c r="BO405" t="s">
        <v>8172</v>
      </c>
      <c r="BP405" t="s">
        <v>74</v>
      </c>
      <c r="BQ405" t="s">
        <v>74</v>
      </c>
      <c r="BR405" t="s">
        <v>103</v>
      </c>
      <c r="BS405" t="s">
        <v>8173</v>
      </c>
      <c r="BT405" t="str">
        <f>HYPERLINK("https%3A%2F%2Fwww.webofscience.com%2Fwos%2Fwoscc%2Ffull-record%2FWOS:000330611800003","View Full Record in Web of Science")</f>
        <v>View Full Record in Web of Science</v>
      </c>
    </row>
    <row r="406" spans="1:72" x14ac:dyDescent="0.15">
      <c r="A406" t="s">
        <v>72</v>
      </c>
      <c r="B406" t="s">
        <v>8174</v>
      </c>
      <c r="C406" t="s">
        <v>74</v>
      </c>
      <c r="D406" t="s">
        <v>74</v>
      </c>
      <c r="E406" t="s">
        <v>74</v>
      </c>
      <c r="F406" t="s">
        <v>8175</v>
      </c>
      <c r="G406" t="s">
        <v>74</v>
      </c>
      <c r="H406" t="s">
        <v>74</v>
      </c>
      <c r="I406" t="s">
        <v>8176</v>
      </c>
      <c r="J406" t="s">
        <v>4346</v>
      </c>
      <c r="K406" t="s">
        <v>74</v>
      </c>
      <c r="L406" t="s">
        <v>74</v>
      </c>
      <c r="M406" t="s">
        <v>78</v>
      </c>
      <c r="N406" t="s">
        <v>79</v>
      </c>
      <c r="O406" t="s">
        <v>74</v>
      </c>
      <c r="P406" t="s">
        <v>74</v>
      </c>
      <c r="Q406" t="s">
        <v>74</v>
      </c>
      <c r="R406" t="s">
        <v>74</v>
      </c>
      <c r="S406" t="s">
        <v>74</v>
      </c>
      <c r="T406" t="s">
        <v>74</v>
      </c>
      <c r="U406" t="s">
        <v>8177</v>
      </c>
      <c r="V406" t="s">
        <v>8178</v>
      </c>
      <c r="W406" t="s">
        <v>8179</v>
      </c>
      <c r="X406" t="s">
        <v>8180</v>
      </c>
      <c r="Y406" t="s">
        <v>8181</v>
      </c>
      <c r="Z406" t="s">
        <v>8182</v>
      </c>
      <c r="AA406" t="s">
        <v>74</v>
      </c>
      <c r="AB406" t="s">
        <v>74</v>
      </c>
      <c r="AC406" t="s">
        <v>8183</v>
      </c>
      <c r="AD406" t="s">
        <v>8184</v>
      </c>
      <c r="AE406" t="s">
        <v>8185</v>
      </c>
      <c r="AF406" t="s">
        <v>74</v>
      </c>
      <c r="AG406">
        <v>49</v>
      </c>
      <c r="AH406">
        <v>9</v>
      </c>
      <c r="AI406">
        <v>10</v>
      </c>
      <c r="AJ406">
        <v>4</v>
      </c>
      <c r="AK406">
        <v>19</v>
      </c>
      <c r="AL406" t="s">
        <v>1606</v>
      </c>
      <c r="AM406" t="s">
        <v>808</v>
      </c>
      <c r="AN406" t="s">
        <v>1607</v>
      </c>
      <c r="AO406" t="s">
        <v>4357</v>
      </c>
      <c r="AP406" t="s">
        <v>4358</v>
      </c>
      <c r="AQ406" t="s">
        <v>74</v>
      </c>
      <c r="AR406" t="s">
        <v>4359</v>
      </c>
      <c r="AS406" t="s">
        <v>4360</v>
      </c>
      <c r="AT406" t="s">
        <v>8169</v>
      </c>
      <c r="AU406">
        <v>2013</v>
      </c>
      <c r="AV406">
        <v>118</v>
      </c>
      <c r="AW406">
        <v>21</v>
      </c>
      <c r="AX406" t="s">
        <v>74</v>
      </c>
      <c r="AY406" t="s">
        <v>74</v>
      </c>
      <c r="AZ406" t="s">
        <v>74</v>
      </c>
      <c r="BA406" t="s">
        <v>74</v>
      </c>
      <c r="BB406">
        <v>12218</v>
      </c>
      <c r="BC406">
        <v>12228</v>
      </c>
      <c r="BD406" t="s">
        <v>74</v>
      </c>
      <c r="BE406" t="s">
        <v>8186</v>
      </c>
      <c r="BF406" t="str">
        <f>HYPERLINK("http://dx.doi.org/10.1002/2013JD020197","http://dx.doi.org/10.1002/2013JD020197")</f>
        <v>http://dx.doi.org/10.1002/2013JD020197</v>
      </c>
      <c r="BG406" t="s">
        <v>74</v>
      </c>
      <c r="BH406" t="s">
        <v>74</v>
      </c>
      <c r="BI406">
        <v>11</v>
      </c>
      <c r="BJ406" t="s">
        <v>1503</v>
      </c>
      <c r="BK406" t="s">
        <v>99</v>
      </c>
      <c r="BL406" t="s">
        <v>1503</v>
      </c>
      <c r="BM406" t="s">
        <v>8171</v>
      </c>
      <c r="BN406" t="s">
        <v>74</v>
      </c>
      <c r="BO406" t="s">
        <v>831</v>
      </c>
      <c r="BP406" t="s">
        <v>74</v>
      </c>
      <c r="BQ406" t="s">
        <v>74</v>
      </c>
      <c r="BR406" t="s">
        <v>103</v>
      </c>
      <c r="BS406" t="s">
        <v>8187</v>
      </c>
      <c r="BT406" t="str">
        <f>HYPERLINK("https%3A%2F%2Fwww.webofscience.com%2Fwos%2Fwoscc%2Ffull-record%2FWOS:000330611800024","View Full Record in Web of Science")</f>
        <v>View Full Record in Web of Science</v>
      </c>
    </row>
    <row r="407" spans="1:72" x14ac:dyDescent="0.15">
      <c r="A407" t="s">
        <v>72</v>
      </c>
      <c r="B407" t="s">
        <v>8188</v>
      </c>
      <c r="C407" t="s">
        <v>74</v>
      </c>
      <c r="D407" t="s">
        <v>74</v>
      </c>
      <c r="E407" t="s">
        <v>74</v>
      </c>
      <c r="F407" t="s">
        <v>8189</v>
      </c>
      <c r="G407" t="s">
        <v>74</v>
      </c>
      <c r="H407" t="s">
        <v>74</v>
      </c>
      <c r="I407" t="s">
        <v>8190</v>
      </c>
      <c r="J407" t="s">
        <v>4368</v>
      </c>
      <c r="K407" t="s">
        <v>74</v>
      </c>
      <c r="L407" t="s">
        <v>74</v>
      </c>
      <c r="M407" t="s">
        <v>78</v>
      </c>
      <c r="N407" t="s">
        <v>79</v>
      </c>
      <c r="O407" t="s">
        <v>74</v>
      </c>
      <c r="P407" t="s">
        <v>74</v>
      </c>
      <c r="Q407" t="s">
        <v>74</v>
      </c>
      <c r="R407" t="s">
        <v>74</v>
      </c>
      <c r="S407" t="s">
        <v>74</v>
      </c>
      <c r="T407" t="s">
        <v>8191</v>
      </c>
      <c r="U407" t="s">
        <v>8192</v>
      </c>
      <c r="V407" t="s">
        <v>8193</v>
      </c>
      <c r="W407" t="s">
        <v>8194</v>
      </c>
      <c r="X407" t="s">
        <v>8195</v>
      </c>
      <c r="Y407" t="s">
        <v>8196</v>
      </c>
      <c r="Z407" t="s">
        <v>8197</v>
      </c>
      <c r="AA407" t="s">
        <v>8198</v>
      </c>
      <c r="AB407" t="s">
        <v>74</v>
      </c>
      <c r="AC407" t="s">
        <v>8199</v>
      </c>
      <c r="AD407" t="s">
        <v>74</v>
      </c>
      <c r="AE407" t="s">
        <v>8200</v>
      </c>
      <c r="AF407" t="s">
        <v>74</v>
      </c>
      <c r="AG407">
        <v>13</v>
      </c>
      <c r="AH407">
        <v>35</v>
      </c>
      <c r="AI407">
        <v>39</v>
      </c>
      <c r="AJ407">
        <v>2</v>
      </c>
      <c r="AK407">
        <v>10</v>
      </c>
      <c r="AL407" t="s">
        <v>1606</v>
      </c>
      <c r="AM407" t="s">
        <v>808</v>
      </c>
      <c r="AN407" t="s">
        <v>1607</v>
      </c>
      <c r="AO407" t="s">
        <v>4379</v>
      </c>
      <c r="AP407" t="s">
        <v>4380</v>
      </c>
      <c r="AQ407" t="s">
        <v>74</v>
      </c>
      <c r="AR407" t="s">
        <v>4381</v>
      </c>
      <c r="AS407" t="s">
        <v>4382</v>
      </c>
      <c r="AT407" t="s">
        <v>8169</v>
      </c>
      <c r="AU407">
        <v>2013</v>
      </c>
      <c r="AV407">
        <v>40</v>
      </c>
      <c r="AW407">
        <v>21</v>
      </c>
      <c r="AX407" t="s">
        <v>74</v>
      </c>
      <c r="AY407" t="s">
        <v>74</v>
      </c>
      <c r="AZ407" t="s">
        <v>74</v>
      </c>
      <c r="BA407" t="s">
        <v>74</v>
      </c>
      <c r="BB407">
        <v>5698</v>
      </c>
      <c r="BC407">
        <v>5703</v>
      </c>
      <c r="BD407" t="s">
        <v>74</v>
      </c>
      <c r="BE407" t="s">
        <v>8201</v>
      </c>
      <c r="BF407" t="str">
        <f>HYPERLINK("http://dx.doi.org/10.1002/2013GL057652","http://dx.doi.org/10.1002/2013GL057652")</f>
        <v>http://dx.doi.org/10.1002/2013GL057652</v>
      </c>
      <c r="BG407" t="s">
        <v>74</v>
      </c>
      <c r="BH407" t="s">
        <v>74</v>
      </c>
      <c r="BI407">
        <v>6</v>
      </c>
      <c r="BJ407" t="s">
        <v>337</v>
      </c>
      <c r="BK407" t="s">
        <v>99</v>
      </c>
      <c r="BL407" t="s">
        <v>338</v>
      </c>
      <c r="BM407" t="s">
        <v>8202</v>
      </c>
      <c r="BN407" t="s">
        <v>74</v>
      </c>
      <c r="BO407" t="s">
        <v>74</v>
      </c>
      <c r="BP407" t="s">
        <v>74</v>
      </c>
      <c r="BQ407" t="s">
        <v>74</v>
      </c>
      <c r="BR407" t="s">
        <v>103</v>
      </c>
      <c r="BS407" t="s">
        <v>8203</v>
      </c>
      <c r="BT407" t="str">
        <f>HYPERLINK("https%3A%2F%2Fwww.webofscience.com%2Fwos%2Fwoscc%2Ffull-record%2FWOS:000327810800025","View Full Record in Web of Science")</f>
        <v>View Full Record in Web of Science</v>
      </c>
    </row>
    <row r="408" spans="1:72" x14ac:dyDescent="0.15">
      <c r="A408" t="s">
        <v>72</v>
      </c>
      <c r="B408" t="s">
        <v>8204</v>
      </c>
      <c r="C408" t="s">
        <v>74</v>
      </c>
      <c r="D408" t="s">
        <v>74</v>
      </c>
      <c r="E408" t="s">
        <v>74</v>
      </c>
      <c r="F408" t="s">
        <v>8205</v>
      </c>
      <c r="G408" t="s">
        <v>74</v>
      </c>
      <c r="H408" t="s">
        <v>74</v>
      </c>
      <c r="I408" t="s">
        <v>8206</v>
      </c>
      <c r="J408" t="s">
        <v>4368</v>
      </c>
      <c r="K408" t="s">
        <v>74</v>
      </c>
      <c r="L408" t="s">
        <v>74</v>
      </c>
      <c r="M408" t="s">
        <v>78</v>
      </c>
      <c r="N408" t="s">
        <v>79</v>
      </c>
      <c r="O408" t="s">
        <v>74</v>
      </c>
      <c r="P408" t="s">
        <v>74</v>
      </c>
      <c r="Q408" t="s">
        <v>74</v>
      </c>
      <c r="R408" t="s">
        <v>74</v>
      </c>
      <c r="S408" t="s">
        <v>74</v>
      </c>
      <c r="T408" t="s">
        <v>8207</v>
      </c>
      <c r="U408" t="s">
        <v>8208</v>
      </c>
      <c r="V408" t="s">
        <v>8209</v>
      </c>
      <c r="W408" t="s">
        <v>8210</v>
      </c>
      <c r="X408" t="s">
        <v>8211</v>
      </c>
      <c r="Y408" t="s">
        <v>8212</v>
      </c>
      <c r="Z408" t="s">
        <v>8213</v>
      </c>
      <c r="AA408" t="s">
        <v>8214</v>
      </c>
      <c r="AB408" t="s">
        <v>8215</v>
      </c>
      <c r="AC408" t="s">
        <v>8216</v>
      </c>
      <c r="AD408" t="s">
        <v>8217</v>
      </c>
      <c r="AE408" t="s">
        <v>8218</v>
      </c>
      <c r="AF408" t="s">
        <v>74</v>
      </c>
      <c r="AG408">
        <v>24</v>
      </c>
      <c r="AH408">
        <v>40</v>
      </c>
      <c r="AI408">
        <v>40</v>
      </c>
      <c r="AJ408">
        <v>0</v>
      </c>
      <c r="AK408">
        <v>29</v>
      </c>
      <c r="AL408" t="s">
        <v>1606</v>
      </c>
      <c r="AM408" t="s">
        <v>808</v>
      </c>
      <c r="AN408" t="s">
        <v>1607</v>
      </c>
      <c r="AO408" t="s">
        <v>4379</v>
      </c>
      <c r="AP408" t="s">
        <v>4380</v>
      </c>
      <c r="AQ408" t="s">
        <v>74</v>
      </c>
      <c r="AR408" t="s">
        <v>4381</v>
      </c>
      <c r="AS408" t="s">
        <v>4382</v>
      </c>
      <c r="AT408" t="s">
        <v>8169</v>
      </c>
      <c r="AU408">
        <v>2013</v>
      </c>
      <c r="AV408">
        <v>40</v>
      </c>
      <c r="AW408">
        <v>21</v>
      </c>
      <c r="AX408" t="s">
        <v>74</v>
      </c>
      <c r="AY408" t="s">
        <v>74</v>
      </c>
      <c r="AZ408" t="s">
        <v>74</v>
      </c>
      <c r="BA408" t="s">
        <v>74</v>
      </c>
      <c r="BB408">
        <v>5710</v>
      </c>
      <c r="BC408">
        <v>5715</v>
      </c>
      <c r="BD408" t="s">
        <v>74</v>
      </c>
      <c r="BE408" t="s">
        <v>8219</v>
      </c>
      <c r="BF408" t="str">
        <f>HYPERLINK("http://dx.doi.org/10.1002/2013GL058104","http://dx.doi.org/10.1002/2013GL058104")</f>
        <v>http://dx.doi.org/10.1002/2013GL058104</v>
      </c>
      <c r="BG408" t="s">
        <v>74</v>
      </c>
      <c r="BH408" t="s">
        <v>74</v>
      </c>
      <c r="BI408">
        <v>6</v>
      </c>
      <c r="BJ408" t="s">
        <v>337</v>
      </c>
      <c r="BK408" t="s">
        <v>99</v>
      </c>
      <c r="BL408" t="s">
        <v>338</v>
      </c>
      <c r="BM408" t="s">
        <v>8202</v>
      </c>
      <c r="BN408" t="s">
        <v>74</v>
      </c>
      <c r="BO408" t="s">
        <v>1381</v>
      </c>
      <c r="BP408" t="s">
        <v>74</v>
      </c>
      <c r="BQ408" t="s">
        <v>74</v>
      </c>
      <c r="BR408" t="s">
        <v>103</v>
      </c>
      <c r="BS408" t="s">
        <v>8220</v>
      </c>
      <c r="BT408" t="str">
        <f>HYPERLINK("https%3A%2F%2Fwww.webofscience.com%2Fwos%2Fwoscc%2Ffull-record%2FWOS:000327810800027","View Full Record in Web of Science")</f>
        <v>View Full Record in Web of Science</v>
      </c>
    </row>
    <row r="409" spans="1:72" x14ac:dyDescent="0.15">
      <c r="A409" t="s">
        <v>72</v>
      </c>
      <c r="B409" t="s">
        <v>8221</v>
      </c>
      <c r="C409" t="s">
        <v>74</v>
      </c>
      <c r="D409" t="s">
        <v>74</v>
      </c>
      <c r="E409" t="s">
        <v>74</v>
      </c>
      <c r="F409" t="s">
        <v>8222</v>
      </c>
      <c r="G409" t="s">
        <v>74</v>
      </c>
      <c r="H409" t="s">
        <v>74</v>
      </c>
      <c r="I409" t="s">
        <v>8223</v>
      </c>
      <c r="J409" t="s">
        <v>4368</v>
      </c>
      <c r="K409" t="s">
        <v>74</v>
      </c>
      <c r="L409" t="s">
        <v>74</v>
      </c>
      <c r="M409" t="s">
        <v>78</v>
      </c>
      <c r="N409" t="s">
        <v>79</v>
      </c>
      <c r="O409" t="s">
        <v>74</v>
      </c>
      <c r="P409" t="s">
        <v>74</v>
      </c>
      <c r="Q409" t="s">
        <v>74</v>
      </c>
      <c r="R409" t="s">
        <v>74</v>
      </c>
      <c r="S409" t="s">
        <v>74</v>
      </c>
      <c r="T409" t="s">
        <v>8224</v>
      </c>
      <c r="U409" t="s">
        <v>8225</v>
      </c>
      <c r="V409" t="s">
        <v>8226</v>
      </c>
      <c r="W409" t="s">
        <v>8227</v>
      </c>
      <c r="X409" t="s">
        <v>111</v>
      </c>
      <c r="Y409" t="s">
        <v>8228</v>
      </c>
      <c r="Z409" t="s">
        <v>8229</v>
      </c>
      <c r="AA409" t="s">
        <v>8230</v>
      </c>
      <c r="AB409" t="s">
        <v>8231</v>
      </c>
      <c r="AC409" t="s">
        <v>8232</v>
      </c>
      <c r="AD409" t="s">
        <v>8232</v>
      </c>
      <c r="AE409" t="s">
        <v>8233</v>
      </c>
      <c r="AF409" t="s">
        <v>74</v>
      </c>
      <c r="AG409">
        <v>29</v>
      </c>
      <c r="AH409">
        <v>30</v>
      </c>
      <c r="AI409">
        <v>35</v>
      </c>
      <c r="AJ409">
        <v>2</v>
      </c>
      <c r="AK409">
        <v>20</v>
      </c>
      <c r="AL409" t="s">
        <v>1606</v>
      </c>
      <c r="AM409" t="s">
        <v>808</v>
      </c>
      <c r="AN409" t="s">
        <v>1607</v>
      </c>
      <c r="AO409" t="s">
        <v>4379</v>
      </c>
      <c r="AP409" t="s">
        <v>4380</v>
      </c>
      <c r="AQ409" t="s">
        <v>74</v>
      </c>
      <c r="AR409" t="s">
        <v>4381</v>
      </c>
      <c r="AS409" t="s">
        <v>4382</v>
      </c>
      <c r="AT409" t="s">
        <v>8169</v>
      </c>
      <c r="AU409">
        <v>2013</v>
      </c>
      <c r="AV409">
        <v>40</v>
      </c>
      <c r="AW409">
        <v>21</v>
      </c>
      <c r="AX409" t="s">
        <v>74</v>
      </c>
      <c r="AY409" t="s">
        <v>74</v>
      </c>
      <c r="AZ409" t="s">
        <v>74</v>
      </c>
      <c r="BA409" t="s">
        <v>74</v>
      </c>
      <c r="BB409">
        <v>5735</v>
      </c>
      <c r="BC409">
        <v>5739</v>
      </c>
      <c r="BD409" t="s">
        <v>74</v>
      </c>
      <c r="BE409" t="s">
        <v>8234</v>
      </c>
      <c r="BF409" t="str">
        <f>HYPERLINK("http://dx.doi.org/10.1002/2013GL058207","http://dx.doi.org/10.1002/2013GL058207")</f>
        <v>http://dx.doi.org/10.1002/2013GL058207</v>
      </c>
      <c r="BG409" t="s">
        <v>74</v>
      </c>
      <c r="BH409" t="s">
        <v>74</v>
      </c>
      <c r="BI409">
        <v>5</v>
      </c>
      <c r="BJ409" t="s">
        <v>337</v>
      </c>
      <c r="BK409" t="s">
        <v>99</v>
      </c>
      <c r="BL409" t="s">
        <v>338</v>
      </c>
      <c r="BM409" t="s">
        <v>8202</v>
      </c>
      <c r="BN409" t="s">
        <v>74</v>
      </c>
      <c r="BO409" t="s">
        <v>1648</v>
      </c>
      <c r="BP409" t="s">
        <v>74</v>
      </c>
      <c r="BQ409" t="s">
        <v>74</v>
      </c>
      <c r="BR409" t="s">
        <v>103</v>
      </c>
      <c r="BS409" t="s">
        <v>8235</v>
      </c>
      <c r="BT409" t="str">
        <f>HYPERLINK("https%3A%2F%2Fwww.webofscience.com%2Fwos%2Fwoscc%2Ffull-record%2FWOS:000327810800031","View Full Record in Web of Science")</f>
        <v>View Full Record in Web of Science</v>
      </c>
    </row>
    <row r="410" spans="1:72" x14ac:dyDescent="0.15">
      <c r="A410" t="s">
        <v>72</v>
      </c>
      <c r="B410" t="s">
        <v>8236</v>
      </c>
      <c r="C410" t="s">
        <v>74</v>
      </c>
      <c r="D410" t="s">
        <v>74</v>
      </c>
      <c r="E410" t="s">
        <v>74</v>
      </c>
      <c r="F410" t="s">
        <v>8237</v>
      </c>
      <c r="G410" t="s">
        <v>74</v>
      </c>
      <c r="H410" t="s">
        <v>74</v>
      </c>
      <c r="I410" t="s">
        <v>8238</v>
      </c>
      <c r="J410" t="s">
        <v>4346</v>
      </c>
      <c r="K410" t="s">
        <v>74</v>
      </c>
      <c r="L410" t="s">
        <v>74</v>
      </c>
      <c r="M410" t="s">
        <v>78</v>
      </c>
      <c r="N410" t="s">
        <v>79</v>
      </c>
      <c r="O410" t="s">
        <v>74</v>
      </c>
      <c r="P410" t="s">
        <v>74</v>
      </c>
      <c r="Q410" t="s">
        <v>74</v>
      </c>
      <c r="R410" t="s">
        <v>74</v>
      </c>
      <c r="S410" t="s">
        <v>74</v>
      </c>
      <c r="T410" t="s">
        <v>74</v>
      </c>
      <c r="U410" t="s">
        <v>8239</v>
      </c>
      <c r="V410" t="s">
        <v>8240</v>
      </c>
      <c r="W410" t="s">
        <v>8241</v>
      </c>
      <c r="X410" t="s">
        <v>8242</v>
      </c>
      <c r="Y410" t="s">
        <v>8243</v>
      </c>
      <c r="Z410" t="s">
        <v>8244</v>
      </c>
      <c r="AA410" t="s">
        <v>8245</v>
      </c>
      <c r="AB410" t="s">
        <v>8246</v>
      </c>
      <c r="AC410" t="s">
        <v>8247</v>
      </c>
      <c r="AD410" t="s">
        <v>8248</v>
      </c>
      <c r="AE410" t="s">
        <v>8249</v>
      </c>
      <c r="AF410" t="s">
        <v>74</v>
      </c>
      <c r="AG410">
        <v>53</v>
      </c>
      <c r="AH410">
        <v>52</v>
      </c>
      <c r="AI410">
        <v>56</v>
      </c>
      <c r="AJ410">
        <v>0</v>
      </c>
      <c r="AK410">
        <v>29</v>
      </c>
      <c r="AL410" t="s">
        <v>1606</v>
      </c>
      <c r="AM410" t="s">
        <v>808</v>
      </c>
      <c r="AN410" t="s">
        <v>1607</v>
      </c>
      <c r="AO410" t="s">
        <v>4357</v>
      </c>
      <c r="AP410" t="s">
        <v>4358</v>
      </c>
      <c r="AQ410" t="s">
        <v>74</v>
      </c>
      <c r="AR410" t="s">
        <v>4359</v>
      </c>
      <c r="AS410" t="s">
        <v>4360</v>
      </c>
      <c r="AT410" t="s">
        <v>8169</v>
      </c>
      <c r="AU410">
        <v>2013</v>
      </c>
      <c r="AV410">
        <v>118</v>
      </c>
      <c r="AW410">
        <v>21</v>
      </c>
      <c r="AX410" t="s">
        <v>74</v>
      </c>
      <c r="AY410" t="s">
        <v>74</v>
      </c>
      <c r="AZ410" t="s">
        <v>74</v>
      </c>
      <c r="BA410" t="s">
        <v>74</v>
      </c>
      <c r="BB410">
        <v>12229</v>
      </c>
      <c r="BC410">
        <v>12247</v>
      </c>
      <c r="BD410" t="s">
        <v>74</v>
      </c>
      <c r="BE410" t="s">
        <v>8250</v>
      </c>
      <c r="BF410" t="str">
        <f>HYPERLINK("http://dx.doi.org/10.1002/2013JD019877","http://dx.doi.org/10.1002/2013JD019877")</f>
        <v>http://dx.doi.org/10.1002/2013JD019877</v>
      </c>
      <c r="BG410" t="s">
        <v>74</v>
      </c>
      <c r="BH410" t="s">
        <v>74</v>
      </c>
      <c r="BI410">
        <v>19</v>
      </c>
      <c r="BJ410" t="s">
        <v>1503</v>
      </c>
      <c r="BK410" t="s">
        <v>99</v>
      </c>
      <c r="BL410" t="s">
        <v>1503</v>
      </c>
      <c r="BM410" t="s">
        <v>8171</v>
      </c>
      <c r="BN410" t="s">
        <v>74</v>
      </c>
      <c r="BO410" t="s">
        <v>450</v>
      </c>
      <c r="BP410" t="s">
        <v>74</v>
      </c>
      <c r="BQ410" t="s">
        <v>74</v>
      </c>
      <c r="BR410" t="s">
        <v>103</v>
      </c>
      <c r="BS410" t="s">
        <v>8251</v>
      </c>
      <c r="BT410" t="str">
        <f>HYPERLINK("https%3A%2F%2Fwww.webofscience.com%2Fwos%2Fwoscc%2Ffull-record%2FWOS:000330611800025","View Full Record in Web of Science")</f>
        <v>View Full Record in Web of Science</v>
      </c>
    </row>
    <row r="411" spans="1:72" x14ac:dyDescent="0.15">
      <c r="A411" t="s">
        <v>72</v>
      </c>
      <c r="B411" t="s">
        <v>8252</v>
      </c>
      <c r="C411" t="s">
        <v>74</v>
      </c>
      <c r="D411" t="s">
        <v>74</v>
      </c>
      <c r="E411" t="s">
        <v>74</v>
      </c>
      <c r="F411" t="s">
        <v>8253</v>
      </c>
      <c r="G411" t="s">
        <v>74</v>
      </c>
      <c r="H411" t="s">
        <v>74</v>
      </c>
      <c r="I411" t="s">
        <v>8254</v>
      </c>
      <c r="J411" t="s">
        <v>3405</v>
      </c>
      <c r="K411" t="s">
        <v>74</v>
      </c>
      <c r="L411" t="s">
        <v>74</v>
      </c>
      <c r="M411" t="s">
        <v>78</v>
      </c>
      <c r="N411" t="s">
        <v>79</v>
      </c>
      <c r="O411" t="s">
        <v>74</v>
      </c>
      <c r="P411" t="s">
        <v>74</v>
      </c>
      <c r="Q411" t="s">
        <v>74</v>
      </c>
      <c r="R411" t="s">
        <v>74</v>
      </c>
      <c r="S411" t="s">
        <v>74</v>
      </c>
      <c r="T411" t="s">
        <v>8255</v>
      </c>
      <c r="U411" t="s">
        <v>8256</v>
      </c>
      <c r="V411" t="s">
        <v>8257</v>
      </c>
      <c r="W411" t="s">
        <v>8258</v>
      </c>
      <c r="X411" t="s">
        <v>8259</v>
      </c>
      <c r="Y411" t="s">
        <v>8260</v>
      </c>
      <c r="Z411" t="s">
        <v>8261</v>
      </c>
      <c r="AA411" t="s">
        <v>8262</v>
      </c>
      <c r="AB411" t="s">
        <v>8263</v>
      </c>
      <c r="AC411" t="s">
        <v>8264</v>
      </c>
      <c r="AD411" t="s">
        <v>8265</v>
      </c>
      <c r="AE411" t="s">
        <v>8266</v>
      </c>
      <c r="AF411" t="s">
        <v>74</v>
      </c>
      <c r="AG411">
        <v>128</v>
      </c>
      <c r="AH411">
        <v>6</v>
      </c>
      <c r="AI411">
        <v>6</v>
      </c>
      <c r="AJ411">
        <v>1</v>
      </c>
      <c r="AK411">
        <v>23</v>
      </c>
      <c r="AL411" t="s">
        <v>872</v>
      </c>
      <c r="AM411" t="s">
        <v>252</v>
      </c>
      <c r="AN411" t="s">
        <v>873</v>
      </c>
      <c r="AO411" t="s">
        <v>3416</v>
      </c>
      <c r="AP411" t="s">
        <v>74</v>
      </c>
      <c r="AQ411" t="s">
        <v>74</v>
      </c>
      <c r="AR411" t="s">
        <v>3417</v>
      </c>
      <c r="AS411" t="s">
        <v>3418</v>
      </c>
      <c r="AT411" t="s">
        <v>8267</v>
      </c>
      <c r="AU411">
        <v>2013</v>
      </c>
      <c r="AV411">
        <v>80</v>
      </c>
      <c r="AW411" t="s">
        <v>74</v>
      </c>
      <c r="AX411" t="s">
        <v>74</v>
      </c>
      <c r="AY411" t="s">
        <v>74</v>
      </c>
      <c r="AZ411" t="s">
        <v>74</v>
      </c>
      <c r="BA411" t="s">
        <v>74</v>
      </c>
      <c r="BB411">
        <v>169</v>
      </c>
      <c r="BC411">
        <v>194</v>
      </c>
      <c r="BD411" t="s">
        <v>74</v>
      </c>
      <c r="BE411" t="s">
        <v>8268</v>
      </c>
      <c r="BF411" t="str">
        <f>HYPERLINK("http://dx.doi.org/10.1016/j.quascirev.2013.08.023","http://dx.doi.org/10.1016/j.quascirev.2013.08.023")</f>
        <v>http://dx.doi.org/10.1016/j.quascirev.2013.08.023</v>
      </c>
      <c r="BG411" t="s">
        <v>74</v>
      </c>
      <c r="BH411" t="s">
        <v>74</v>
      </c>
      <c r="BI411">
        <v>26</v>
      </c>
      <c r="BJ411" t="s">
        <v>98</v>
      </c>
      <c r="BK411" t="s">
        <v>99</v>
      </c>
      <c r="BL411" t="s">
        <v>100</v>
      </c>
      <c r="BM411" t="s">
        <v>8269</v>
      </c>
      <c r="BN411" t="s">
        <v>74</v>
      </c>
      <c r="BO411" t="s">
        <v>74</v>
      </c>
      <c r="BP411" t="s">
        <v>74</v>
      </c>
      <c r="BQ411" t="s">
        <v>74</v>
      </c>
      <c r="BR411" t="s">
        <v>103</v>
      </c>
      <c r="BS411" t="s">
        <v>8270</v>
      </c>
      <c r="BT411" t="str">
        <f>HYPERLINK("https%3A%2F%2Fwww.webofscience.com%2Fwos%2Fwoscc%2Ffull-record%2FWOS:000328521100011","View Full Record in Web of Science")</f>
        <v>View Full Record in Web of Science</v>
      </c>
    </row>
    <row r="412" spans="1:72" x14ac:dyDescent="0.15">
      <c r="A412" t="s">
        <v>72</v>
      </c>
      <c r="B412" t="s">
        <v>8271</v>
      </c>
      <c r="C412" t="s">
        <v>74</v>
      </c>
      <c r="D412" t="s">
        <v>74</v>
      </c>
      <c r="E412" t="s">
        <v>74</v>
      </c>
      <c r="F412" t="s">
        <v>8272</v>
      </c>
      <c r="G412" t="s">
        <v>74</v>
      </c>
      <c r="H412" t="s">
        <v>74</v>
      </c>
      <c r="I412" t="s">
        <v>8273</v>
      </c>
      <c r="J412" t="s">
        <v>291</v>
      </c>
      <c r="K412" t="s">
        <v>74</v>
      </c>
      <c r="L412" t="s">
        <v>74</v>
      </c>
      <c r="M412" t="s">
        <v>78</v>
      </c>
      <c r="N412" t="s">
        <v>79</v>
      </c>
      <c r="O412" t="s">
        <v>74</v>
      </c>
      <c r="P412" t="s">
        <v>74</v>
      </c>
      <c r="Q412" t="s">
        <v>74</v>
      </c>
      <c r="R412" t="s">
        <v>74</v>
      </c>
      <c r="S412" t="s">
        <v>74</v>
      </c>
      <c r="T412" t="s">
        <v>8274</v>
      </c>
      <c r="U412" t="s">
        <v>8275</v>
      </c>
      <c r="V412" t="s">
        <v>8276</v>
      </c>
      <c r="W412" t="s">
        <v>8277</v>
      </c>
      <c r="X412" t="s">
        <v>8278</v>
      </c>
      <c r="Y412" t="s">
        <v>8279</v>
      </c>
      <c r="Z412" t="s">
        <v>8280</v>
      </c>
      <c r="AA412" t="s">
        <v>8281</v>
      </c>
      <c r="AB412" t="s">
        <v>8282</v>
      </c>
      <c r="AC412" t="s">
        <v>8283</v>
      </c>
      <c r="AD412" t="s">
        <v>8284</v>
      </c>
      <c r="AE412" t="s">
        <v>8285</v>
      </c>
      <c r="AF412" t="s">
        <v>74</v>
      </c>
      <c r="AG412">
        <v>49</v>
      </c>
      <c r="AH412">
        <v>65</v>
      </c>
      <c r="AI412">
        <v>71</v>
      </c>
      <c r="AJ412">
        <v>4</v>
      </c>
      <c r="AK412">
        <v>99</v>
      </c>
      <c r="AL412" t="s">
        <v>304</v>
      </c>
      <c r="AM412" t="s">
        <v>305</v>
      </c>
      <c r="AN412" t="s">
        <v>306</v>
      </c>
      <c r="AO412" t="s">
        <v>307</v>
      </c>
      <c r="AP412" t="s">
        <v>308</v>
      </c>
      <c r="AQ412" t="s">
        <v>74</v>
      </c>
      <c r="AR412" t="s">
        <v>309</v>
      </c>
      <c r="AS412" t="s">
        <v>310</v>
      </c>
      <c r="AT412" t="s">
        <v>8267</v>
      </c>
      <c r="AU412">
        <v>2013</v>
      </c>
      <c r="AV412">
        <v>382</v>
      </c>
      <c r="AW412" t="s">
        <v>74</v>
      </c>
      <c r="AX412" t="s">
        <v>74</v>
      </c>
      <c r="AY412" t="s">
        <v>74</v>
      </c>
      <c r="AZ412" t="s">
        <v>74</v>
      </c>
      <c r="BA412" t="s">
        <v>74</v>
      </c>
      <c r="BB412">
        <v>161</v>
      </c>
      <c r="BC412">
        <v>172</v>
      </c>
      <c r="BD412" t="s">
        <v>74</v>
      </c>
      <c r="BE412" t="s">
        <v>8286</v>
      </c>
      <c r="BF412" t="str">
        <f>HYPERLINK("http://dx.doi.org/10.1016/j.epsl.2013.09.014","http://dx.doi.org/10.1016/j.epsl.2013.09.014")</f>
        <v>http://dx.doi.org/10.1016/j.epsl.2013.09.014</v>
      </c>
      <c r="BG412" t="s">
        <v>74</v>
      </c>
      <c r="BH412" t="s">
        <v>74</v>
      </c>
      <c r="BI412">
        <v>12</v>
      </c>
      <c r="BJ412" t="s">
        <v>313</v>
      </c>
      <c r="BK412" t="s">
        <v>99</v>
      </c>
      <c r="BL412" t="s">
        <v>313</v>
      </c>
      <c r="BM412" t="s">
        <v>8287</v>
      </c>
      <c r="BN412" t="s">
        <v>74</v>
      </c>
      <c r="BO412" t="s">
        <v>1145</v>
      </c>
      <c r="BP412" t="s">
        <v>74</v>
      </c>
      <c r="BQ412" t="s">
        <v>74</v>
      </c>
      <c r="BR412" t="s">
        <v>103</v>
      </c>
      <c r="BS412" t="s">
        <v>8288</v>
      </c>
      <c r="BT412" t="str">
        <f>HYPERLINK("https%3A%2F%2Fwww.webofscience.com%2Fwos%2Fwoscc%2Ffull-record%2FWOS:000327229100018","View Full Record in Web of Science")</f>
        <v>View Full Record in Web of Science</v>
      </c>
    </row>
    <row r="413" spans="1:72" x14ac:dyDescent="0.15">
      <c r="A413" t="s">
        <v>72</v>
      </c>
      <c r="B413" t="s">
        <v>8289</v>
      </c>
      <c r="C413" t="s">
        <v>74</v>
      </c>
      <c r="D413" t="s">
        <v>74</v>
      </c>
      <c r="E413" t="s">
        <v>74</v>
      </c>
      <c r="F413" t="s">
        <v>8290</v>
      </c>
      <c r="G413" t="s">
        <v>74</v>
      </c>
      <c r="H413" t="s">
        <v>74</v>
      </c>
      <c r="I413" t="s">
        <v>8291</v>
      </c>
      <c r="J413" t="s">
        <v>861</v>
      </c>
      <c r="K413" t="s">
        <v>74</v>
      </c>
      <c r="L413" t="s">
        <v>74</v>
      </c>
      <c r="M413" t="s">
        <v>78</v>
      </c>
      <c r="N413" t="s">
        <v>79</v>
      </c>
      <c r="O413" t="s">
        <v>74</v>
      </c>
      <c r="P413" t="s">
        <v>74</v>
      </c>
      <c r="Q413" t="s">
        <v>74</v>
      </c>
      <c r="R413" t="s">
        <v>74</v>
      </c>
      <c r="S413" t="s">
        <v>74</v>
      </c>
      <c r="T413" t="s">
        <v>74</v>
      </c>
      <c r="U413" t="s">
        <v>8292</v>
      </c>
      <c r="V413" t="s">
        <v>8293</v>
      </c>
      <c r="W413" t="s">
        <v>8294</v>
      </c>
      <c r="X413" t="s">
        <v>8295</v>
      </c>
      <c r="Y413" t="s">
        <v>8296</v>
      </c>
      <c r="Z413" t="s">
        <v>8297</v>
      </c>
      <c r="AA413" t="s">
        <v>8298</v>
      </c>
      <c r="AB413" t="s">
        <v>8299</v>
      </c>
      <c r="AC413" t="s">
        <v>8300</v>
      </c>
      <c r="AD413" t="s">
        <v>8301</v>
      </c>
      <c r="AE413" t="s">
        <v>8302</v>
      </c>
      <c r="AF413" t="s">
        <v>74</v>
      </c>
      <c r="AG413">
        <v>63</v>
      </c>
      <c r="AH413">
        <v>50</v>
      </c>
      <c r="AI413">
        <v>53</v>
      </c>
      <c r="AJ413">
        <v>0</v>
      </c>
      <c r="AK413">
        <v>28</v>
      </c>
      <c r="AL413" t="s">
        <v>872</v>
      </c>
      <c r="AM413" t="s">
        <v>252</v>
      </c>
      <c r="AN413" t="s">
        <v>873</v>
      </c>
      <c r="AO413" t="s">
        <v>874</v>
      </c>
      <c r="AP413" t="s">
        <v>875</v>
      </c>
      <c r="AQ413" t="s">
        <v>74</v>
      </c>
      <c r="AR413" t="s">
        <v>876</v>
      </c>
      <c r="AS413" t="s">
        <v>877</v>
      </c>
      <c r="AT413" t="s">
        <v>8267</v>
      </c>
      <c r="AU413">
        <v>2013</v>
      </c>
      <c r="AV413">
        <v>121</v>
      </c>
      <c r="AW413" t="s">
        <v>74</v>
      </c>
      <c r="AX413" t="s">
        <v>74</v>
      </c>
      <c r="AY413" t="s">
        <v>74</v>
      </c>
      <c r="AZ413" t="s">
        <v>74</v>
      </c>
      <c r="BA413" t="s">
        <v>74</v>
      </c>
      <c r="BB413">
        <v>452</v>
      </c>
      <c r="BC413">
        <v>466</v>
      </c>
      <c r="BD413" t="s">
        <v>74</v>
      </c>
      <c r="BE413" t="s">
        <v>8303</v>
      </c>
      <c r="BF413" t="str">
        <f>HYPERLINK("http://dx.doi.org/10.1016/j.gca.2013.07.010","http://dx.doi.org/10.1016/j.gca.2013.07.010")</f>
        <v>http://dx.doi.org/10.1016/j.gca.2013.07.010</v>
      </c>
      <c r="BG413" t="s">
        <v>74</v>
      </c>
      <c r="BH413" t="s">
        <v>74</v>
      </c>
      <c r="BI413">
        <v>15</v>
      </c>
      <c r="BJ413" t="s">
        <v>313</v>
      </c>
      <c r="BK413" t="s">
        <v>99</v>
      </c>
      <c r="BL413" t="s">
        <v>313</v>
      </c>
      <c r="BM413" t="s">
        <v>8304</v>
      </c>
      <c r="BN413" t="s">
        <v>74</v>
      </c>
      <c r="BO413" t="s">
        <v>8305</v>
      </c>
      <c r="BP413" t="s">
        <v>74</v>
      </c>
      <c r="BQ413" t="s">
        <v>74</v>
      </c>
      <c r="BR413" t="s">
        <v>103</v>
      </c>
      <c r="BS413" t="s">
        <v>8306</v>
      </c>
      <c r="BT413" t="str">
        <f>HYPERLINK("https%3A%2F%2Fwww.webofscience.com%2Fwos%2Fwoscc%2Ffull-record%2FWOS:000325077100028","View Full Record in Web of Science")</f>
        <v>View Full Record in Web of Science</v>
      </c>
    </row>
    <row r="414" spans="1:72" x14ac:dyDescent="0.15">
      <c r="A414" t="s">
        <v>72</v>
      </c>
      <c r="B414" t="s">
        <v>8307</v>
      </c>
      <c r="C414" t="s">
        <v>74</v>
      </c>
      <c r="D414" t="s">
        <v>74</v>
      </c>
      <c r="E414" t="s">
        <v>74</v>
      </c>
      <c r="F414" t="s">
        <v>8308</v>
      </c>
      <c r="G414" t="s">
        <v>74</v>
      </c>
      <c r="H414" t="s">
        <v>74</v>
      </c>
      <c r="I414" t="s">
        <v>8309</v>
      </c>
      <c r="J414" t="s">
        <v>8310</v>
      </c>
      <c r="K414" t="s">
        <v>74</v>
      </c>
      <c r="L414" t="s">
        <v>74</v>
      </c>
      <c r="M414" t="s">
        <v>78</v>
      </c>
      <c r="N414" t="s">
        <v>79</v>
      </c>
      <c r="O414" t="s">
        <v>74</v>
      </c>
      <c r="P414" t="s">
        <v>74</v>
      </c>
      <c r="Q414" t="s">
        <v>74</v>
      </c>
      <c r="R414" t="s">
        <v>74</v>
      </c>
      <c r="S414" t="s">
        <v>74</v>
      </c>
      <c r="T414" t="s">
        <v>8311</v>
      </c>
      <c r="U414" t="s">
        <v>8312</v>
      </c>
      <c r="V414" t="s">
        <v>8313</v>
      </c>
      <c r="W414" t="s">
        <v>8314</v>
      </c>
      <c r="X414" t="s">
        <v>8315</v>
      </c>
      <c r="Y414" t="s">
        <v>8316</v>
      </c>
      <c r="Z414" t="s">
        <v>8317</v>
      </c>
      <c r="AA414" t="s">
        <v>8318</v>
      </c>
      <c r="AB414" t="s">
        <v>8319</v>
      </c>
      <c r="AC414" t="s">
        <v>8320</v>
      </c>
      <c r="AD414" t="s">
        <v>8320</v>
      </c>
      <c r="AE414" t="s">
        <v>8321</v>
      </c>
      <c r="AF414" t="s">
        <v>74</v>
      </c>
      <c r="AG414">
        <v>54</v>
      </c>
      <c r="AH414">
        <v>9</v>
      </c>
      <c r="AI414">
        <v>10</v>
      </c>
      <c r="AJ414">
        <v>0</v>
      </c>
      <c r="AK414">
        <v>37</v>
      </c>
      <c r="AL414" t="s">
        <v>783</v>
      </c>
      <c r="AM414" t="s">
        <v>252</v>
      </c>
      <c r="AN414" t="s">
        <v>784</v>
      </c>
      <c r="AO414" t="s">
        <v>8322</v>
      </c>
      <c r="AP414" t="s">
        <v>8323</v>
      </c>
      <c r="AQ414" t="s">
        <v>74</v>
      </c>
      <c r="AR414" t="s">
        <v>8324</v>
      </c>
      <c r="AS414" t="s">
        <v>8325</v>
      </c>
      <c r="AT414" t="s">
        <v>8267</v>
      </c>
      <c r="AU414">
        <v>2013</v>
      </c>
      <c r="AV414">
        <v>141</v>
      </c>
      <c r="AW414">
        <v>2</v>
      </c>
      <c r="AX414" t="s">
        <v>74</v>
      </c>
      <c r="AY414" t="s">
        <v>74</v>
      </c>
      <c r="AZ414" t="s">
        <v>74</v>
      </c>
      <c r="BA414" t="s">
        <v>74</v>
      </c>
      <c r="BB414">
        <v>1424</v>
      </c>
      <c r="BC414">
        <v>1432</v>
      </c>
      <c r="BD414" t="s">
        <v>74</v>
      </c>
      <c r="BE414" t="s">
        <v>8326</v>
      </c>
      <c r="BF414" t="str">
        <f>HYPERLINK("http://dx.doi.org/10.1016/j.foodchem.2013.04.052","http://dx.doi.org/10.1016/j.foodchem.2013.04.052")</f>
        <v>http://dx.doi.org/10.1016/j.foodchem.2013.04.052</v>
      </c>
      <c r="BG414" t="s">
        <v>74</v>
      </c>
      <c r="BH414" t="s">
        <v>74</v>
      </c>
      <c r="BI414">
        <v>9</v>
      </c>
      <c r="BJ414" t="s">
        <v>8327</v>
      </c>
      <c r="BK414" t="s">
        <v>99</v>
      </c>
      <c r="BL414" t="s">
        <v>8328</v>
      </c>
      <c r="BM414" t="s">
        <v>8329</v>
      </c>
      <c r="BN414">
        <v>23790934</v>
      </c>
      <c r="BO414" t="s">
        <v>74</v>
      </c>
      <c r="BP414" t="s">
        <v>74</v>
      </c>
      <c r="BQ414" t="s">
        <v>74</v>
      </c>
      <c r="BR414" t="s">
        <v>103</v>
      </c>
      <c r="BS414" t="s">
        <v>8330</v>
      </c>
      <c r="BT414" t="str">
        <f>HYPERLINK("https%3A%2F%2Fwww.webofscience.com%2Fwos%2Fwoscc%2Ffull-record%2FWOS:000321803500104","View Full Record in Web of Science")</f>
        <v>View Full Record in Web of Science</v>
      </c>
    </row>
    <row r="415" spans="1:72" x14ac:dyDescent="0.15">
      <c r="A415" t="s">
        <v>72</v>
      </c>
      <c r="B415" t="s">
        <v>8331</v>
      </c>
      <c r="C415" t="s">
        <v>74</v>
      </c>
      <c r="D415" t="s">
        <v>74</v>
      </c>
      <c r="E415" t="s">
        <v>74</v>
      </c>
      <c r="F415" t="s">
        <v>8332</v>
      </c>
      <c r="G415" t="s">
        <v>74</v>
      </c>
      <c r="H415" t="s">
        <v>74</v>
      </c>
      <c r="I415" t="s">
        <v>8333</v>
      </c>
      <c r="J415" t="s">
        <v>8334</v>
      </c>
      <c r="K415" t="s">
        <v>74</v>
      </c>
      <c r="L415" t="s">
        <v>74</v>
      </c>
      <c r="M415" t="s">
        <v>78</v>
      </c>
      <c r="N415" t="s">
        <v>79</v>
      </c>
      <c r="O415" t="s">
        <v>74</v>
      </c>
      <c r="P415" t="s">
        <v>74</v>
      </c>
      <c r="Q415" t="s">
        <v>74</v>
      </c>
      <c r="R415" t="s">
        <v>74</v>
      </c>
      <c r="S415" t="s">
        <v>74</v>
      </c>
      <c r="T415" t="s">
        <v>8335</v>
      </c>
      <c r="U415" t="s">
        <v>8336</v>
      </c>
      <c r="V415" t="s">
        <v>8337</v>
      </c>
      <c r="W415" t="s">
        <v>8338</v>
      </c>
      <c r="X415" t="s">
        <v>8339</v>
      </c>
      <c r="Y415" t="s">
        <v>8340</v>
      </c>
      <c r="Z415" t="s">
        <v>8341</v>
      </c>
      <c r="AA415" t="s">
        <v>8342</v>
      </c>
      <c r="AB415" t="s">
        <v>8343</v>
      </c>
      <c r="AC415" t="s">
        <v>8344</v>
      </c>
      <c r="AD415" t="s">
        <v>8345</v>
      </c>
      <c r="AE415" t="s">
        <v>8346</v>
      </c>
      <c r="AF415" t="s">
        <v>74</v>
      </c>
      <c r="AG415">
        <v>68</v>
      </c>
      <c r="AH415">
        <v>70</v>
      </c>
      <c r="AI415">
        <v>75</v>
      </c>
      <c r="AJ415">
        <v>2</v>
      </c>
      <c r="AK415">
        <v>45</v>
      </c>
      <c r="AL415" t="s">
        <v>582</v>
      </c>
      <c r="AM415" t="s">
        <v>305</v>
      </c>
      <c r="AN415" t="s">
        <v>583</v>
      </c>
      <c r="AO415" t="s">
        <v>8347</v>
      </c>
      <c r="AP415" t="s">
        <v>8348</v>
      </c>
      <c r="AQ415" t="s">
        <v>74</v>
      </c>
      <c r="AR415" t="s">
        <v>8349</v>
      </c>
      <c r="AS415" t="s">
        <v>8350</v>
      </c>
      <c r="AT415" t="s">
        <v>8351</v>
      </c>
      <c r="AU415">
        <v>2013</v>
      </c>
      <c r="AV415">
        <v>359</v>
      </c>
      <c r="AW415" t="s">
        <v>74</v>
      </c>
      <c r="AX415" t="s">
        <v>74</v>
      </c>
      <c r="AY415" t="s">
        <v>74</v>
      </c>
      <c r="AZ415" t="s">
        <v>74</v>
      </c>
      <c r="BA415" t="s">
        <v>74</v>
      </c>
      <c r="BB415">
        <v>23</v>
      </c>
      <c r="BC415">
        <v>31</v>
      </c>
      <c r="BD415" t="s">
        <v>74</v>
      </c>
      <c r="BE415" t="s">
        <v>8352</v>
      </c>
      <c r="BF415" t="str">
        <f>HYPERLINK("http://dx.doi.org/10.1016/j.chemgeo.2013.09.014","http://dx.doi.org/10.1016/j.chemgeo.2013.09.014")</f>
        <v>http://dx.doi.org/10.1016/j.chemgeo.2013.09.014</v>
      </c>
      <c r="BG415" t="s">
        <v>74</v>
      </c>
      <c r="BH415" t="s">
        <v>74</v>
      </c>
      <c r="BI415">
        <v>9</v>
      </c>
      <c r="BJ415" t="s">
        <v>313</v>
      </c>
      <c r="BK415" t="s">
        <v>99</v>
      </c>
      <c r="BL415" t="s">
        <v>313</v>
      </c>
      <c r="BM415" t="s">
        <v>8353</v>
      </c>
      <c r="BN415" t="s">
        <v>74</v>
      </c>
      <c r="BO415" t="s">
        <v>74</v>
      </c>
      <c r="BP415" t="s">
        <v>74</v>
      </c>
      <c r="BQ415" t="s">
        <v>74</v>
      </c>
      <c r="BR415" t="s">
        <v>103</v>
      </c>
      <c r="BS415" t="s">
        <v>8354</v>
      </c>
      <c r="BT415" t="str">
        <f>HYPERLINK("https%3A%2F%2Fwww.webofscience.com%2Fwos%2Fwoscc%2Ffull-record%2FWOS:000327179000003","View Full Record in Web of Science")</f>
        <v>View Full Record in Web of Science</v>
      </c>
    </row>
    <row r="416" spans="1:72" x14ac:dyDescent="0.15">
      <c r="A416" t="s">
        <v>72</v>
      </c>
      <c r="B416" t="s">
        <v>8355</v>
      </c>
      <c r="C416" t="s">
        <v>74</v>
      </c>
      <c r="D416" t="s">
        <v>74</v>
      </c>
      <c r="E416" t="s">
        <v>74</v>
      </c>
      <c r="F416" t="s">
        <v>8356</v>
      </c>
      <c r="G416" t="s">
        <v>74</v>
      </c>
      <c r="H416" t="s">
        <v>74</v>
      </c>
      <c r="I416" t="s">
        <v>8357</v>
      </c>
      <c r="J416" t="s">
        <v>4784</v>
      </c>
      <c r="K416" t="s">
        <v>74</v>
      </c>
      <c r="L416" t="s">
        <v>74</v>
      </c>
      <c r="M416" t="s">
        <v>78</v>
      </c>
      <c r="N416" t="s">
        <v>79</v>
      </c>
      <c r="O416" t="s">
        <v>74</v>
      </c>
      <c r="P416" t="s">
        <v>74</v>
      </c>
      <c r="Q416" t="s">
        <v>74</v>
      </c>
      <c r="R416" t="s">
        <v>74</v>
      </c>
      <c r="S416" t="s">
        <v>74</v>
      </c>
      <c r="T416" t="s">
        <v>8358</v>
      </c>
      <c r="U416" t="s">
        <v>8359</v>
      </c>
      <c r="V416" t="s">
        <v>8360</v>
      </c>
      <c r="W416" t="s">
        <v>8361</v>
      </c>
      <c r="X416" t="s">
        <v>8362</v>
      </c>
      <c r="Y416" t="s">
        <v>8363</v>
      </c>
      <c r="Z416" t="s">
        <v>8364</v>
      </c>
      <c r="AA416" t="s">
        <v>8365</v>
      </c>
      <c r="AB416" t="s">
        <v>8366</v>
      </c>
      <c r="AC416" t="s">
        <v>8367</v>
      </c>
      <c r="AD416" t="s">
        <v>8368</v>
      </c>
      <c r="AE416" t="s">
        <v>8369</v>
      </c>
      <c r="AF416" t="s">
        <v>74</v>
      </c>
      <c r="AG416">
        <v>74</v>
      </c>
      <c r="AH416">
        <v>51</v>
      </c>
      <c r="AI416">
        <v>57</v>
      </c>
      <c r="AJ416">
        <v>0</v>
      </c>
      <c r="AK416">
        <v>43</v>
      </c>
      <c r="AL416" t="s">
        <v>4135</v>
      </c>
      <c r="AM416" t="s">
        <v>849</v>
      </c>
      <c r="AN416" t="s">
        <v>4136</v>
      </c>
      <c r="AO416" t="s">
        <v>4794</v>
      </c>
      <c r="AP416" t="s">
        <v>4795</v>
      </c>
      <c r="AQ416" t="s">
        <v>74</v>
      </c>
      <c r="AR416" t="s">
        <v>4796</v>
      </c>
      <c r="AS416" t="s">
        <v>4797</v>
      </c>
      <c r="AT416" t="s">
        <v>8370</v>
      </c>
      <c r="AU416">
        <v>2013</v>
      </c>
      <c r="AV416">
        <v>280</v>
      </c>
      <c r="AW416">
        <v>1770</v>
      </c>
      <c r="AX416" t="s">
        <v>74</v>
      </c>
      <c r="AY416" t="s">
        <v>74</v>
      </c>
      <c r="AZ416" t="s">
        <v>74</v>
      </c>
      <c r="BA416" t="s">
        <v>74</v>
      </c>
      <c r="BB416" t="s">
        <v>74</v>
      </c>
      <c r="BC416" t="s">
        <v>74</v>
      </c>
      <c r="BD416">
        <v>20131876</v>
      </c>
      <c r="BE416" t="s">
        <v>8371</v>
      </c>
      <c r="BF416" t="str">
        <f>HYPERLINK("http://dx.doi.org/10.1098/rspb.2013.1876","http://dx.doi.org/10.1098/rspb.2013.1876")</f>
        <v>http://dx.doi.org/10.1098/rspb.2013.1876</v>
      </c>
      <c r="BG416" t="s">
        <v>74</v>
      </c>
      <c r="BH416" t="s">
        <v>74</v>
      </c>
      <c r="BI416">
        <v>9</v>
      </c>
      <c r="BJ416" t="s">
        <v>4143</v>
      </c>
      <c r="BK416" t="s">
        <v>99</v>
      </c>
      <c r="BL416" t="s">
        <v>4144</v>
      </c>
      <c r="BM416" t="s">
        <v>8372</v>
      </c>
      <c r="BN416">
        <v>24026823</v>
      </c>
      <c r="BO416" t="s">
        <v>1381</v>
      </c>
      <c r="BP416" t="s">
        <v>74</v>
      </c>
      <c r="BQ416" t="s">
        <v>74</v>
      </c>
      <c r="BR416" t="s">
        <v>103</v>
      </c>
      <c r="BS416" t="s">
        <v>8373</v>
      </c>
      <c r="BT416" t="str">
        <f>HYPERLINK("https%3A%2F%2Fwww.webofscience.com%2Fwos%2Fwoscc%2Ffull-record%2FWOS:000330323300012","View Full Record in Web of Science")</f>
        <v>View Full Record in Web of Science</v>
      </c>
    </row>
    <row r="417" spans="1:72" x14ac:dyDescent="0.15">
      <c r="A417" t="s">
        <v>72</v>
      </c>
      <c r="B417" t="s">
        <v>8374</v>
      </c>
      <c r="C417" t="s">
        <v>74</v>
      </c>
      <c r="D417" t="s">
        <v>74</v>
      </c>
      <c r="E417" t="s">
        <v>74</v>
      </c>
      <c r="F417" t="s">
        <v>8375</v>
      </c>
      <c r="G417" t="s">
        <v>74</v>
      </c>
      <c r="H417" t="s">
        <v>74</v>
      </c>
      <c r="I417" t="s">
        <v>8376</v>
      </c>
      <c r="J417" t="s">
        <v>4072</v>
      </c>
      <c r="K417" t="s">
        <v>74</v>
      </c>
      <c r="L417" t="s">
        <v>74</v>
      </c>
      <c r="M417" t="s">
        <v>78</v>
      </c>
      <c r="N417" t="s">
        <v>79</v>
      </c>
      <c r="O417" t="s">
        <v>74</v>
      </c>
      <c r="P417" t="s">
        <v>74</v>
      </c>
      <c r="Q417" t="s">
        <v>74</v>
      </c>
      <c r="R417" t="s">
        <v>74</v>
      </c>
      <c r="S417" t="s">
        <v>74</v>
      </c>
      <c r="T417" t="s">
        <v>74</v>
      </c>
      <c r="U417" t="s">
        <v>8377</v>
      </c>
      <c r="V417" t="s">
        <v>8378</v>
      </c>
      <c r="W417" t="s">
        <v>8379</v>
      </c>
      <c r="X417" t="s">
        <v>8380</v>
      </c>
      <c r="Y417" t="s">
        <v>8381</v>
      </c>
      <c r="Z417" t="s">
        <v>8382</v>
      </c>
      <c r="AA417" t="s">
        <v>8383</v>
      </c>
      <c r="AB417" t="s">
        <v>8384</v>
      </c>
      <c r="AC417" t="s">
        <v>8385</v>
      </c>
      <c r="AD417" t="s">
        <v>8386</v>
      </c>
      <c r="AE417" t="s">
        <v>8387</v>
      </c>
      <c r="AF417" t="s">
        <v>74</v>
      </c>
      <c r="AG417">
        <v>36</v>
      </c>
      <c r="AH417">
        <v>8</v>
      </c>
      <c r="AI417">
        <v>9</v>
      </c>
      <c r="AJ417">
        <v>2</v>
      </c>
      <c r="AK417">
        <v>25</v>
      </c>
      <c r="AL417" t="s">
        <v>4084</v>
      </c>
      <c r="AM417" t="s">
        <v>4085</v>
      </c>
      <c r="AN417" t="s">
        <v>4086</v>
      </c>
      <c r="AO417" t="s">
        <v>4087</v>
      </c>
      <c r="AP417" t="s">
        <v>74</v>
      </c>
      <c r="AQ417" t="s">
        <v>74</v>
      </c>
      <c r="AR417" t="s">
        <v>4072</v>
      </c>
      <c r="AS417" t="s">
        <v>4088</v>
      </c>
      <c r="AT417" t="s">
        <v>8388</v>
      </c>
      <c r="AU417">
        <v>2013</v>
      </c>
      <c r="AV417">
        <v>8</v>
      </c>
      <c r="AW417">
        <v>11</v>
      </c>
      <c r="AX417" t="s">
        <v>74</v>
      </c>
      <c r="AY417" t="s">
        <v>74</v>
      </c>
      <c r="AZ417" t="s">
        <v>74</v>
      </c>
      <c r="BA417" t="s">
        <v>74</v>
      </c>
      <c r="BB417" t="s">
        <v>74</v>
      </c>
      <c r="BC417" t="s">
        <v>74</v>
      </c>
      <c r="BD417" t="s">
        <v>8389</v>
      </c>
      <c r="BE417" t="s">
        <v>8390</v>
      </c>
      <c r="BF417" t="str">
        <f>HYPERLINK("http://dx.doi.org/10.1371/journal.pone.0080243","http://dx.doi.org/10.1371/journal.pone.0080243")</f>
        <v>http://dx.doi.org/10.1371/journal.pone.0080243</v>
      </c>
      <c r="BG417" t="s">
        <v>74</v>
      </c>
      <c r="BH417" t="s">
        <v>74</v>
      </c>
      <c r="BI417">
        <v>8</v>
      </c>
      <c r="BJ417" t="s">
        <v>2652</v>
      </c>
      <c r="BK417" t="s">
        <v>99</v>
      </c>
      <c r="BL417" t="s">
        <v>2653</v>
      </c>
      <c r="BM417" t="s">
        <v>8391</v>
      </c>
      <c r="BN417">
        <v>24223223</v>
      </c>
      <c r="BO417" t="s">
        <v>8392</v>
      </c>
      <c r="BP417" t="s">
        <v>74</v>
      </c>
      <c r="BQ417" t="s">
        <v>74</v>
      </c>
      <c r="BR417" t="s">
        <v>103</v>
      </c>
      <c r="BS417" t="s">
        <v>8393</v>
      </c>
      <c r="BT417" t="str">
        <f>HYPERLINK("https%3A%2F%2Fwww.webofscience.com%2Fwos%2Fwoscc%2Ffull-record%2FWOS:000326656200116","View Full Record in Web of Science")</f>
        <v>View Full Record in Web of Science</v>
      </c>
    </row>
    <row r="418" spans="1:72" x14ac:dyDescent="0.15">
      <c r="A418" t="s">
        <v>72</v>
      </c>
      <c r="B418" t="s">
        <v>8394</v>
      </c>
      <c r="C418" t="s">
        <v>74</v>
      </c>
      <c r="D418" t="s">
        <v>74</v>
      </c>
      <c r="E418" t="s">
        <v>74</v>
      </c>
      <c r="F418" t="s">
        <v>8395</v>
      </c>
      <c r="G418" t="s">
        <v>74</v>
      </c>
      <c r="H418" t="s">
        <v>74</v>
      </c>
      <c r="I418" t="s">
        <v>8396</v>
      </c>
      <c r="J418" t="s">
        <v>4072</v>
      </c>
      <c r="K418" t="s">
        <v>74</v>
      </c>
      <c r="L418" t="s">
        <v>74</v>
      </c>
      <c r="M418" t="s">
        <v>78</v>
      </c>
      <c r="N418" t="s">
        <v>79</v>
      </c>
      <c r="O418" t="s">
        <v>74</v>
      </c>
      <c r="P418" t="s">
        <v>74</v>
      </c>
      <c r="Q418" t="s">
        <v>74</v>
      </c>
      <c r="R418" t="s">
        <v>74</v>
      </c>
      <c r="S418" t="s">
        <v>74</v>
      </c>
      <c r="T418" t="s">
        <v>74</v>
      </c>
      <c r="U418" t="s">
        <v>8397</v>
      </c>
      <c r="V418" t="s">
        <v>8398</v>
      </c>
      <c r="W418" t="s">
        <v>8399</v>
      </c>
      <c r="X418" t="s">
        <v>8400</v>
      </c>
      <c r="Y418" t="s">
        <v>8401</v>
      </c>
      <c r="Z418" t="s">
        <v>8402</v>
      </c>
      <c r="AA418" t="s">
        <v>8403</v>
      </c>
      <c r="AB418" t="s">
        <v>74</v>
      </c>
      <c r="AC418" t="s">
        <v>8404</v>
      </c>
      <c r="AD418" t="s">
        <v>8405</v>
      </c>
      <c r="AE418" t="s">
        <v>8406</v>
      </c>
      <c r="AF418" t="s">
        <v>74</v>
      </c>
      <c r="AG418">
        <v>23</v>
      </c>
      <c r="AH418">
        <v>33</v>
      </c>
      <c r="AI418">
        <v>39</v>
      </c>
      <c r="AJ418">
        <v>2</v>
      </c>
      <c r="AK418">
        <v>24</v>
      </c>
      <c r="AL418" t="s">
        <v>4084</v>
      </c>
      <c r="AM418" t="s">
        <v>4085</v>
      </c>
      <c r="AN418" t="s">
        <v>4086</v>
      </c>
      <c r="AO418" t="s">
        <v>4087</v>
      </c>
      <c r="AP418" t="s">
        <v>74</v>
      </c>
      <c r="AQ418" t="s">
        <v>74</v>
      </c>
      <c r="AR418" t="s">
        <v>4072</v>
      </c>
      <c r="AS418" t="s">
        <v>4088</v>
      </c>
      <c r="AT418" t="s">
        <v>8407</v>
      </c>
      <c r="AU418">
        <v>2013</v>
      </c>
      <c r="AV418">
        <v>8</v>
      </c>
      <c r="AW418">
        <v>11</v>
      </c>
      <c r="AX418" t="s">
        <v>74</v>
      </c>
      <c r="AY418" t="s">
        <v>74</v>
      </c>
      <c r="AZ418" t="s">
        <v>74</v>
      </c>
      <c r="BA418" t="s">
        <v>74</v>
      </c>
      <c r="BB418" t="s">
        <v>74</v>
      </c>
      <c r="BC418" t="s">
        <v>74</v>
      </c>
      <c r="BD418" t="s">
        <v>8408</v>
      </c>
      <c r="BE418" t="s">
        <v>8409</v>
      </c>
      <c r="BF418" t="str">
        <f>HYPERLINK("http://dx.doi.org/10.1371/journal.pone.0079668","http://dx.doi.org/10.1371/journal.pone.0079668")</f>
        <v>http://dx.doi.org/10.1371/journal.pone.0079668</v>
      </c>
      <c r="BG418" t="s">
        <v>74</v>
      </c>
      <c r="BH418" t="s">
        <v>74</v>
      </c>
      <c r="BI418">
        <v>9</v>
      </c>
      <c r="BJ418" t="s">
        <v>2652</v>
      </c>
      <c r="BK418" t="s">
        <v>99</v>
      </c>
      <c r="BL418" t="s">
        <v>2653</v>
      </c>
      <c r="BM418" t="s">
        <v>8410</v>
      </c>
      <c r="BN418">
        <v>24223990</v>
      </c>
      <c r="BO418" t="s">
        <v>1304</v>
      </c>
      <c r="BP418" t="s">
        <v>74</v>
      </c>
      <c r="BQ418" t="s">
        <v>74</v>
      </c>
      <c r="BR418" t="s">
        <v>103</v>
      </c>
      <c r="BS418" t="s">
        <v>8411</v>
      </c>
      <c r="BT418" t="str">
        <f>HYPERLINK("https%3A%2F%2Fwww.webofscience.com%2Fwos%2Fwoscc%2Ffull-record%2FWOS:000326503400135","View Full Record in Web of Science")</f>
        <v>View Full Record in Web of Science</v>
      </c>
    </row>
    <row r="419" spans="1:72" x14ac:dyDescent="0.15">
      <c r="A419" t="s">
        <v>72</v>
      </c>
      <c r="B419" t="s">
        <v>8412</v>
      </c>
      <c r="C419" t="s">
        <v>74</v>
      </c>
      <c r="D419" t="s">
        <v>74</v>
      </c>
      <c r="E419" t="s">
        <v>74</v>
      </c>
      <c r="F419" t="s">
        <v>8413</v>
      </c>
      <c r="G419" t="s">
        <v>74</v>
      </c>
      <c r="H419" t="s">
        <v>74</v>
      </c>
      <c r="I419" t="s">
        <v>8414</v>
      </c>
      <c r="J419" t="s">
        <v>1571</v>
      </c>
      <c r="K419" t="s">
        <v>74</v>
      </c>
      <c r="L419" t="s">
        <v>74</v>
      </c>
      <c r="M419" t="s">
        <v>78</v>
      </c>
      <c r="N419" t="s">
        <v>79</v>
      </c>
      <c r="O419" t="s">
        <v>74</v>
      </c>
      <c r="P419" t="s">
        <v>74</v>
      </c>
      <c r="Q419" t="s">
        <v>74</v>
      </c>
      <c r="R419" t="s">
        <v>74</v>
      </c>
      <c r="S419" t="s">
        <v>74</v>
      </c>
      <c r="T419" t="s">
        <v>8415</v>
      </c>
      <c r="U419" t="s">
        <v>8416</v>
      </c>
      <c r="V419" t="s">
        <v>8417</v>
      </c>
      <c r="W419" t="s">
        <v>8418</v>
      </c>
      <c r="X419" t="s">
        <v>8419</v>
      </c>
      <c r="Y419" t="s">
        <v>8420</v>
      </c>
      <c r="Z419" t="s">
        <v>8421</v>
      </c>
      <c r="AA419" t="s">
        <v>74</v>
      </c>
      <c r="AB419" t="s">
        <v>74</v>
      </c>
      <c r="AC419" t="s">
        <v>8422</v>
      </c>
      <c r="AD419" t="s">
        <v>8423</v>
      </c>
      <c r="AE419" t="s">
        <v>8424</v>
      </c>
      <c r="AF419" t="s">
        <v>74</v>
      </c>
      <c r="AG419">
        <v>28</v>
      </c>
      <c r="AH419">
        <v>10</v>
      </c>
      <c r="AI419">
        <v>14</v>
      </c>
      <c r="AJ419">
        <v>2</v>
      </c>
      <c r="AK419">
        <v>12</v>
      </c>
      <c r="AL419" t="s">
        <v>582</v>
      </c>
      <c r="AM419" t="s">
        <v>305</v>
      </c>
      <c r="AN419" t="s">
        <v>583</v>
      </c>
      <c r="AO419" t="s">
        <v>1584</v>
      </c>
      <c r="AP419" t="s">
        <v>1585</v>
      </c>
      <c r="AQ419" t="s">
        <v>74</v>
      </c>
      <c r="AR419" t="s">
        <v>1586</v>
      </c>
      <c r="AS419" t="s">
        <v>1587</v>
      </c>
      <c r="AT419" t="s">
        <v>8425</v>
      </c>
      <c r="AU419">
        <v>2013</v>
      </c>
      <c r="AV419">
        <v>449</v>
      </c>
      <c r="AW419" t="s">
        <v>74</v>
      </c>
      <c r="AX419" t="s">
        <v>74</v>
      </c>
      <c r="AY419" t="s">
        <v>74</v>
      </c>
      <c r="AZ419" t="s">
        <v>74</v>
      </c>
      <c r="BA419" t="s">
        <v>74</v>
      </c>
      <c r="BB419">
        <v>17</v>
      </c>
      <c r="BC419">
        <v>21</v>
      </c>
      <c r="BD419" t="s">
        <v>74</v>
      </c>
      <c r="BE419" t="s">
        <v>8426</v>
      </c>
      <c r="BF419" t="str">
        <f>HYPERLINK("http://dx.doi.org/10.1016/j.jembe.2013.08.010","http://dx.doi.org/10.1016/j.jembe.2013.08.010")</f>
        <v>http://dx.doi.org/10.1016/j.jembe.2013.08.010</v>
      </c>
      <c r="BG419" t="s">
        <v>74</v>
      </c>
      <c r="BH419" t="s">
        <v>74</v>
      </c>
      <c r="BI419">
        <v>5</v>
      </c>
      <c r="BJ419" t="s">
        <v>1589</v>
      </c>
      <c r="BK419" t="s">
        <v>99</v>
      </c>
      <c r="BL419" t="s">
        <v>680</v>
      </c>
      <c r="BM419" t="s">
        <v>8427</v>
      </c>
      <c r="BN419" t="s">
        <v>74</v>
      </c>
      <c r="BO419" t="s">
        <v>74</v>
      </c>
      <c r="BP419" t="s">
        <v>74</v>
      </c>
      <c r="BQ419" t="s">
        <v>74</v>
      </c>
      <c r="BR419" t="s">
        <v>103</v>
      </c>
      <c r="BS419" t="s">
        <v>8428</v>
      </c>
      <c r="BT419" t="str">
        <f>HYPERLINK("https%3A%2F%2Fwww.webofscience.com%2Fwos%2Fwoscc%2Ffull-record%2FWOS:000334647500003","View Full Record in Web of Science")</f>
        <v>View Full Record in Web of Science</v>
      </c>
    </row>
    <row r="420" spans="1:72" x14ac:dyDescent="0.15">
      <c r="A420" t="s">
        <v>72</v>
      </c>
      <c r="B420" t="s">
        <v>8429</v>
      </c>
      <c r="C420" t="s">
        <v>74</v>
      </c>
      <c r="D420" t="s">
        <v>74</v>
      </c>
      <c r="E420" t="s">
        <v>74</v>
      </c>
      <c r="F420" t="s">
        <v>8430</v>
      </c>
      <c r="G420" t="s">
        <v>74</v>
      </c>
      <c r="H420" t="s">
        <v>74</v>
      </c>
      <c r="I420" t="s">
        <v>8431</v>
      </c>
      <c r="J420" t="s">
        <v>3144</v>
      </c>
      <c r="K420" t="s">
        <v>74</v>
      </c>
      <c r="L420" t="s">
        <v>74</v>
      </c>
      <c r="M420" t="s">
        <v>78</v>
      </c>
      <c r="N420" t="s">
        <v>79</v>
      </c>
      <c r="O420" t="s">
        <v>74</v>
      </c>
      <c r="P420" t="s">
        <v>74</v>
      </c>
      <c r="Q420" t="s">
        <v>74</v>
      </c>
      <c r="R420" t="s">
        <v>74</v>
      </c>
      <c r="S420" t="s">
        <v>74</v>
      </c>
      <c r="T420" t="s">
        <v>8432</v>
      </c>
      <c r="U420" t="s">
        <v>8433</v>
      </c>
      <c r="V420" t="s">
        <v>8434</v>
      </c>
      <c r="W420" t="s">
        <v>8435</v>
      </c>
      <c r="X420" t="s">
        <v>8436</v>
      </c>
      <c r="Y420" t="s">
        <v>8437</v>
      </c>
      <c r="Z420" t="s">
        <v>8438</v>
      </c>
      <c r="AA420" t="s">
        <v>8439</v>
      </c>
      <c r="AB420" t="s">
        <v>8440</v>
      </c>
      <c r="AC420" t="s">
        <v>8441</v>
      </c>
      <c r="AD420" t="s">
        <v>8442</v>
      </c>
      <c r="AE420" t="s">
        <v>8443</v>
      </c>
      <c r="AF420" t="s">
        <v>74</v>
      </c>
      <c r="AG420">
        <v>25</v>
      </c>
      <c r="AH420">
        <v>15</v>
      </c>
      <c r="AI420">
        <v>18</v>
      </c>
      <c r="AJ420">
        <v>0</v>
      </c>
      <c r="AK420">
        <v>11</v>
      </c>
      <c r="AL420" t="s">
        <v>276</v>
      </c>
      <c r="AM420" t="s">
        <v>277</v>
      </c>
      <c r="AN420" t="s">
        <v>2752</v>
      </c>
      <c r="AO420" t="s">
        <v>3157</v>
      </c>
      <c r="AP420" t="s">
        <v>3158</v>
      </c>
      <c r="AQ420" t="s">
        <v>74</v>
      </c>
      <c r="AR420" t="s">
        <v>3144</v>
      </c>
      <c r="AS420" t="s">
        <v>3159</v>
      </c>
      <c r="AT420" t="s">
        <v>8425</v>
      </c>
      <c r="AU420">
        <v>2013</v>
      </c>
      <c r="AV420">
        <v>52</v>
      </c>
      <c r="AW420">
        <v>6</v>
      </c>
      <c r="AX420" t="s">
        <v>74</v>
      </c>
      <c r="AY420" t="s">
        <v>74</v>
      </c>
      <c r="AZ420" t="s">
        <v>74</v>
      </c>
      <c r="BA420" t="s">
        <v>74</v>
      </c>
      <c r="BB420">
        <v>595</v>
      </c>
      <c r="BC420">
        <v>599</v>
      </c>
      <c r="BD420" t="s">
        <v>74</v>
      </c>
      <c r="BE420" t="s">
        <v>8444</v>
      </c>
      <c r="BF420" t="str">
        <f>HYPERLINK("http://dx.doi.org/10.2216/13-188.1","http://dx.doi.org/10.2216/13-188.1")</f>
        <v>http://dx.doi.org/10.2216/13-188.1</v>
      </c>
      <c r="BG420" t="s">
        <v>74</v>
      </c>
      <c r="BH420" t="s">
        <v>74</v>
      </c>
      <c r="BI420">
        <v>5</v>
      </c>
      <c r="BJ420" t="s">
        <v>3161</v>
      </c>
      <c r="BK420" t="s">
        <v>99</v>
      </c>
      <c r="BL420" t="s">
        <v>3161</v>
      </c>
      <c r="BM420" t="s">
        <v>8445</v>
      </c>
      <c r="BN420" t="s">
        <v>74</v>
      </c>
      <c r="BO420" t="s">
        <v>74</v>
      </c>
      <c r="BP420" t="s">
        <v>74</v>
      </c>
      <c r="BQ420" t="s">
        <v>74</v>
      </c>
      <c r="BR420" t="s">
        <v>103</v>
      </c>
      <c r="BS420" t="s">
        <v>8446</v>
      </c>
      <c r="BT420" t="str">
        <f>HYPERLINK("https%3A%2F%2Fwww.webofscience.com%2Fwos%2Fwoscc%2Ffull-record%2FWOS:000333097500014","View Full Record in Web of Science")</f>
        <v>View Full Record in Web of Science</v>
      </c>
    </row>
    <row r="421" spans="1:72" x14ac:dyDescent="0.15">
      <c r="A421" t="s">
        <v>72</v>
      </c>
      <c r="B421" t="s">
        <v>8447</v>
      </c>
      <c r="C421" t="s">
        <v>74</v>
      </c>
      <c r="D421" t="s">
        <v>74</v>
      </c>
      <c r="E421" t="s">
        <v>74</v>
      </c>
      <c r="F421" t="s">
        <v>8448</v>
      </c>
      <c r="G421" t="s">
        <v>74</v>
      </c>
      <c r="H421" t="s">
        <v>74</v>
      </c>
      <c r="I421" t="s">
        <v>8449</v>
      </c>
      <c r="J421" t="s">
        <v>8450</v>
      </c>
      <c r="K421" t="s">
        <v>74</v>
      </c>
      <c r="L421" t="s">
        <v>74</v>
      </c>
      <c r="M421" t="s">
        <v>78</v>
      </c>
      <c r="N421" t="s">
        <v>79</v>
      </c>
      <c r="O421" t="s">
        <v>74</v>
      </c>
      <c r="P421" t="s">
        <v>74</v>
      </c>
      <c r="Q421" t="s">
        <v>74</v>
      </c>
      <c r="R421" t="s">
        <v>74</v>
      </c>
      <c r="S421" t="s">
        <v>74</v>
      </c>
      <c r="T421" t="s">
        <v>8451</v>
      </c>
      <c r="U421" t="s">
        <v>8452</v>
      </c>
      <c r="V421" t="s">
        <v>8453</v>
      </c>
      <c r="W421" t="s">
        <v>8454</v>
      </c>
      <c r="X421" t="s">
        <v>8455</v>
      </c>
      <c r="Y421" t="s">
        <v>8456</v>
      </c>
      <c r="Z421" t="s">
        <v>8457</v>
      </c>
      <c r="AA421" t="s">
        <v>8458</v>
      </c>
      <c r="AB421" t="s">
        <v>74</v>
      </c>
      <c r="AC421" t="s">
        <v>8459</v>
      </c>
      <c r="AD421" t="s">
        <v>8460</v>
      </c>
      <c r="AE421" t="s">
        <v>8461</v>
      </c>
      <c r="AF421" t="s">
        <v>74</v>
      </c>
      <c r="AG421">
        <v>39</v>
      </c>
      <c r="AH421">
        <v>12</v>
      </c>
      <c r="AI421">
        <v>13</v>
      </c>
      <c r="AJ421">
        <v>1</v>
      </c>
      <c r="AK421">
        <v>4</v>
      </c>
      <c r="AL421" t="s">
        <v>8462</v>
      </c>
      <c r="AM421" t="s">
        <v>8463</v>
      </c>
      <c r="AN421" t="s">
        <v>8464</v>
      </c>
      <c r="AO421" t="s">
        <v>8465</v>
      </c>
      <c r="AP421" t="s">
        <v>8466</v>
      </c>
      <c r="AQ421" t="s">
        <v>74</v>
      </c>
      <c r="AR421" t="s">
        <v>8467</v>
      </c>
      <c r="AS421" t="s">
        <v>8468</v>
      </c>
      <c r="AT421" t="s">
        <v>8425</v>
      </c>
      <c r="AU421">
        <v>2013</v>
      </c>
      <c r="AV421">
        <v>84</v>
      </c>
      <c r="AW421">
        <v>11</v>
      </c>
      <c r="AX421" t="s">
        <v>74</v>
      </c>
      <c r="AY421" t="s">
        <v>74</v>
      </c>
      <c r="AZ421" t="s">
        <v>74</v>
      </c>
      <c r="BA421" t="s">
        <v>74</v>
      </c>
      <c r="BB421">
        <v>1166</v>
      </c>
      <c r="BC421">
        <v>1171</v>
      </c>
      <c r="BD421" t="s">
        <v>74</v>
      </c>
      <c r="BE421" t="s">
        <v>8469</v>
      </c>
      <c r="BF421" t="str">
        <f>HYPERLINK("http://dx.doi.org/10.3357/ASEM.3717.2013","http://dx.doi.org/10.3357/ASEM.3717.2013")</f>
        <v>http://dx.doi.org/10.3357/ASEM.3717.2013</v>
      </c>
      <c r="BG421" t="s">
        <v>74</v>
      </c>
      <c r="BH421" t="s">
        <v>74</v>
      </c>
      <c r="BI421">
        <v>6</v>
      </c>
      <c r="BJ421" t="s">
        <v>8470</v>
      </c>
      <c r="BK421" t="s">
        <v>99</v>
      </c>
      <c r="BL421" t="s">
        <v>8471</v>
      </c>
      <c r="BM421" t="s">
        <v>8472</v>
      </c>
      <c r="BN421">
        <v>24279230</v>
      </c>
      <c r="BO421" t="s">
        <v>74</v>
      </c>
      <c r="BP421" t="s">
        <v>74</v>
      </c>
      <c r="BQ421" t="s">
        <v>74</v>
      </c>
      <c r="BR421" t="s">
        <v>103</v>
      </c>
      <c r="BS421" t="s">
        <v>8473</v>
      </c>
      <c r="BT421" t="str">
        <f>HYPERLINK("https%3A%2F%2Fwww.webofscience.com%2Fwos%2Fwoscc%2Ffull-record%2FWOS:000332996700007","View Full Record in Web of Science")</f>
        <v>View Full Record in Web of Science</v>
      </c>
    </row>
    <row r="422" spans="1:72" x14ac:dyDescent="0.15">
      <c r="A422" t="s">
        <v>72</v>
      </c>
      <c r="B422" t="s">
        <v>8474</v>
      </c>
      <c r="C422" t="s">
        <v>74</v>
      </c>
      <c r="D422" t="s">
        <v>74</v>
      </c>
      <c r="E422" t="s">
        <v>74</v>
      </c>
      <c r="F422" t="s">
        <v>8475</v>
      </c>
      <c r="G422" t="s">
        <v>74</v>
      </c>
      <c r="H422" t="s">
        <v>74</v>
      </c>
      <c r="I422" t="s">
        <v>8476</v>
      </c>
      <c r="J422" t="s">
        <v>8477</v>
      </c>
      <c r="K422" t="s">
        <v>74</v>
      </c>
      <c r="L422" t="s">
        <v>74</v>
      </c>
      <c r="M422" t="s">
        <v>78</v>
      </c>
      <c r="N422" t="s">
        <v>79</v>
      </c>
      <c r="O422" t="s">
        <v>74</v>
      </c>
      <c r="P422" t="s">
        <v>74</v>
      </c>
      <c r="Q422" t="s">
        <v>74</v>
      </c>
      <c r="R422" t="s">
        <v>74</v>
      </c>
      <c r="S422" t="s">
        <v>74</v>
      </c>
      <c r="T422" t="s">
        <v>74</v>
      </c>
      <c r="U422" t="s">
        <v>8478</v>
      </c>
      <c r="V422" t="s">
        <v>8479</v>
      </c>
      <c r="W422" t="s">
        <v>8480</v>
      </c>
      <c r="X422" t="s">
        <v>8481</v>
      </c>
      <c r="Y422" t="s">
        <v>8482</v>
      </c>
      <c r="Z422" t="s">
        <v>8483</v>
      </c>
      <c r="AA422" t="s">
        <v>8484</v>
      </c>
      <c r="AB422" t="s">
        <v>8485</v>
      </c>
      <c r="AC422" t="s">
        <v>8486</v>
      </c>
      <c r="AD422" t="s">
        <v>8487</v>
      </c>
      <c r="AE422" t="s">
        <v>8488</v>
      </c>
      <c r="AF422" t="s">
        <v>74</v>
      </c>
      <c r="AG422">
        <v>59</v>
      </c>
      <c r="AH422">
        <v>3</v>
      </c>
      <c r="AI422">
        <v>3</v>
      </c>
      <c r="AJ422">
        <v>0</v>
      </c>
      <c r="AK422">
        <v>17</v>
      </c>
      <c r="AL422" t="s">
        <v>5115</v>
      </c>
      <c r="AM422" t="s">
        <v>5116</v>
      </c>
      <c r="AN422" t="s">
        <v>5117</v>
      </c>
      <c r="AO422" t="s">
        <v>8489</v>
      </c>
      <c r="AP422" t="s">
        <v>8490</v>
      </c>
      <c r="AQ422" t="s">
        <v>74</v>
      </c>
      <c r="AR422" t="s">
        <v>8491</v>
      </c>
      <c r="AS422" t="s">
        <v>8492</v>
      </c>
      <c r="AT422" t="s">
        <v>8493</v>
      </c>
      <c r="AU422">
        <v>2013</v>
      </c>
      <c r="AV422">
        <v>86</v>
      </c>
      <c r="AW422">
        <v>6</v>
      </c>
      <c r="AX422" t="s">
        <v>74</v>
      </c>
      <c r="AY422" t="s">
        <v>74</v>
      </c>
      <c r="AZ422" t="s">
        <v>74</v>
      </c>
      <c r="BA422" t="s">
        <v>74</v>
      </c>
      <c r="BB422">
        <v>782</v>
      </c>
      <c r="BC422">
        <v>790</v>
      </c>
      <c r="BD422" t="s">
        <v>74</v>
      </c>
      <c r="BE422" t="s">
        <v>8494</v>
      </c>
      <c r="BF422" t="str">
        <f>HYPERLINK("http://dx.doi.org/10.1086/673868","http://dx.doi.org/10.1086/673868")</f>
        <v>http://dx.doi.org/10.1086/673868</v>
      </c>
      <c r="BG422" t="s">
        <v>74</v>
      </c>
      <c r="BH422" t="s">
        <v>74</v>
      </c>
      <c r="BI422">
        <v>9</v>
      </c>
      <c r="BJ422" t="s">
        <v>6186</v>
      </c>
      <c r="BK422" t="s">
        <v>99</v>
      </c>
      <c r="BL422" t="s">
        <v>6186</v>
      </c>
      <c r="BM422" t="s">
        <v>8495</v>
      </c>
      <c r="BN422">
        <v>24241074</v>
      </c>
      <c r="BO422" t="s">
        <v>74</v>
      </c>
      <c r="BP422" t="s">
        <v>74</v>
      </c>
      <c r="BQ422" t="s">
        <v>74</v>
      </c>
      <c r="BR422" t="s">
        <v>103</v>
      </c>
      <c r="BS422" t="s">
        <v>8496</v>
      </c>
      <c r="BT422" t="str">
        <f>HYPERLINK("https%3A%2F%2Fwww.webofscience.com%2Fwos%2Fwoscc%2Ffull-record%2FWOS:000330019600016","View Full Record in Web of Science")</f>
        <v>View Full Record in Web of Science</v>
      </c>
    </row>
    <row r="423" spans="1:72" x14ac:dyDescent="0.15">
      <c r="A423" t="s">
        <v>72</v>
      </c>
      <c r="B423" t="s">
        <v>8497</v>
      </c>
      <c r="C423" t="s">
        <v>74</v>
      </c>
      <c r="D423" t="s">
        <v>74</v>
      </c>
      <c r="E423" t="s">
        <v>74</v>
      </c>
      <c r="F423" t="s">
        <v>8498</v>
      </c>
      <c r="G423" t="s">
        <v>74</v>
      </c>
      <c r="H423" t="s">
        <v>74</v>
      </c>
      <c r="I423" t="s">
        <v>8499</v>
      </c>
      <c r="J423" t="s">
        <v>8500</v>
      </c>
      <c r="K423" t="s">
        <v>74</v>
      </c>
      <c r="L423" t="s">
        <v>74</v>
      </c>
      <c r="M423" t="s">
        <v>78</v>
      </c>
      <c r="N423" t="s">
        <v>79</v>
      </c>
      <c r="O423" t="s">
        <v>74</v>
      </c>
      <c r="P423" t="s">
        <v>74</v>
      </c>
      <c r="Q423" t="s">
        <v>74</v>
      </c>
      <c r="R423" t="s">
        <v>74</v>
      </c>
      <c r="S423" t="s">
        <v>74</v>
      </c>
      <c r="T423" t="s">
        <v>74</v>
      </c>
      <c r="U423" t="s">
        <v>8501</v>
      </c>
      <c r="V423" t="s">
        <v>8502</v>
      </c>
      <c r="W423" t="s">
        <v>8503</v>
      </c>
      <c r="X423" t="s">
        <v>8504</v>
      </c>
      <c r="Y423" t="s">
        <v>8505</v>
      </c>
      <c r="Z423" t="s">
        <v>8506</v>
      </c>
      <c r="AA423" t="s">
        <v>8507</v>
      </c>
      <c r="AB423" t="s">
        <v>8508</v>
      </c>
      <c r="AC423" t="s">
        <v>8509</v>
      </c>
      <c r="AD423" t="s">
        <v>8510</v>
      </c>
      <c r="AE423" t="s">
        <v>8511</v>
      </c>
      <c r="AF423" t="s">
        <v>74</v>
      </c>
      <c r="AG423">
        <v>77</v>
      </c>
      <c r="AH423">
        <v>70</v>
      </c>
      <c r="AI423">
        <v>73</v>
      </c>
      <c r="AJ423">
        <v>8</v>
      </c>
      <c r="AK423">
        <v>84</v>
      </c>
      <c r="AL423" t="s">
        <v>276</v>
      </c>
      <c r="AM423" t="s">
        <v>277</v>
      </c>
      <c r="AN423" t="s">
        <v>2752</v>
      </c>
      <c r="AO423" t="s">
        <v>8512</v>
      </c>
      <c r="AP423" t="s">
        <v>8513</v>
      </c>
      <c r="AQ423" t="s">
        <v>74</v>
      </c>
      <c r="AR423" t="s">
        <v>8514</v>
      </c>
      <c r="AS423" t="s">
        <v>8515</v>
      </c>
      <c r="AT423" t="s">
        <v>8425</v>
      </c>
      <c r="AU423">
        <v>2013</v>
      </c>
      <c r="AV423">
        <v>45</v>
      </c>
      <c r="AW423">
        <v>4</v>
      </c>
      <c r="AX423" t="s">
        <v>74</v>
      </c>
      <c r="AY423" t="s">
        <v>74</v>
      </c>
      <c r="AZ423" t="s">
        <v>74</v>
      </c>
      <c r="BA423" t="s">
        <v>74</v>
      </c>
      <c r="BB423">
        <v>429</v>
      </c>
      <c r="BC423">
        <v>439</v>
      </c>
      <c r="BD423" t="s">
        <v>74</v>
      </c>
      <c r="BE423" t="s">
        <v>8516</v>
      </c>
      <c r="BF423" t="str">
        <f>HYPERLINK("http://dx.doi.org/10.1657/1938-4246-45.4.429","http://dx.doi.org/10.1657/1938-4246-45.4.429")</f>
        <v>http://dx.doi.org/10.1657/1938-4246-45.4.429</v>
      </c>
      <c r="BG423" t="s">
        <v>74</v>
      </c>
      <c r="BH423" t="s">
        <v>74</v>
      </c>
      <c r="BI423">
        <v>11</v>
      </c>
      <c r="BJ423" t="s">
        <v>8517</v>
      </c>
      <c r="BK423" t="s">
        <v>99</v>
      </c>
      <c r="BL423" t="s">
        <v>6955</v>
      </c>
      <c r="BM423" t="s">
        <v>8518</v>
      </c>
      <c r="BN423" t="s">
        <v>74</v>
      </c>
      <c r="BO423" t="s">
        <v>2362</v>
      </c>
      <c r="BP423" t="s">
        <v>74</v>
      </c>
      <c r="BQ423" t="s">
        <v>74</v>
      </c>
      <c r="BR423" t="s">
        <v>103</v>
      </c>
      <c r="BS423" t="s">
        <v>8519</v>
      </c>
      <c r="BT423" t="str">
        <f>HYPERLINK("https%3A%2F%2Fwww.webofscience.com%2Fwos%2Fwoscc%2Ffull-record%2FWOS:000329533400001","View Full Record in Web of Science")</f>
        <v>View Full Record in Web of Science</v>
      </c>
    </row>
    <row r="424" spans="1:72" x14ac:dyDescent="0.15">
      <c r="A424" t="s">
        <v>72</v>
      </c>
      <c r="B424" t="s">
        <v>8520</v>
      </c>
      <c r="C424" t="s">
        <v>74</v>
      </c>
      <c r="D424" t="s">
        <v>74</v>
      </c>
      <c r="E424" t="s">
        <v>74</v>
      </c>
      <c r="F424" t="s">
        <v>8521</v>
      </c>
      <c r="G424" t="s">
        <v>74</v>
      </c>
      <c r="H424" t="s">
        <v>74</v>
      </c>
      <c r="I424" t="s">
        <v>8522</v>
      </c>
      <c r="J424" t="s">
        <v>8500</v>
      </c>
      <c r="K424" t="s">
        <v>74</v>
      </c>
      <c r="L424" t="s">
        <v>74</v>
      </c>
      <c r="M424" t="s">
        <v>78</v>
      </c>
      <c r="N424" t="s">
        <v>79</v>
      </c>
      <c r="O424" t="s">
        <v>74</v>
      </c>
      <c r="P424" t="s">
        <v>74</v>
      </c>
      <c r="Q424" t="s">
        <v>74</v>
      </c>
      <c r="R424" t="s">
        <v>74</v>
      </c>
      <c r="S424" t="s">
        <v>74</v>
      </c>
      <c r="T424" t="s">
        <v>74</v>
      </c>
      <c r="U424" t="s">
        <v>8523</v>
      </c>
      <c r="V424" t="s">
        <v>8524</v>
      </c>
      <c r="W424" t="s">
        <v>8525</v>
      </c>
      <c r="X424" t="s">
        <v>8526</v>
      </c>
      <c r="Y424" t="s">
        <v>8527</v>
      </c>
      <c r="Z424" t="s">
        <v>8528</v>
      </c>
      <c r="AA424" t="s">
        <v>8529</v>
      </c>
      <c r="AB424" t="s">
        <v>8530</v>
      </c>
      <c r="AC424" t="s">
        <v>8531</v>
      </c>
      <c r="AD424" t="s">
        <v>8532</v>
      </c>
      <c r="AE424" t="s">
        <v>8533</v>
      </c>
      <c r="AF424" t="s">
        <v>74</v>
      </c>
      <c r="AG424">
        <v>77</v>
      </c>
      <c r="AH424">
        <v>13</v>
      </c>
      <c r="AI424">
        <v>16</v>
      </c>
      <c r="AJ424">
        <v>2</v>
      </c>
      <c r="AK424">
        <v>46</v>
      </c>
      <c r="AL424" t="s">
        <v>276</v>
      </c>
      <c r="AM424" t="s">
        <v>277</v>
      </c>
      <c r="AN424" t="s">
        <v>2752</v>
      </c>
      <c r="AO424" t="s">
        <v>8512</v>
      </c>
      <c r="AP424" t="s">
        <v>8513</v>
      </c>
      <c r="AQ424" t="s">
        <v>74</v>
      </c>
      <c r="AR424" t="s">
        <v>8514</v>
      </c>
      <c r="AS424" t="s">
        <v>8515</v>
      </c>
      <c r="AT424" t="s">
        <v>8425</v>
      </c>
      <c r="AU424">
        <v>2013</v>
      </c>
      <c r="AV424">
        <v>45</v>
      </c>
      <c r="AW424">
        <v>4</v>
      </c>
      <c r="AX424" t="s">
        <v>74</v>
      </c>
      <c r="AY424" t="s">
        <v>74</v>
      </c>
      <c r="AZ424" t="s">
        <v>74</v>
      </c>
      <c r="BA424" t="s">
        <v>74</v>
      </c>
      <c r="BB424">
        <v>471</v>
      </c>
      <c r="BC424">
        <v>480</v>
      </c>
      <c r="BD424" t="s">
        <v>74</v>
      </c>
      <c r="BE424" t="s">
        <v>8534</v>
      </c>
      <c r="BF424" t="str">
        <f>HYPERLINK("http://dx.doi.org/10.1657/1938-4246.45.4.471","http://dx.doi.org/10.1657/1938-4246.45.4.471")</f>
        <v>http://dx.doi.org/10.1657/1938-4246.45.4.471</v>
      </c>
      <c r="BG424" t="s">
        <v>74</v>
      </c>
      <c r="BH424" t="s">
        <v>74</v>
      </c>
      <c r="BI424">
        <v>10</v>
      </c>
      <c r="BJ424" t="s">
        <v>8517</v>
      </c>
      <c r="BK424" t="s">
        <v>99</v>
      </c>
      <c r="BL424" t="s">
        <v>6955</v>
      </c>
      <c r="BM424" t="s">
        <v>8518</v>
      </c>
      <c r="BN424" t="s">
        <v>74</v>
      </c>
      <c r="BO424" t="s">
        <v>2362</v>
      </c>
      <c r="BP424" t="s">
        <v>74</v>
      </c>
      <c r="BQ424" t="s">
        <v>74</v>
      </c>
      <c r="BR424" t="s">
        <v>103</v>
      </c>
      <c r="BS424" t="s">
        <v>8535</v>
      </c>
      <c r="BT424" t="str">
        <f>HYPERLINK("https%3A%2F%2Fwww.webofscience.com%2Fwos%2Fwoscc%2Ffull-record%2FWOS:000329533400004","View Full Record in Web of Science")</f>
        <v>View Full Record in Web of Science</v>
      </c>
    </row>
    <row r="425" spans="1:72" x14ac:dyDescent="0.15">
      <c r="A425" t="s">
        <v>72</v>
      </c>
      <c r="B425" t="s">
        <v>8536</v>
      </c>
      <c r="C425" t="s">
        <v>74</v>
      </c>
      <c r="D425" t="s">
        <v>74</v>
      </c>
      <c r="E425" t="s">
        <v>74</v>
      </c>
      <c r="F425" t="s">
        <v>8537</v>
      </c>
      <c r="G425" t="s">
        <v>74</v>
      </c>
      <c r="H425" t="s">
        <v>74</v>
      </c>
      <c r="I425" t="s">
        <v>8538</v>
      </c>
      <c r="J425" t="s">
        <v>8500</v>
      </c>
      <c r="K425" t="s">
        <v>74</v>
      </c>
      <c r="L425" t="s">
        <v>74</v>
      </c>
      <c r="M425" t="s">
        <v>78</v>
      </c>
      <c r="N425" t="s">
        <v>79</v>
      </c>
      <c r="O425" t="s">
        <v>74</v>
      </c>
      <c r="P425" t="s">
        <v>74</v>
      </c>
      <c r="Q425" t="s">
        <v>74</v>
      </c>
      <c r="R425" t="s">
        <v>74</v>
      </c>
      <c r="S425" t="s">
        <v>74</v>
      </c>
      <c r="T425" t="s">
        <v>74</v>
      </c>
      <c r="U425" t="s">
        <v>8539</v>
      </c>
      <c r="V425" t="s">
        <v>8540</v>
      </c>
      <c r="W425" t="s">
        <v>8541</v>
      </c>
      <c r="X425" t="s">
        <v>8542</v>
      </c>
      <c r="Y425" t="s">
        <v>8543</v>
      </c>
      <c r="Z425" t="s">
        <v>8544</v>
      </c>
      <c r="AA425" t="s">
        <v>8545</v>
      </c>
      <c r="AB425" t="s">
        <v>8546</v>
      </c>
      <c r="AC425" t="s">
        <v>74</v>
      </c>
      <c r="AD425" t="s">
        <v>74</v>
      </c>
      <c r="AE425" t="s">
        <v>74</v>
      </c>
      <c r="AF425" t="s">
        <v>74</v>
      </c>
      <c r="AG425">
        <v>36</v>
      </c>
      <c r="AH425">
        <v>24</v>
      </c>
      <c r="AI425">
        <v>25</v>
      </c>
      <c r="AJ425">
        <v>0</v>
      </c>
      <c r="AK425">
        <v>28</v>
      </c>
      <c r="AL425" t="s">
        <v>276</v>
      </c>
      <c r="AM425" t="s">
        <v>277</v>
      </c>
      <c r="AN425" t="s">
        <v>2752</v>
      </c>
      <c r="AO425" t="s">
        <v>8512</v>
      </c>
      <c r="AP425" t="s">
        <v>8513</v>
      </c>
      <c r="AQ425" t="s">
        <v>74</v>
      </c>
      <c r="AR425" t="s">
        <v>8514</v>
      </c>
      <c r="AS425" t="s">
        <v>8515</v>
      </c>
      <c r="AT425" t="s">
        <v>8425</v>
      </c>
      <c r="AU425">
        <v>2013</v>
      </c>
      <c r="AV425">
        <v>45</v>
      </c>
      <c r="AW425">
        <v>4</v>
      </c>
      <c r="AX425" t="s">
        <v>74</v>
      </c>
      <c r="AY425" t="s">
        <v>74</v>
      </c>
      <c r="AZ425" t="s">
        <v>74</v>
      </c>
      <c r="BA425" t="s">
        <v>74</v>
      </c>
      <c r="BB425">
        <v>481</v>
      </c>
      <c r="BC425">
        <v>490</v>
      </c>
      <c r="BD425" t="s">
        <v>74</v>
      </c>
      <c r="BE425" t="s">
        <v>8547</v>
      </c>
      <c r="BF425" t="str">
        <f>HYPERLINK("http://dx.doi.org/10.1657/1938-4246-45.4.481","http://dx.doi.org/10.1657/1938-4246-45.4.481")</f>
        <v>http://dx.doi.org/10.1657/1938-4246-45.4.481</v>
      </c>
      <c r="BG425" t="s">
        <v>74</v>
      </c>
      <c r="BH425" t="s">
        <v>74</v>
      </c>
      <c r="BI425">
        <v>10</v>
      </c>
      <c r="BJ425" t="s">
        <v>8517</v>
      </c>
      <c r="BK425" t="s">
        <v>99</v>
      </c>
      <c r="BL425" t="s">
        <v>6955</v>
      </c>
      <c r="BM425" t="s">
        <v>8518</v>
      </c>
      <c r="BN425" t="s">
        <v>74</v>
      </c>
      <c r="BO425" t="s">
        <v>1145</v>
      </c>
      <c r="BP425" t="s">
        <v>74</v>
      </c>
      <c r="BQ425" t="s">
        <v>74</v>
      </c>
      <c r="BR425" t="s">
        <v>103</v>
      </c>
      <c r="BS425" t="s">
        <v>8548</v>
      </c>
      <c r="BT425" t="str">
        <f>HYPERLINK("https%3A%2F%2Fwww.webofscience.com%2Fwos%2Fwoscc%2Ffull-record%2FWOS:000329533400005","View Full Record in Web of Science")</f>
        <v>View Full Record in Web of Science</v>
      </c>
    </row>
    <row r="426" spans="1:72" x14ac:dyDescent="0.15">
      <c r="A426" t="s">
        <v>72</v>
      </c>
      <c r="B426" t="s">
        <v>8549</v>
      </c>
      <c r="C426" t="s">
        <v>74</v>
      </c>
      <c r="D426" t="s">
        <v>74</v>
      </c>
      <c r="E426" t="s">
        <v>74</v>
      </c>
      <c r="F426" t="s">
        <v>8550</v>
      </c>
      <c r="G426" t="s">
        <v>74</v>
      </c>
      <c r="H426" t="s">
        <v>74</v>
      </c>
      <c r="I426" t="s">
        <v>8551</v>
      </c>
      <c r="J426" t="s">
        <v>8500</v>
      </c>
      <c r="K426" t="s">
        <v>74</v>
      </c>
      <c r="L426" t="s">
        <v>74</v>
      </c>
      <c r="M426" t="s">
        <v>78</v>
      </c>
      <c r="N426" t="s">
        <v>79</v>
      </c>
      <c r="O426" t="s">
        <v>74</v>
      </c>
      <c r="P426" t="s">
        <v>74</v>
      </c>
      <c r="Q426" t="s">
        <v>74</v>
      </c>
      <c r="R426" t="s">
        <v>74</v>
      </c>
      <c r="S426" t="s">
        <v>74</v>
      </c>
      <c r="T426" t="s">
        <v>74</v>
      </c>
      <c r="U426" t="s">
        <v>8552</v>
      </c>
      <c r="V426" t="s">
        <v>8553</v>
      </c>
      <c r="W426" t="s">
        <v>8554</v>
      </c>
      <c r="X426" t="s">
        <v>8555</v>
      </c>
      <c r="Y426" t="s">
        <v>8556</v>
      </c>
      <c r="Z426" t="s">
        <v>8557</v>
      </c>
      <c r="AA426" t="s">
        <v>8558</v>
      </c>
      <c r="AB426" t="s">
        <v>8559</v>
      </c>
      <c r="AC426" t="s">
        <v>8560</v>
      </c>
      <c r="AD426" t="s">
        <v>8561</v>
      </c>
      <c r="AE426" t="s">
        <v>8562</v>
      </c>
      <c r="AF426" t="s">
        <v>74</v>
      </c>
      <c r="AG426">
        <v>37</v>
      </c>
      <c r="AH426">
        <v>26</v>
      </c>
      <c r="AI426">
        <v>29</v>
      </c>
      <c r="AJ426">
        <v>6</v>
      </c>
      <c r="AK426">
        <v>61</v>
      </c>
      <c r="AL426" t="s">
        <v>276</v>
      </c>
      <c r="AM426" t="s">
        <v>277</v>
      </c>
      <c r="AN426" t="s">
        <v>2752</v>
      </c>
      <c r="AO426" t="s">
        <v>8512</v>
      </c>
      <c r="AP426" t="s">
        <v>8513</v>
      </c>
      <c r="AQ426" t="s">
        <v>74</v>
      </c>
      <c r="AR426" t="s">
        <v>8514</v>
      </c>
      <c r="AS426" t="s">
        <v>8515</v>
      </c>
      <c r="AT426" t="s">
        <v>8425</v>
      </c>
      <c r="AU426">
        <v>2013</v>
      </c>
      <c r="AV426">
        <v>45</v>
      </c>
      <c r="AW426">
        <v>4</v>
      </c>
      <c r="AX426" t="s">
        <v>74</v>
      </c>
      <c r="AY426" t="s">
        <v>74</v>
      </c>
      <c r="AZ426" t="s">
        <v>74</v>
      </c>
      <c r="BA426" t="s">
        <v>74</v>
      </c>
      <c r="BB426">
        <v>491</v>
      </c>
      <c r="BC426">
        <v>499</v>
      </c>
      <c r="BD426" t="s">
        <v>74</v>
      </c>
      <c r="BE426" t="s">
        <v>8563</v>
      </c>
      <c r="BF426" t="str">
        <f>HYPERLINK("http://dx.doi.org/10.1657/1938-4246-45.4.491","http://dx.doi.org/10.1657/1938-4246-45.4.491")</f>
        <v>http://dx.doi.org/10.1657/1938-4246-45.4.491</v>
      </c>
      <c r="BG426" t="s">
        <v>74</v>
      </c>
      <c r="BH426" t="s">
        <v>74</v>
      </c>
      <c r="BI426">
        <v>9</v>
      </c>
      <c r="BJ426" t="s">
        <v>8517</v>
      </c>
      <c r="BK426" t="s">
        <v>99</v>
      </c>
      <c r="BL426" t="s">
        <v>6955</v>
      </c>
      <c r="BM426" t="s">
        <v>8518</v>
      </c>
      <c r="BN426" t="s">
        <v>74</v>
      </c>
      <c r="BO426" t="s">
        <v>74</v>
      </c>
      <c r="BP426" t="s">
        <v>74</v>
      </c>
      <c r="BQ426" t="s">
        <v>74</v>
      </c>
      <c r="BR426" t="s">
        <v>103</v>
      </c>
      <c r="BS426" t="s">
        <v>8564</v>
      </c>
      <c r="BT426" t="str">
        <f>HYPERLINK("https%3A%2F%2Fwww.webofscience.com%2Fwos%2Fwoscc%2Ffull-record%2FWOS:000329533400006","View Full Record in Web of Science")</f>
        <v>View Full Record in Web of Science</v>
      </c>
    </row>
    <row r="427" spans="1:72" x14ac:dyDescent="0.15">
      <c r="A427" t="s">
        <v>72</v>
      </c>
      <c r="B427" t="s">
        <v>8565</v>
      </c>
      <c r="C427" t="s">
        <v>74</v>
      </c>
      <c r="D427" t="s">
        <v>74</v>
      </c>
      <c r="E427" t="s">
        <v>74</v>
      </c>
      <c r="F427" t="s">
        <v>8566</v>
      </c>
      <c r="G427" t="s">
        <v>74</v>
      </c>
      <c r="H427" t="s">
        <v>74</v>
      </c>
      <c r="I427" t="s">
        <v>8567</v>
      </c>
      <c r="J427" t="s">
        <v>8500</v>
      </c>
      <c r="K427" t="s">
        <v>74</v>
      </c>
      <c r="L427" t="s">
        <v>74</v>
      </c>
      <c r="M427" t="s">
        <v>78</v>
      </c>
      <c r="N427" t="s">
        <v>79</v>
      </c>
      <c r="O427" t="s">
        <v>74</v>
      </c>
      <c r="P427" t="s">
        <v>74</v>
      </c>
      <c r="Q427" t="s">
        <v>74</v>
      </c>
      <c r="R427" t="s">
        <v>74</v>
      </c>
      <c r="S427" t="s">
        <v>74</v>
      </c>
      <c r="T427" t="s">
        <v>74</v>
      </c>
      <c r="U427" t="s">
        <v>8568</v>
      </c>
      <c r="V427" t="s">
        <v>8569</v>
      </c>
      <c r="W427" t="s">
        <v>8570</v>
      </c>
      <c r="X427" t="s">
        <v>8571</v>
      </c>
      <c r="Y427" t="s">
        <v>8572</v>
      </c>
      <c r="Z427" t="s">
        <v>8573</v>
      </c>
      <c r="AA427" t="s">
        <v>8574</v>
      </c>
      <c r="AB427" t="s">
        <v>8575</v>
      </c>
      <c r="AC427" t="s">
        <v>74</v>
      </c>
      <c r="AD427" t="s">
        <v>74</v>
      </c>
      <c r="AE427" t="s">
        <v>74</v>
      </c>
      <c r="AF427" t="s">
        <v>74</v>
      </c>
      <c r="AG427">
        <v>38</v>
      </c>
      <c r="AH427">
        <v>14</v>
      </c>
      <c r="AI427">
        <v>19</v>
      </c>
      <c r="AJ427">
        <v>1</v>
      </c>
      <c r="AK427">
        <v>40</v>
      </c>
      <c r="AL427" t="s">
        <v>276</v>
      </c>
      <c r="AM427" t="s">
        <v>277</v>
      </c>
      <c r="AN427" t="s">
        <v>2752</v>
      </c>
      <c r="AO427" t="s">
        <v>8512</v>
      </c>
      <c r="AP427" t="s">
        <v>8513</v>
      </c>
      <c r="AQ427" t="s">
        <v>74</v>
      </c>
      <c r="AR427" t="s">
        <v>8514</v>
      </c>
      <c r="AS427" t="s">
        <v>8515</v>
      </c>
      <c r="AT427" t="s">
        <v>8425</v>
      </c>
      <c r="AU427">
        <v>2013</v>
      </c>
      <c r="AV427">
        <v>45</v>
      </c>
      <c r="AW427">
        <v>4</v>
      </c>
      <c r="AX427" t="s">
        <v>74</v>
      </c>
      <c r="AY427" t="s">
        <v>74</v>
      </c>
      <c r="AZ427" t="s">
        <v>74</v>
      </c>
      <c r="BA427" t="s">
        <v>74</v>
      </c>
      <c r="BB427">
        <v>515</v>
      </c>
      <c r="BC427">
        <v>525</v>
      </c>
      <c r="BD427" t="s">
        <v>74</v>
      </c>
      <c r="BE427" t="s">
        <v>8576</v>
      </c>
      <c r="BF427" t="str">
        <f>HYPERLINK("http://dx.doi.org/10.1657/1938-4246-45.4.515","http://dx.doi.org/10.1657/1938-4246-45.4.515")</f>
        <v>http://dx.doi.org/10.1657/1938-4246-45.4.515</v>
      </c>
      <c r="BG427" t="s">
        <v>74</v>
      </c>
      <c r="BH427" t="s">
        <v>74</v>
      </c>
      <c r="BI427">
        <v>11</v>
      </c>
      <c r="BJ427" t="s">
        <v>8517</v>
      </c>
      <c r="BK427" t="s">
        <v>99</v>
      </c>
      <c r="BL427" t="s">
        <v>6955</v>
      </c>
      <c r="BM427" t="s">
        <v>8518</v>
      </c>
      <c r="BN427" t="s">
        <v>74</v>
      </c>
      <c r="BO427" t="s">
        <v>1733</v>
      </c>
      <c r="BP427" t="s">
        <v>74</v>
      </c>
      <c r="BQ427" t="s">
        <v>74</v>
      </c>
      <c r="BR427" t="s">
        <v>103</v>
      </c>
      <c r="BS427" t="s">
        <v>8577</v>
      </c>
      <c r="BT427" t="str">
        <f>HYPERLINK("https%3A%2F%2Fwww.webofscience.com%2Fwos%2Fwoscc%2Ffull-record%2FWOS:000329533400008","View Full Record in Web of Science")</f>
        <v>View Full Record in Web of Science</v>
      </c>
    </row>
    <row r="428" spans="1:72" x14ac:dyDescent="0.15">
      <c r="A428" t="s">
        <v>72</v>
      </c>
      <c r="B428" t="s">
        <v>8578</v>
      </c>
      <c r="C428" t="s">
        <v>74</v>
      </c>
      <c r="D428" t="s">
        <v>74</v>
      </c>
      <c r="E428" t="s">
        <v>74</v>
      </c>
      <c r="F428" t="s">
        <v>8579</v>
      </c>
      <c r="G428" t="s">
        <v>74</v>
      </c>
      <c r="H428" t="s">
        <v>74</v>
      </c>
      <c r="I428" t="s">
        <v>8580</v>
      </c>
      <c r="J428" t="s">
        <v>8500</v>
      </c>
      <c r="K428" t="s">
        <v>74</v>
      </c>
      <c r="L428" t="s">
        <v>74</v>
      </c>
      <c r="M428" t="s">
        <v>78</v>
      </c>
      <c r="N428" t="s">
        <v>79</v>
      </c>
      <c r="O428" t="s">
        <v>74</v>
      </c>
      <c r="P428" t="s">
        <v>74</v>
      </c>
      <c r="Q428" t="s">
        <v>74</v>
      </c>
      <c r="R428" t="s">
        <v>74</v>
      </c>
      <c r="S428" t="s">
        <v>74</v>
      </c>
      <c r="T428" t="s">
        <v>74</v>
      </c>
      <c r="U428" t="s">
        <v>8581</v>
      </c>
      <c r="V428" t="s">
        <v>8582</v>
      </c>
      <c r="W428" t="s">
        <v>8583</v>
      </c>
      <c r="X428" t="s">
        <v>8584</v>
      </c>
      <c r="Y428" t="s">
        <v>8585</v>
      </c>
      <c r="Z428" t="s">
        <v>8586</v>
      </c>
      <c r="AA428" t="s">
        <v>8587</v>
      </c>
      <c r="AB428" t="s">
        <v>74</v>
      </c>
      <c r="AC428" t="s">
        <v>8588</v>
      </c>
      <c r="AD428" t="s">
        <v>8589</v>
      </c>
      <c r="AE428" t="s">
        <v>8590</v>
      </c>
      <c r="AF428" t="s">
        <v>74</v>
      </c>
      <c r="AG428">
        <v>46</v>
      </c>
      <c r="AH428">
        <v>5</v>
      </c>
      <c r="AI428">
        <v>5</v>
      </c>
      <c r="AJ428">
        <v>0</v>
      </c>
      <c r="AK428">
        <v>27</v>
      </c>
      <c r="AL428" t="s">
        <v>276</v>
      </c>
      <c r="AM428" t="s">
        <v>277</v>
      </c>
      <c r="AN428" t="s">
        <v>2752</v>
      </c>
      <c r="AO428" t="s">
        <v>8512</v>
      </c>
      <c r="AP428" t="s">
        <v>8513</v>
      </c>
      <c r="AQ428" t="s">
        <v>74</v>
      </c>
      <c r="AR428" t="s">
        <v>8514</v>
      </c>
      <c r="AS428" t="s">
        <v>8515</v>
      </c>
      <c r="AT428" t="s">
        <v>8425</v>
      </c>
      <c r="AU428">
        <v>2013</v>
      </c>
      <c r="AV428">
        <v>45</v>
      </c>
      <c r="AW428">
        <v>4</v>
      </c>
      <c r="AX428" t="s">
        <v>74</v>
      </c>
      <c r="AY428" t="s">
        <v>74</v>
      </c>
      <c r="AZ428" t="s">
        <v>74</v>
      </c>
      <c r="BA428" t="s">
        <v>74</v>
      </c>
      <c r="BB428">
        <v>552</v>
      </c>
      <c r="BC428">
        <v>562</v>
      </c>
      <c r="BD428" t="s">
        <v>74</v>
      </c>
      <c r="BE428" t="s">
        <v>8591</v>
      </c>
      <c r="BF428" t="str">
        <f>HYPERLINK("http://dx.doi.org/10.1657/1938-4246-45.4.552","http://dx.doi.org/10.1657/1938-4246-45.4.552")</f>
        <v>http://dx.doi.org/10.1657/1938-4246-45.4.552</v>
      </c>
      <c r="BG428" t="s">
        <v>74</v>
      </c>
      <c r="BH428" t="s">
        <v>74</v>
      </c>
      <c r="BI428">
        <v>11</v>
      </c>
      <c r="BJ428" t="s">
        <v>8517</v>
      </c>
      <c r="BK428" t="s">
        <v>99</v>
      </c>
      <c r="BL428" t="s">
        <v>6955</v>
      </c>
      <c r="BM428" t="s">
        <v>8518</v>
      </c>
      <c r="BN428" t="s">
        <v>74</v>
      </c>
      <c r="BO428" t="s">
        <v>1648</v>
      </c>
      <c r="BP428" t="s">
        <v>74</v>
      </c>
      <c r="BQ428" t="s">
        <v>74</v>
      </c>
      <c r="BR428" t="s">
        <v>103</v>
      </c>
      <c r="BS428" t="s">
        <v>8592</v>
      </c>
      <c r="BT428" t="str">
        <f>HYPERLINK("https%3A%2F%2Fwww.webofscience.com%2Fwos%2Fwoscc%2Ffull-record%2FWOS:000329533400011","View Full Record in Web of Science")</f>
        <v>View Full Record in Web of Science</v>
      </c>
    </row>
    <row r="429" spans="1:72" x14ac:dyDescent="0.15">
      <c r="A429" t="s">
        <v>72</v>
      </c>
      <c r="B429" t="s">
        <v>8593</v>
      </c>
      <c r="C429" t="s">
        <v>74</v>
      </c>
      <c r="D429" t="s">
        <v>74</v>
      </c>
      <c r="E429" t="s">
        <v>74</v>
      </c>
      <c r="F429" t="s">
        <v>8594</v>
      </c>
      <c r="G429" t="s">
        <v>74</v>
      </c>
      <c r="H429" t="s">
        <v>74</v>
      </c>
      <c r="I429" t="s">
        <v>8595</v>
      </c>
      <c r="J429" t="s">
        <v>8500</v>
      </c>
      <c r="K429" t="s">
        <v>74</v>
      </c>
      <c r="L429" t="s">
        <v>74</v>
      </c>
      <c r="M429" t="s">
        <v>78</v>
      </c>
      <c r="N429" t="s">
        <v>79</v>
      </c>
      <c r="O429" t="s">
        <v>74</v>
      </c>
      <c r="P429" t="s">
        <v>74</v>
      </c>
      <c r="Q429" t="s">
        <v>74</v>
      </c>
      <c r="R429" t="s">
        <v>74</v>
      </c>
      <c r="S429" t="s">
        <v>74</v>
      </c>
      <c r="T429" t="s">
        <v>74</v>
      </c>
      <c r="U429" t="s">
        <v>8596</v>
      </c>
      <c r="V429" t="s">
        <v>8597</v>
      </c>
      <c r="W429" t="s">
        <v>8598</v>
      </c>
      <c r="X429" t="s">
        <v>8599</v>
      </c>
      <c r="Y429" t="s">
        <v>8600</v>
      </c>
      <c r="Z429" t="s">
        <v>8601</v>
      </c>
      <c r="AA429" t="s">
        <v>74</v>
      </c>
      <c r="AB429" t="s">
        <v>74</v>
      </c>
      <c r="AC429" t="s">
        <v>8602</v>
      </c>
      <c r="AD429" t="s">
        <v>8603</v>
      </c>
      <c r="AE429" t="s">
        <v>8604</v>
      </c>
      <c r="AF429" t="s">
        <v>74</v>
      </c>
      <c r="AG429">
        <v>45</v>
      </c>
      <c r="AH429">
        <v>28</v>
      </c>
      <c r="AI429">
        <v>34</v>
      </c>
      <c r="AJ429">
        <v>2</v>
      </c>
      <c r="AK429">
        <v>58</v>
      </c>
      <c r="AL429" t="s">
        <v>276</v>
      </c>
      <c r="AM429" t="s">
        <v>277</v>
      </c>
      <c r="AN429" t="s">
        <v>2752</v>
      </c>
      <c r="AO429" t="s">
        <v>8512</v>
      </c>
      <c r="AP429" t="s">
        <v>8513</v>
      </c>
      <c r="AQ429" t="s">
        <v>74</v>
      </c>
      <c r="AR429" t="s">
        <v>8514</v>
      </c>
      <c r="AS429" t="s">
        <v>8515</v>
      </c>
      <c r="AT429" t="s">
        <v>8425</v>
      </c>
      <c r="AU429">
        <v>2013</v>
      </c>
      <c r="AV429">
        <v>45</v>
      </c>
      <c r="AW429">
        <v>4</v>
      </c>
      <c r="AX429" t="s">
        <v>74</v>
      </c>
      <c r="AY429" t="s">
        <v>74</v>
      </c>
      <c r="AZ429" t="s">
        <v>74</v>
      </c>
      <c r="BA429" t="s">
        <v>74</v>
      </c>
      <c r="BB429">
        <v>575</v>
      </c>
      <c r="BC429">
        <v>583</v>
      </c>
      <c r="BD429" t="s">
        <v>74</v>
      </c>
      <c r="BE429" t="s">
        <v>8605</v>
      </c>
      <c r="BF429" t="str">
        <f>HYPERLINK("http://dx.doi.org/10.1657/1938-4246.45.4.575","http://dx.doi.org/10.1657/1938-4246.45.4.575")</f>
        <v>http://dx.doi.org/10.1657/1938-4246.45.4.575</v>
      </c>
      <c r="BG429" t="s">
        <v>74</v>
      </c>
      <c r="BH429" t="s">
        <v>74</v>
      </c>
      <c r="BI429">
        <v>9</v>
      </c>
      <c r="BJ429" t="s">
        <v>8517</v>
      </c>
      <c r="BK429" t="s">
        <v>99</v>
      </c>
      <c r="BL429" t="s">
        <v>6955</v>
      </c>
      <c r="BM429" t="s">
        <v>8518</v>
      </c>
      <c r="BN429" t="s">
        <v>74</v>
      </c>
      <c r="BO429" t="s">
        <v>1733</v>
      </c>
      <c r="BP429" t="s">
        <v>74</v>
      </c>
      <c r="BQ429" t="s">
        <v>74</v>
      </c>
      <c r="BR429" t="s">
        <v>103</v>
      </c>
      <c r="BS429" t="s">
        <v>8606</v>
      </c>
      <c r="BT429" t="str">
        <f>HYPERLINK("https%3A%2F%2Fwww.webofscience.com%2Fwos%2Fwoscc%2Ffull-record%2FWOS:000329533400013","View Full Record in Web of Science")</f>
        <v>View Full Record in Web of Science</v>
      </c>
    </row>
    <row r="430" spans="1:72" x14ac:dyDescent="0.15">
      <c r="A430" t="s">
        <v>72</v>
      </c>
      <c r="B430" t="s">
        <v>8607</v>
      </c>
      <c r="C430" t="s">
        <v>74</v>
      </c>
      <c r="D430" t="s">
        <v>74</v>
      </c>
      <c r="E430" t="s">
        <v>74</v>
      </c>
      <c r="F430" t="s">
        <v>8608</v>
      </c>
      <c r="G430" t="s">
        <v>74</v>
      </c>
      <c r="H430" t="s">
        <v>74</v>
      </c>
      <c r="I430" t="s">
        <v>8609</v>
      </c>
      <c r="J430" t="s">
        <v>8500</v>
      </c>
      <c r="K430" t="s">
        <v>74</v>
      </c>
      <c r="L430" t="s">
        <v>74</v>
      </c>
      <c r="M430" t="s">
        <v>78</v>
      </c>
      <c r="N430" t="s">
        <v>79</v>
      </c>
      <c r="O430" t="s">
        <v>74</v>
      </c>
      <c r="P430" t="s">
        <v>74</v>
      </c>
      <c r="Q430" t="s">
        <v>74</v>
      </c>
      <c r="R430" t="s">
        <v>74</v>
      </c>
      <c r="S430" t="s">
        <v>74</v>
      </c>
      <c r="T430" t="s">
        <v>74</v>
      </c>
      <c r="U430" t="s">
        <v>8610</v>
      </c>
      <c r="V430" t="s">
        <v>8611</v>
      </c>
      <c r="W430" t="s">
        <v>8612</v>
      </c>
      <c r="X430" t="s">
        <v>8613</v>
      </c>
      <c r="Y430" t="s">
        <v>8614</v>
      </c>
      <c r="Z430" t="s">
        <v>8615</v>
      </c>
      <c r="AA430" t="s">
        <v>8616</v>
      </c>
      <c r="AB430" t="s">
        <v>8617</v>
      </c>
      <c r="AC430" t="s">
        <v>8618</v>
      </c>
      <c r="AD430" t="s">
        <v>8619</v>
      </c>
      <c r="AE430" t="s">
        <v>8620</v>
      </c>
      <c r="AF430" t="s">
        <v>74</v>
      </c>
      <c r="AG430">
        <v>48</v>
      </c>
      <c r="AH430">
        <v>25</v>
      </c>
      <c r="AI430">
        <v>27</v>
      </c>
      <c r="AJ430">
        <v>0</v>
      </c>
      <c r="AK430">
        <v>56</v>
      </c>
      <c r="AL430" t="s">
        <v>276</v>
      </c>
      <c r="AM430" t="s">
        <v>277</v>
      </c>
      <c r="AN430" t="s">
        <v>2752</v>
      </c>
      <c r="AO430" t="s">
        <v>8512</v>
      </c>
      <c r="AP430" t="s">
        <v>8513</v>
      </c>
      <c r="AQ430" t="s">
        <v>74</v>
      </c>
      <c r="AR430" t="s">
        <v>8514</v>
      </c>
      <c r="AS430" t="s">
        <v>8515</v>
      </c>
      <c r="AT430" t="s">
        <v>8425</v>
      </c>
      <c r="AU430">
        <v>2013</v>
      </c>
      <c r="AV430">
        <v>45</v>
      </c>
      <c r="AW430">
        <v>4</v>
      </c>
      <c r="AX430" t="s">
        <v>74</v>
      </c>
      <c r="AY430" t="s">
        <v>74</v>
      </c>
      <c r="AZ430" t="s">
        <v>74</v>
      </c>
      <c r="BA430" t="s">
        <v>74</v>
      </c>
      <c r="BB430">
        <v>584</v>
      </c>
      <c r="BC430">
        <v>593</v>
      </c>
      <c r="BD430" t="s">
        <v>74</v>
      </c>
      <c r="BE430" t="s">
        <v>8621</v>
      </c>
      <c r="BF430" t="str">
        <f>HYPERLINK("http://dx.doi.org/10.1657/1938-4246-45.4.584","http://dx.doi.org/10.1657/1938-4246-45.4.584")</f>
        <v>http://dx.doi.org/10.1657/1938-4246-45.4.584</v>
      </c>
      <c r="BG430" t="s">
        <v>74</v>
      </c>
      <c r="BH430" t="s">
        <v>74</v>
      </c>
      <c r="BI430">
        <v>10</v>
      </c>
      <c r="BJ430" t="s">
        <v>8517</v>
      </c>
      <c r="BK430" t="s">
        <v>99</v>
      </c>
      <c r="BL430" t="s">
        <v>6955</v>
      </c>
      <c r="BM430" t="s">
        <v>8518</v>
      </c>
      <c r="BN430" t="s">
        <v>74</v>
      </c>
      <c r="BO430" t="s">
        <v>8622</v>
      </c>
      <c r="BP430" t="s">
        <v>74</v>
      </c>
      <c r="BQ430" t="s">
        <v>74</v>
      </c>
      <c r="BR430" t="s">
        <v>103</v>
      </c>
      <c r="BS430" t="s">
        <v>8623</v>
      </c>
      <c r="BT430" t="str">
        <f>HYPERLINK("https%3A%2F%2Fwww.webofscience.com%2Fwos%2Fwoscc%2Ffull-record%2FWOS:000329533400014","View Full Record in Web of Science")</f>
        <v>View Full Record in Web of Science</v>
      </c>
    </row>
    <row r="431" spans="1:72" x14ac:dyDescent="0.15">
      <c r="A431" t="s">
        <v>72</v>
      </c>
      <c r="B431" t="s">
        <v>8624</v>
      </c>
      <c r="C431" t="s">
        <v>74</v>
      </c>
      <c r="D431" t="s">
        <v>74</v>
      </c>
      <c r="E431" t="s">
        <v>74</v>
      </c>
      <c r="F431" t="s">
        <v>8625</v>
      </c>
      <c r="G431" t="s">
        <v>74</v>
      </c>
      <c r="H431" t="s">
        <v>74</v>
      </c>
      <c r="I431" t="s">
        <v>8626</v>
      </c>
      <c r="J431" t="s">
        <v>8500</v>
      </c>
      <c r="K431" t="s">
        <v>74</v>
      </c>
      <c r="L431" t="s">
        <v>74</v>
      </c>
      <c r="M431" t="s">
        <v>78</v>
      </c>
      <c r="N431" t="s">
        <v>79</v>
      </c>
      <c r="O431" t="s">
        <v>74</v>
      </c>
      <c r="P431" t="s">
        <v>74</v>
      </c>
      <c r="Q431" t="s">
        <v>74</v>
      </c>
      <c r="R431" t="s">
        <v>74</v>
      </c>
      <c r="S431" t="s">
        <v>74</v>
      </c>
      <c r="T431" t="s">
        <v>74</v>
      </c>
      <c r="U431" t="s">
        <v>8627</v>
      </c>
      <c r="V431" t="s">
        <v>8628</v>
      </c>
      <c r="W431" t="s">
        <v>8629</v>
      </c>
      <c r="X431" t="s">
        <v>8630</v>
      </c>
      <c r="Y431" t="s">
        <v>8631</v>
      </c>
      <c r="Z431" t="s">
        <v>8632</v>
      </c>
      <c r="AA431" t="s">
        <v>8633</v>
      </c>
      <c r="AB431" t="s">
        <v>8634</v>
      </c>
      <c r="AC431" t="s">
        <v>8635</v>
      </c>
      <c r="AD431" t="s">
        <v>8636</v>
      </c>
      <c r="AE431" t="s">
        <v>8637</v>
      </c>
      <c r="AF431" t="s">
        <v>74</v>
      </c>
      <c r="AG431">
        <v>84</v>
      </c>
      <c r="AH431">
        <v>33</v>
      </c>
      <c r="AI431">
        <v>35</v>
      </c>
      <c r="AJ431">
        <v>2</v>
      </c>
      <c r="AK431">
        <v>33</v>
      </c>
      <c r="AL431" t="s">
        <v>276</v>
      </c>
      <c r="AM431" t="s">
        <v>277</v>
      </c>
      <c r="AN431" t="s">
        <v>2752</v>
      </c>
      <c r="AO431" t="s">
        <v>8512</v>
      </c>
      <c r="AP431" t="s">
        <v>8513</v>
      </c>
      <c r="AQ431" t="s">
        <v>74</v>
      </c>
      <c r="AR431" t="s">
        <v>8514</v>
      </c>
      <c r="AS431" t="s">
        <v>8515</v>
      </c>
      <c r="AT431" t="s">
        <v>8425</v>
      </c>
      <c r="AU431">
        <v>2013</v>
      </c>
      <c r="AV431">
        <v>45</v>
      </c>
      <c r="AW431">
        <v>4</v>
      </c>
      <c r="AX431" t="s">
        <v>74</v>
      </c>
      <c r="AY431" t="s">
        <v>74</v>
      </c>
      <c r="AZ431" t="s">
        <v>74</v>
      </c>
      <c r="BA431" t="s">
        <v>74</v>
      </c>
      <c r="BB431">
        <v>594</v>
      </c>
      <c r="BC431">
        <v>614</v>
      </c>
      <c r="BD431" t="s">
        <v>74</v>
      </c>
      <c r="BE431" t="s">
        <v>8638</v>
      </c>
      <c r="BF431" t="str">
        <f>HYPERLINK("http://dx.doi.org/10.1657/1938-4246-45.4.594","http://dx.doi.org/10.1657/1938-4246-45.4.594")</f>
        <v>http://dx.doi.org/10.1657/1938-4246-45.4.594</v>
      </c>
      <c r="BG431" t="s">
        <v>74</v>
      </c>
      <c r="BH431" t="s">
        <v>74</v>
      </c>
      <c r="BI431">
        <v>21</v>
      </c>
      <c r="BJ431" t="s">
        <v>8517</v>
      </c>
      <c r="BK431" t="s">
        <v>99</v>
      </c>
      <c r="BL431" t="s">
        <v>6955</v>
      </c>
      <c r="BM431" t="s">
        <v>8518</v>
      </c>
      <c r="BN431" t="s">
        <v>74</v>
      </c>
      <c r="BO431" t="s">
        <v>1381</v>
      </c>
      <c r="BP431" t="s">
        <v>74</v>
      </c>
      <c r="BQ431" t="s">
        <v>74</v>
      </c>
      <c r="BR431" t="s">
        <v>103</v>
      </c>
      <c r="BS431" t="s">
        <v>8639</v>
      </c>
      <c r="BT431" t="str">
        <f>HYPERLINK("https%3A%2F%2Fwww.webofscience.com%2Fwos%2Fwoscc%2Ffull-record%2FWOS:000329533400015","View Full Record in Web of Science")</f>
        <v>View Full Record in Web of Science</v>
      </c>
    </row>
    <row r="432" spans="1:72" x14ac:dyDescent="0.15">
      <c r="A432" t="s">
        <v>72</v>
      </c>
      <c r="B432" t="s">
        <v>8640</v>
      </c>
      <c r="C432" t="s">
        <v>74</v>
      </c>
      <c r="D432" t="s">
        <v>74</v>
      </c>
      <c r="E432" t="s">
        <v>74</v>
      </c>
      <c r="F432" t="s">
        <v>8641</v>
      </c>
      <c r="G432" t="s">
        <v>74</v>
      </c>
      <c r="H432" t="s">
        <v>74</v>
      </c>
      <c r="I432" t="s">
        <v>8642</v>
      </c>
      <c r="J432" t="s">
        <v>8643</v>
      </c>
      <c r="K432" t="s">
        <v>74</v>
      </c>
      <c r="L432" t="s">
        <v>74</v>
      </c>
      <c r="M432" t="s">
        <v>78</v>
      </c>
      <c r="N432" t="s">
        <v>79</v>
      </c>
      <c r="O432" t="s">
        <v>74</v>
      </c>
      <c r="P432" t="s">
        <v>74</v>
      </c>
      <c r="Q432" t="s">
        <v>74</v>
      </c>
      <c r="R432" t="s">
        <v>74</v>
      </c>
      <c r="S432" t="s">
        <v>74</v>
      </c>
      <c r="T432" t="s">
        <v>8644</v>
      </c>
      <c r="U432" t="s">
        <v>8645</v>
      </c>
      <c r="V432" t="s">
        <v>8646</v>
      </c>
      <c r="W432" t="s">
        <v>8647</v>
      </c>
      <c r="X432" t="s">
        <v>8648</v>
      </c>
      <c r="Y432" t="s">
        <v>8649</v>
      </c>
      <c r="Z432" t="s">
        <v>8650</v>
      </c>
      <c r="AA432" t="s">
        <v>8651</v>
      </c>
      <c r="AB432" t="s">
        <v>8652</v>
      </c>
      <c r="AC432" t="s">
        <v>8653</v>
      </c>
      <c r="AD432" t="s">
        <v>8654</v>
      </c>
      <c r="AE432" t="s">
        <v>8655</v>
      </c>
      <c r="AF432" t="s">
        <v>74</v>
      </c>
      <c r="AG432">
        <v>56</v>
      </c>
      <c r="AH432">
        <v>23</v>
      </c>
      <c r="AI432">
        <v>24</v>
      </c>
      <c r="AJ432">
        <v>0</v>
      </c>
      <c r="AK432">
        <v>3</v>
      </c>
      <c r="AL432" t="s">
        <v>872</v>
      </c>
      <c r="AM432" t="s">
        <v>252</v>
      </c>
      <c r="AN432" t="s">
        <v>873</v>
      </c>
      <c r="AO432" t="s">
        <v>8656</v>
      </c>
      <c r="AP432" t="s">
        <v>74</v>
      </c>
      <c r="AQ432" t="s">
        <v>74</v>
      </c>
      <c r="AR432" t="s">
        <v>8657</v>
      </c>
      <c r="AS432" t="s">
        <v>8658</v>
      </c>
      <c r="AT432" t="s">
        <v>8425</v>
      </c>
      <c r="AU432">
        <v>2013</v>
      </c>
      <c r="AV432">
        <v>47</v>
      </c>
      <c r="AW432" t="s">
        <v>74</v>
      </c>
      <c r="AX432" t="s">
        <v>74</v>
      </c>
      <c r="AY432" t="s">
        <v>74</v>
      </c>
      <c r="AZ432" t="s">
        <v>74</v>
      </c>
      <c r="BA432" t="s">
        <v>74</v>
      </c>
      <c r="BB432">
        <v>220</v>
      </c>
      <c r="BC432">
        <v>229</v>
      </c>
      <c r="BD432" t="s">
        <v>74</v>
      </c>
      <c r="BE432" t="s">
        <v>8659</v>
      </c>
      <c r="BF432" t="str">
        <f>HYPERLINK("http://dx.doi.org/10.1016/j.jsames.2013.08.004","http://dx.doi.org/10.1016/j.jsames.2013.08.004")</f>
        <v>http://dx.doi.org/10.1016/j.jsames.2013.08.004</v>
      </c>
      <c r="BG432" t="s">
        <v>74</v>
      </c>
      <c r="BH432" t="s">
        <v>74</v>
      </c>
      <c r="BI432">
        <v>10</v>
      </c>
      <c r="BJ432" t="s">
        <v>337</v>
      </c>
      <c r="BK432" t="s">
        <v>99</v>
      </c>
      <c r="BL432" t="s">
        <v>338</v>
      </c>
      <c r="BM432" t="s">
        <v>8660</v>
      </c>
      <c r="BN432" t="s">
        <v>74</v>
      </c>
      <c r="BO432" t="s">
        <v>4419</v>
      </c>
      <c r="BP432" t="s">
        <v>74</v>
      </c>
      <c r="BQ432" t="s">
        <v>74</v>
      </c>
      <c r="BR432" t="s">
        <v>103</v>
      </c>
      <c r="BS432" t="s">
        <v>8661</v>
      </c>
      <c r="BT432" t="str">
        <f>HYPERLINK("https%3A%2F%2Fwww.webofscience.com%2Fwos%2Fwoscc%2Ffull-record%2FWOS:000326212600017","View Full Record in Web of Science")</f>
        <v>View Full Record in Web of Science</v>
      </c>
    </row>
    <row r="433" spans="1:72" x14ac:dyDescent="0.15">
      <c r="A433" t="s">
        <v>72</v>
      </c>
      <c r="B433" t="s">
        <v>8662</v>
      </c>
      <c r="C433" t="s">
        <v>74</v>
      </c>
      <c r="D433" t="s">
        <v>74</v>
      </c>
      <c r="E433" t="s">
        <v>74</v>
      </c>
      <c r="F433" t="s">
        <v>8663</v>
      </c>
      <c r="G433" t="s">
        <v>74</v>
      </c>
      <c r="H433" t="s">
        <v>74</v>
      </c>
      <c r="I433" t="s">
        <v>8664</v>
      </c>
      <c r="J433" t="s">
        <v>8665</v>
      </c>
      <c r="K433" t="s">
        <v>74</v>
      </c>
      <c r="L433" t="s">
        <v>74</v>
      </c>
      <c r="M433" t="s">
        <v>78</v>
      </c>
      <c r="N433" t="s">
        <v>79</v>
      </c>
      <c r="O433" t="s">
        <v>74</v>
      </c>
      <c r="P433" t="s">
        <v>74</v>
      </c>
      <c r="Q433" t="s">
        <v>74</v>
      </c>
      <c r="R433" t="s">
        <v>74</v>
      </c>
      <c r="S433" t="s">
        <v>74</v>
      </c>
      <c r="T433" t="s">
        <v>8666</v>
      </c>
      <c r="U433" t="s">
        <v>8667</v>
      </c>
      <c r="V433" t="s">
        <v>8668</v>
      </c>
      <c r="W433" t="s">
        <v>8669</v>
      </c>
      <c r="X433" t="s">
        <v>8670</v>
      </c>
      <c r="Y433" t="s">
        <v>8671</v>
      </c>
      <c r="Z433" t="s">
        <v>8672</v>
      </c>
      <c r="AA433" t="s">
        <v>8673</v>
      </c>
      <c r="AB433" t="s">
        <v>8674</v>
      </c>
      <c r="AC433" t="s">
        <v>8675</v>
      </c>
      <c r="AD433" t="s">
        <v>8676</v>
      </c>
      <c r="AE433" t="s">
        <v>8677</v>
      </c>
      <c r="AF433" t="s">
        <v>74</v>
      </c>
      <c r="AG433">
        <v>30</v>
      </c>
      <c r="AH433">
        <v>13</v>
      </c>
      <c r="AI433">
        <v>13</v>
      </c>
      <c r="AJ433">
        <v>0</v>
      </c>
      <c r="AK433">
        <v>8</v>
      </c>
      <c r="AL433" t="s">
        <v>276</v>
      </c>
      <c r="AM433" t="s">
        <v>277</v>
      </c>
      <c r="AN433" t="s">
        <v>2752</v>
      </c>
      <c r="AO433" t="s">
        <v>8678</v>
      </c>
      <c r="AP433" t="s">
        <v>8679</v>
      </c>
      <c r="AQ433" t="s">
        <v>74</v>
      </c>
      <c r="AR433" t="s">
        <v>8680</v>
      </c>
      <c r="AS433" t="s">
        <v>8681</v>
      </c>
      <c r="AT433" t="s">
        <v>8493</v>
      </c>
      <c r="AU433">
        <v>2013</v>
      </c>
      <c r="AV433">
        <v>48</v>
      </c>
      <c r="AW433">
        <v>4</v>
      </c>
      <c r="AX433" t="s">
        <v>74</v>
      </c>
      <c r="AY433" t="s">
        <v>74</v>
      </c>
      <c r="AZ433" t="s">
        <v>74</v>
      </c>
      <c r="BA433" t="s">
        <v>74</v>
      </c>
      <c r="BB433">
        <v>398</v>
      </c>
      <c r="BC433">
        <v>410</v>
      </c>
      <c r="BD433" t="s">
        <v>74</v>
      </c>
      <c r="BE433" t="s">
        <v>8682</v>
      </c>
      <c r="BF433" t="str">
        <f>HYPERLINK("http://dx.doi.org/10.1080/09670262.2013.849359","http://dx.doi.org/10.1080/09670262.2013.849359")</f>
        <v>http://dx.doi.org/10.1080/09670262.2013.849359</v>
      </c>
      <c r="BG433" t="s">
        <v>74</v>
      </c>
      <c r="BH433" t="s">
        <v>74</v>
      </c>
      <c r="BI433">
        <v>13</v>
      </c>
      <c r="BJ433" t="s">
        <v>3161</v>
      </c>
      <c r="BK433" t="s">
        <v>99</v>
      </c>
      <c r="BL433" t="s">
        <v>3161</v>
      </c>
      <c r="BM433" t="s">
        <v>8683</v>
      </c>
      <c r="BN433" t="s">
        <v>74</v>
      </c>
      <c r="BO433" t="s">
        <v>74</v>
      </c>
      <c r="BP433" t="s">
        <v>74</v>
      </c>
      <c r="BQ433" t="s">
        <v>74</v>
      </c>
      <c r="BR433" t="s">
        <v>103</v>
      </c>
      <c r="BS433" t="s">
        <v>8684</v>
      </c>
      <c r="BT433" t="str">
        <f>HYPERLINK("https%3A%2F%2Fwww.webofscience.com%2Fwos%2Fwoscc%2Ffull-record%2FWOS:000328318100005","View Full Record in Web of Science")</f>
        <v>View Full Record in Web of Science</v>
      </c>
    </row>
    <row r="434" spans="1:72" x14ac:dyDescent="0.15">
      <c r="A434" t="s">
        <v>72</v>
      </c>
      <c r="B434" t="s">
        <v>8685</v>
      </c>
      <c r="C434" t="s">
        <v>74</v>
      </c>
      <c r="D434" t="s">
        <v>74</v>
      </c>
      <c r="E434" t="s">
        <v>74</v>
      </c>
      <c r="F434" t="s">
        <v>8686</v>
      </c>
      <c r="G434" t="s">
        <v>74</v>
      </c>
      <c r="H434" t="s">
        <v>74</v>
      </c>
      <c r="I434" t="s">
        <v>8687</v>
      </c>
      <c r="J434" t="s">
        <v>5459</v>
      </c>
      <c r="K434" t="s">
        <v>74</v>
      </c>
      <c r="L434" t="s">
        <v>74</v>
      </c>
      <c r="M434" t="s">
        <v>78</v>
      </c>
      <c r="N434" t="s">
        <v>79</v>
      </c>
      <c r="O434" t="s">
        <v>74</v>
      </c>
      <c r="P434" t="s">
        <v>74</v>
      </c>
      <c r="Q434" t="s">
        <v>74</v>
      </c>
      <c r="R434" t="s">
        <v>74</v>
      </c>
      <c r="S434" t="s">
        <v>74</v>
      </c>
      <c r="T434" t="s">
        <v>8688</v>
      </c>
      <c r="U434" t="s">
        <v>8689</v>
      </c>
      <c r="V434" t="s">
        <v>8690</v>
      </c>
      <c r="W434" t="s">
        <v>8691</v>
      </c>
      <c r="X434" t="s">
        <v>8692</v>
      </c>
      <c r="Y434" t="s">
        <v>8693</v>
      </c>
      <c r="Z434" t="s">
        <v>8694</v>
      </c>
      <c r="AA434" t="s">
        <v>8695</v>
      </c>
      <c r="AB434" t="s">
        <v>8696</v>
      </c>
      <c r="AC434" t="s">
        <v>74</v>
      </c>
      <c r="AD434" t="s">
        <v>74</v>
      </c>
      <c r="AE434" t="s">
        <v>74</v>
      </c>
      <c r="AF434" t="s">
        <v>74</v>
      </c>
      <c r="AG434">
        <v>22</v>
      </c>
      <c r="AH434">
        <v>8</v>
      </c>
      <c r="AI434">
        <v>8</v>
      </c>
      <c r="AJ434">
        <v>0</v>
      </c>
      <c r="AK434">
        <v>16</v>
      </c>
      <c r="AL434" t="s">
        <v>304</v>
      </c>
      <c r="AM434" t="s">
        <v>305</v>
      </c>
      <c r="AN434" t="s">
        <v>306</v>
      </c>
      <c r="AO434" t="s">
        <v>5471</v>
      </c>
      <c r="AP434" t="s">
        <v>5472</v>
      </c>
      <c r="AQ434" t="s">
        <v>74</v>
      </c>
      <c r="AR434" t="s">
        <v>5473</v>
      </c>
      <c r="AS434" t="s">
        <v>5474</v>
      </c>
      <c r="AT434" t="s">
        <v>8425</v>
      </c>
      <c r="AU434">
        <v>2013</v>
      </c>
      <c r="AV434">
        <v>110</v>
      </c>
      <c r="AW434" t="s">
        <v>74</v>
      </c>
      <c r="AX434" t="s">
        <v>881</v>
      </c>
      <c r="AY434" t="s">
        <v>74</v>
      </c>
      <c r="AZ434" t="s">
        <v>283</v>
      </c>
      <c r="BA434" t="s">
        <v>74</v>
      </c>
      <c r="BB434">
        <v>414</v>
      </c>
      <c r="BC434">
        <v>419</v>
      </c>
      <c r="BD434" t="s">
        <v>74</v>
      </c>
      <c r="BE434" t="s">
        <v>8697</v>
      </c>
      <c r="BF434" t="str">
        <f>HYPERLINK("http://dx.doi.org/10.1016/j.gloplacha.2013.05.003","http://dx.doi.org/10.1016/j.gloplacha.2013.05.003")</f>
        <v>http://dx.doi.org/10.1016/j.gloplacha.2013.05.003</v>
      </c>
      <c r="BG434" t="s">
        <v>74</v>
      </c>
      <c r="BH434" t="s">
        <v>74</v>
      </c>
      <c r="BI434">
        <v>6</v>
      </c>
      <c r="BJ434" t="s">
        <v>98</v>
      </c>
      <c r="BK434" t="s">
        <v>99</v>
      </c>
      <c r="BL434" t="s">
        <v>100</v>
      </c>
      <c r="BM434" t="s">
        <v>8698</v>
      </c>
      <c r="BN434" t="s">
        <v>74</v>
      </c>
      <c r="BO434" t="s">
        <v>74</v>
      </c>
      <c r="BP434" t="s">
        <v>74</v>
      </c>
      <c r="BQ434" t="s">
        <v>74</v>
      </c>
      <c r="BR434" t="s">
        <v>103</v>
      </c>
      <c r="BS434" t="s">
        <v>8699</v>
      </c>
      <c r="BT434" t="str">
        <f>HYPERLINK("https%3A%2F%2Fwww.webofscience.com%2Fwos%2Fwoscc%2Ffull-record%2FWOS:000329333400014","View Full Record in Web of Science")</f>
        <v>View Full Record in Web of Science</v>
      </c>
    </row>
    <row r="435" spans="1:72" x14ac:dyDescent="0.15">
      <c r="A435" t="s">
        <v>72</v>
      </c>
      <c r="B435" t="s">
        <v>8700</v>
      </c>
      <c r="C435" t="s">
        <v>74</v>
      </c>
      <c r="D435" t="s">
        <v>74</v>
      </c>
      <c r="E435" t="s">
        <v>74</v>
      </c>
      <c r="F435" t="s">
        <v>8701</v>
      </c>
      <c r="G435" t="s">
        <v>74</v>
      </c>
      <c r="H435" t="s">
        <v>74</v>
      </c>
      <c r="I435" t="s">
        <v>8702</v>
      </c>
      <c r="J435" t="s">
        <v>5459</v>
      </c>
      <c r="K435" t="s">
        <v>74</v>
      </c>
      <c r="L435" t="s">
        <v>74</v>
      </c>
      <c r="M435" t="s">
        <v>78</v>
      </c>
      <c r="N435" t="s">
        <v>79</v>
      </c>
      <c r="O435" t="s">
        <v>74</v>
      </c>
      <c r="P435" t="s">
        <v>74</v>
      </c>
      <c r="Q435" t="s">
        <v>74</v>
      </c>
      <c r="R435" t="s">
        <v>74</v>
      </c>
      <c r="S435" t="s">
        <v>74</v>
      </c>
      <c r="T435" t="s">
        <v>8703</v>
      </c>
      <c r="U435" t="s">
        <v>8704</v>
      </c>
      <c r="V435" t="s">
        <v>8705</v>
      </c>
      <c r="W435" t="s">
        <v>8706</v>
      </c>
      <c r="X435" t="s">
        <v>8707</v>
      </c>
      <c r="Y435" t="s">
        <v>8708</v>
      </c>
      <c r="Z435" t="s">
        <v>8709</v>
      </c>
      <c r="AA435" t="s">
        <v>8710</v>
      </c>
      <c r="AB435" t="s">
        <v>8711</v>
      </c>
      <c r="AC435" t="s">
        <v>8712</v>
      </c>
      <c r="AD435" t="s">
        <v>8713</v>
      </c>
      <c r="AE435" t="s">
        <v>8714</v>
      </c>
      <c r="AF435" t="s">
        <v>74</v>
      </c>
      <c r="AG435">
        <v>39</v>
      </c>
      <c r="AH435">
        <v>11</v>
      </c>
      <c r="AI435">
        <v>11</v>
      </c>
      <c r="AJ435">
        <v>0</v>
      </c>
      <c r="AK435">
        <v>25</v>
      </c>
      <c r="AL435" t="s">
        <v>304</v>
      </c>
      <c r="AM435" t="s">
        <v>305</v>
      </c>
      <c r="AN435" t="s">
        <v>306</v>
      </c>
      <c r="AO435" t="s">
        <v>5471</v>
      </c>
      <c r="AP435" t="s">
        <v>5472</v>
      </c>
      <c r="AQ435" t="s">
        <v>74</v>
      </c>
      <c r="AR435" t="s">
        <v>5473</v>
      </c>
      <c r="AS435" t="s">
        <v>5474</v>
      </c>
      <c r="AT435" t="s">
        <v>8425</v>
      </c>
      <c r="AU435">
        <v>2013</v>
      </c>
      <c r="AV435">
        <v>110</v>
      </c>
      <c r="AW435" t="s">
        <v>74</v>
      </c>
      <c r="AX435" t="s">
        <v>881</v>
      </c>
      <c r="AY435" t="s">
        <v>74</v>
      </c>
      <c r="AZ435" t="s">
        <v>283</v>
      </c>
      <c r="BA435" t="s">
        <v>74</v>
      </c>
      <c r="BB435">
        <v>420</v>
      </c>
      <c r="BC435">
        <v>433</v>
      </c>
      <c r="BD435" t="s">
        <v>74</v>
      </c>
      <c r="BE435" t="s">
        <v>8715</v>
      </c>
      <c r="BF435" t="str">
        <f>HYPERLINK("http://dx.doi.org/10.1016/j.gloplacha.2013.09.015","http://dx.doi.org/10.1016/j.gloplacha.2013.09.015")</f>
        <v>http://dx.doi.org/10.1016/j.gloplacha.2013.09.015</v>
      </c>
      <c r="BG435" t="s">
        <v>74</v>
      </c>
      <c r="BH435" t="s">
        <v>74</v>
      </c>
      <c r="BI435">
        <v>14</v>
      </c>
      <c r="BJ435" t="s">
        <v>98</v>
      </c>
      <c r="BK435" t="s">
        <v>99</v>
      </c>
      <c r="BL435" t="s">
        <v>100</v>
      </c>
      <c r="BM435" t="s">
        <v>8698</v>
      </c>
      <c r="BN435" t="s">
        <v>74</v>
      </c>
      <c r="BO435" t="s">
        <v>74</v>
      </c>
      <c r="BP435" t="s">
        <v>74</v>
      </c>
      <c r="BQ435" t="s">
        <v>74</v>
      </c>
      <c r="BR435" t="s">
        <v>103</v>
      </c>
      <c r="BS435" t="s">
        <v>8716</v>
      </c>
      <c r="BT435" t="str">
        <f>HYPERLINK("https%3A%2F%2Fwww.webofscience.com%2Fwos%2Fwoscc%2Ffull-record%2FWOS:000329333400015","View Full Record in Web of Science")</f>
        <v>View Full Record in Web of Science</v>
      </c>
    </row>
    <row r="436" spans="1:72" x14ac:dyDescent="0.15">
      <c r="A436" t="s">
        <v>72</v>
      </c>
      <c r="B436" t="s">
        <v>8717</v>
      </c>
      <c r="C436" t="s">
        <v>74</v>
      </c>
      <c r="D436" t="s">
        <v>74</v>
      </c>
      <c r="E436" t="s">
        <v>74</v>
      </c>
      <c r="F436" t="s">
        <v>8718</v>
      </c>
      <c r="G436" t="s">
        <v>74</v>
      </c>
      <c r="H436" t="s">
        <v>74</v>
      </c>
      <c r="I436" t="s">
        <v>8719</v>
      </c>
      <c r="J436" t="s">
        <v>5459</v>
      </c>
      <c r="K436" t="s">
        <v>74</v>
      </c>
      <c r="L436" t="s">
        <v>74</v>
      </c>
      <c r="M436" t="s">
        <v>78</v>
      </c>
      <c r="N436" t="s">
        <v>79</v>
      </c>
      <c r="O436" t="s">
        <v>74</v>
      </c>
      <c r="P436" t="s">
        <v>74</v>
      </c>
      <c r="Q436" t="s">
        <v>74</v>
      </c>
      <c r="R436" t="s">
        <v>74</v>
      </c>
      <c r="S436" t="s">
        <v>74</v>
      </c>
      <c r="T436" t="s">
        <v>8720</v>
      </c>
      <c r="U436" t="s">
        <v>8721</v>
      </c>
      <c r="V436" t="s">
        <v>8722</v>
      </c>
      <c r="W436" t="s">
        <v>8723</v>
      </c>
      <c r="X436" t="s">
        <v>8724</v>
      </c>
      <c r="Y436" t="s">
        <v>8725</v>
      </c>
      <c r="Z436" t="s">
        <v>8726</v>
      </c>
      <c r="AA436" t="s">
        <v>8727</v>
      </c>
      <c r="AB436" t="s">
        <v>8728</v>
      </c>
      <c r="AC436" t="s">
        <v>8729</v>
      </c>
      <c r="AD436" t="s">
        <v>8730</v>
      </c>
      <c r="AE436" t="s">
        <v>8731</v>
      </c>
      <c r="AF436" t="s">
        <v>74</v>
      </c>
      <c r="AG436">
        <v>97</v>
      </c>
      <c r="AH436">
        <v>17</v>
      </c>
      <c r="AI436">
        <v>18</v>
      </c>
      <c r="AJ436">
        <v>4</v>
      </c>
      <c r="AK436">
        <v>37</v>
      </c>
      <c r="AL436" t="s">
        <v>304</v>
      </c>
      <c r="AM436" t="s">
        <v>305</v>
      </c>
      <c r="AN436" t="s">
        <v>306</v>
      </c>
      <c r="AO436" t="s">
        <v>5471</v>
      </c>
      <c r="AP436" t="s">
        <v>5472</v>
      </c>
      <c r="AQ436" t="s">
        <v>74</v>
      </c>
      <c r="AR436" t="s">
        <v>5473</v>
      </c>
      <c r="AS436" t="s">
        <v>5474</v>
      </c>
      <c r="AT436" t="s">
        <v>8425</v>
      </c>
      <c r="AU436">
        <v>2013</v>
      </c>
      <c r="AV436">
        <v>110</v>
      </c>
      <c r="AW436" t="s">
        <v>74</v>
      </c>
      <c r="AX436" t="s">
        <v>881</v>
      </c>
      <c r="AY436" t="s">
        <v>74</v>
      </c>
      <c r="AZ436" t="s">
        <v>283</v>
      </c>
      <c r="BA436" t="s">
        <v>74</v>
      </c>
      <c r="BB436">
        <v>434</v>
      </c>
      <c r="BC436">
        <v>454</v>
      </c>
      <c r="BD436" t="s">
        <v>74</v>
      </c>
      <c r="BE436" t="s">
        <v>8732</v>
      </c>
      <c r="BF436" t="str">
        <f>HYPERLINK("http://dx.doi.org/10.1016/j.gloplacha.2013.05.004","http://dx.doi.org/10.1016/j.gloplacha.2013.05.004")</f>
        <v>http://dx.doi.org/10.1016/j.gloplacha.2013.05.004</v>
      </c>
      <c r="BG436" t="s">
        <v>74</v>
      </c>
      <c r="BH436" t="s">
        <v>74</v>
      </c>
      <c r="BI436">
        <v>21</v>
      </c>
      <c r="BJ436" t="s">
        <v>98</v>
      </c>
      <c r="BK436" t="s">
        <v>99</v>
      </c>
      <c r="BL436" t="s">
        <v>100</v>
      </c>
      <c r="BM436" t="s">
        <v>8698</v>
      </c>
      <c r="BN436" t="s">
        <v>74</v>
      </c>
      <c r="BO436" t="s">
        <v>74</v>
      </c>
      <c r="BP436" t="s">
        <v>74</v>
      </c>
      <c r="BQ436" t="s">
        <v>74</v>
      </c>
      <c r="BR436" t="s">
        <v>103</v>
      </c>
      <c r="BS436" t="s">
        <v>8733</v>
      </c>
      <c r="BT436" t="str">
        <f>HYPERLINK("https%3A%2F%2Fwww.webofscience.com%2Fwos%2Fwoscc%2Ffull-record%2FWOS:000329333400016","View Full Record in Web of Science")</f>
        <v>View Full Record in Web of Science</v>
      </c>
    </row>
    <row r="437" spans="1:72" x14ac:dyDescent="0.15">
      <c r="A437" t="s">
        <v>72</v>
      </c>
      <c r="B437" t="s">
        <v>8734</v>
      </c>
      <c r="C437" t="s">
        <v>74</v>
      </c>
      <c r="D437" t="s">
        <v>74</v>
      </c>
      <c r="E437" t="s">
        <v>74</v>
      </c>
      <c r="F437" t="s">
        <v>8735</v>
      </c>
      <c r="G437" t="s">
        <v>74</v>
      </c>
      <c r="H437" t="s">
        <v>74</v>
      </c>
      <c r="I437" t="s">
        <v>8736</v>
      </c>
      <c r="J437" t="s">
        <v>8737</v>
      </c>
      <c r="K437" t="s">
        <v>74</v>
      </c>
      <c r="L437" t="s">
        <v>74</v>
      </c>
      <c r="M437" t="s">
        <v>78</v>
      </c>
      <c r="N437" t="s">
        <v>79</v>
      </c>
      <c r="O437" t="s">
        <v>74</v>
      </c>
      <c r="P437" t="s">
        <v>74</v>
      </c>
      <c r="Q437" t="s">
        <v>74</v>
      </c>
      <c r="R437" t="s">
        <v>74</v>
      </c>
      <c r="S437" t="s">
        <v>74</v>
      </c>
      <c r="T437" t="s">
        <v>74</v>
      </c>
      <c r="U437" t="s">
        <v>8738</v>
      </c>
      <c r="V437" t="s">
        <v>8739</v>
      </c>
      <c r="W437" t="s">
        <v>8740</v>
      </c>
      <c r="X437" t="s">
        <v>8741</v>
      </c>
      <c r="Y437" t="s">
        <v>8742</v>
      </c>
      <c r="Z437" t="s">
        <v>8743</v>
      </c>
      <c r="AA437" t="s">
        <v>8744</v>
      </c>
      <c r="AB437" t="s">
        <v>8745</v>
      </c>
      <c r="AC437" t="s">
        <v>74</v>
      </c>
      <c r="AD437" t="s">
        <v>74</v>
      </c>
      <c r="AE437" t="s">
        <v>74</v>
      </c>
      <c r="AF437" t="s">
        <v>74</v>
      </c>
      <c r="AG437">
        <v>17</v>
      </c>
      <c r="AH437">
        <v>8</v>
      </c>
      <c r="AI437">
        <v>8</v>
      </c>
      <c r="AJ437">
        <v>0</v>
      </c>
      <c r="AK437">
        <v>4</v>
      </c>
      <c r="AL437" t="s">
        <v>920</v>
      </c>
      <c r="AM437" t="s">
        <v>921</v>
      </c>
      <c r="AN437" t="s">
        <v>922</v>
      </c>
      <c r="AO437" t="s">
        <v>8746</v>
      </c>
      <c r="AP437" t="s">
        <v>8747</v>
      </c>
      <c r="AQ437" t="s">
        <v>74</v>
      </c>
      <c r="AR437" t="s">
        <v>8748</v>
      </c>
      <c r="AS437" t="s">
        <v>8749</v>
      </c>
      <c r="AT437" t="s">
        <v>8425</v>
      </c>
      <c r="AU437">
        <v>2013</v>
      </c>
      <c r="AV437">
        <v>53</v>
      </c>
      <c r="AW437">
        <v>6</v>
      </c>
      <c r="AX437" t="s">
        <v>74</v>
      </c>
      <c r="AY437" t="s">
        <v>74</v>
      </c>
      <c r="AZ437" t="s">
        <v>74</v>
      </c>
      <c r="BA437" t="s">
        <v>74</v>
      </c>
      <c r="BB437">
        <v>655</v>
      </c>
      <c r="BC437">
        <v>667</v>
      </c>
      <c r="BD437" t="s">
        <v>74</v>
      </c>
      <c r="BE437" t="s">
        <v>8750</v>
      </c>
      <c r="BF437" t="str">
        <f>HYPERLINK("http://dx.doi.org/10.1134/S0001437013050147","http://dx.doi.org/10.1134/S0001437013050147")</f>
        <v>http://dx.doi.org/10.1134/S0001437013050147</v>
      </c>
      <c r="BG437" t="s">
        <v>74</v>
      </c>
      <c r="BH437" t="s">
        <v>74</v>
      </c>
      <c r="BI437">
        <v>13</v>
      </c>
      <c r="BJ437" t="s">
        <v>1613</v>
      </c>
      <c r="BK437" t="s">
        <v>99</v>
      </c>
      <c r="BL437" t="s">
        <v>1613</v>
      </c>
      <c r="BM437" t="s">
        <v>8751</v>
      </c>
      <c r="BN437" t="s">
        <v>74</v>
      </c>
      <c r="BO437" t="s">
        <v>74</v>
      </c>
      <c r="BP437" t="s">
        <v>74</v>
      </c>
      <c r="BQ437" t="s">
        <v>74</v>
      </c>
      <c r="BR437" t="s">
        <v>103</v>
      </c>
      <c r="BS437" t="s">
        <v>8752</v>
      </c>
      <c r="BT437" t="str">
        <f>HYPERLINK("https%3A%2F%2Fwww.webofscience.com%2Fwos%2Fwoscc%2Ffull-record%2FWOS:000328851000002","View Full Record in Web of Science")</f>
        <v>View Full Record in Web of Science</v>
      </c>
    </row>
    <row r="438" spans="1:72" x14ac:dyDescent="0.15">
      <c r="A438" t="s">
        <v>72</v>
      </c>
      <c r="B438" t="s">
        <v>8753</v>
      </c>
      <c r="C438" t="s">
        <v>74</v>
      </c>
      <c r="D438" t="s">
        <v>74</v>
      </c>
      <c r="E438" t="s">
        <v>74</v>
      </c>
      <c r="F438" t="s">
        <v>8754</v>
      </c>
      <c r="G438" t="s">
        <v>74</v>
      </c>
      <c r="H438" t="s">
        <v>74</v>
      </c>
      <c r="I438" t="s">
        <v>8755</v>
      </c>
      <c r="J438" t="s">
        <v>8756</v>
      </c>
      <c r="K438" t="s">
        <v>74</v>
      </c>
      <c r="L438" t="s">
        <v>74</v>
      </c>
      <c r="M438" t="s">
        <v>78</v>
      </c>
      <c r="N438" t="s">
        <v>79</v>
      </c>
      <c r="O438" t="s">
        <v>74</v>
      </c>
      <c r="P438" t="s">
        <v>74</v>
      </c>
      <c r="Q438" t="s">
        <v>74</v>
      </c>
      <c r="R438" t="s">
        <v>74</v>
      </c>
      <c r="S438" t="s">
        <v>74</v>
      </c>
      <c r="T438" t="s">
        <v>74</v>
      </c>
      <c r="U438" t="s">
        <v>8757</v>
      </c>
      <c r="V438" t="s">
        <v>8758</v>
      </c>
      <c r="W438" t="s">
        <v>8759</v>
      </c>
      <c r="X438" t="s">
        <v>8760</v>
      </c>
      <c r="Y438" t="s">
        <v>8761</v>
      </c>
      <c r="Z438" t="s">
        <v>8762</v>
      </c>
      <c r="AA438" t="s">
        <v>8763</v>
      </c>
      <c r="AB438" t="s">
        <v>8764</v>
      </c>
      <c r="AC438" t="s">
        <v>8765</v>
      </c>
      <c r="AD438" t="s">
        <v>8766</v>
      </c>
      <c r="AE438" t="s">
        <v>8767</v>
      </c>
      <c r="AF438" t="s">
        <v>74</v>
      </c>
      <c r="AG438">
        <v>32</v>
      </c>
      <c r="AH438">
        <v>29</v>
      </c>
      <c r="AI438">
        <v>31</v>
      </c>
      <c r="AJ438">
        <v>1</v>
      </c>
      <c r="AK438">
        <v>9</v>
      </c>
      <c r="AL438" t="s">
        <v>624</v>
      </c>
      <c r="AM438" t="s">
        <v>411</v>
      </c>
      <c r="AN438" t="s">
        <v>412</v>
      </c>
      <c r="AO438" t="s">
        <v>8768</v>
      </c>
      <c r="AP438" t="s">
        <v>8769</v>
      </c>
      <c r="AQ438" t="s">
        <v>74</v>
      </c>
      <c r="AR438" t="s">
        <v>8770</v>
      </c>
      <c r="AS438" t="s">
        <v>8771</v>
      </c>
      <c r="AT438" t="s">
        <v>8425</v>
      </c>
      <c r="AU438">
        <v>2013</v>
      </c>
      <c r="AV438">
        <v>25</v>
      </c>
      <c r="AW438">
        <v>6</v>
      </c>
      <c r="AX438" t="s">
        <v>74</v>
      </c>
      <c r="AY438" t="s">
        <v>74</v>
      </c>
      <c r="AZ438" t="s">
        <v>74</v>
      </c>
      <c r="BA438" t="s">
        <v>74</v>
      </c>
      <c r="BB438">
        <v>814</v>
      </c>
      <c r="BC438">
        <v>820</v>
      </c>
      <c r="BD438" t="s">
        <v>74</v>
      </c>
      <c r="BE438" t="s">
        <v>8772</v>
      </c>
      <c r="BF438" t="str">
        <f>HYPERLINK("http://dx.doi.org/10.1002/ajhb.22457","http://dx.doi.org/10.1002/ajhb.22457")</f>
        <v>http://dx.doi.org/10.1002/ajhb.22457</v>
      </c>
      <c r="BG438" t="s">
        <v>74</v>
      </c>
      <c r="BH438" t="s">
        <v>74</v>
      </c>
      <c r="BI438">
        <v>7</v>
      </c>
      <c r="BJ438" t="s">
        <v>8773</v>
      </c>
      <c r="BK438" t="s">
        <v>3932</v>
      </c>
      <c r="BL438" t="s">
        <v>8774</v>
      </c>
      <c r="BM438" t="s">
        <v>8775</v>
      </c>
      <c r="BN438">
        <v>24130122</v>
      </c>
      <c r="BO438" t="s">
        <v>74</v>
      </c>
      <c r="BP438" t="s">
        <v>74</v>
      </c>
      <c r="BQ438" t="s">
        <v>74</v>
      </c>
      <c r="BR438" t="s">
        <v>103</v>
      </c>
      <c r="BS438" t="s">
        <v>8776</v>
      </c>
      <c r="BT438" t="str">
        <f>HYPERLINK("https%3A%2F%2Fwww.webofscience.com%2Fwos%2Fwoscc%2Ffull-record%2FWOS:000328566000010","View Full Record in Web of Science")</f>
        <v>View Full Record in Web of Science</v>
      </c>
    </row>
    <row r="439" spans="1:72" x14ac:dyDescent="0.15">
      <c r="A439" t="s">
        <v>72</v>
      </c>
      <c r="B439" t="s">
        <v>8777</v>
      </c>
      <c r="C439" t="s">
        <v>74</v>
      </c>
      <c r="D439" t="s">
        <v>74</v>
      </c>
      <c r="E439" t="s">
        <v>74</v>
      </c>
      <c r="F439" t="s">
        <v>8778</v>
      </c>
      <c r="G439" t="s">
        <v>74</v>
      </c>
      <c r="H439" t="s">
        <v>74</v>
      </c>
      <c r="I439" t="s">
        <v>8779</v>
      </c>
      <c r="J439" t="s">
        <v>8780</v>
      </c>
      <c r="K439" t="s">
        <v>74</v>
      </c>
      <c r="L439" t="s">
        <v>74</v>
      </c>
      <c r="M439" t="s">
        <v>78</v>
      </c>
      <c r="N439" t="s">
        <v>79</v>
      </c>
      <c r="O439" t="s">
        <v>74</v>
      </c>
      <c r="P439" t="s">
        <v>74</v>
      </c>
      <c r="Q439" t="s">
        <v>74</v>
      </c>
      <c r="R439" t="s">
        <v>74</v>
      </c>
      <c r="S439" t="s">
        <v>74</v>
      </c>
      <c r="T439" t="s">
        <v>74</v>
      </c>
      <c r="U439" t="s">
        <v>8781</v>
      </c>
      <c r="V439" t="s">
        <v>8782</v>
      </c>
      <c r="W439" t="s">
        <v>8783</v>
      </c>
      <c r="X439" t="s">
        <v>8784</v>
      </c>
      <c r="Y439" t="s">
        <v>8785</v>
      </c>
      <c r="Z439" t="s">
        <v>8786</v>
      </c>
      <c r="AA439" t="s">
        <v>8787</v>
      </c>
      <c r="AB439" t="s">
        <v>8788</v>
      </c>
      <c r="AC439" t="s">
        <v>8789</v>
      </c>
      <c r="AD439" t="s">
        <v>8790</v>
      </c>
      <c r="AE439" t="s">
        <v>8791</v>
      </c>
      <c r="AF439" t="s">
        <v>74</v>
      </c>
      <c r="AG439">
        <v>25</v>
      </c>
      <c r="AH439">
        <v>26</v>
      </c>
      <c r="AI439">
        <v>27</v>
      </c>
      <c r="AJ439">
        <v>0</v>
      </c>
      <c r="AK439">
        <v>5</v>
      </c>
      <c r="AL439" t="s">
        <v>8792</v>
      </c>
      <c r="AM439" t="s">
        <v>849</v>
      </c>
      <c r="AN439" t="s">
        <v>8793</v>
      </c>
      <c r="AO439" t="s">
        <v>8794</v>
      </c>
      <c r="AP439" t="s">
        <v>8795</v>
      </c>
      <c r="AQ439" t="s">
        <v>74</v>
      </c>
      <c r="AR439" t="s">
        <v>8796</v>
      </c>
      <c r="AS439" t="s">
        <v>8797</v>
      </c>
      <c r="AT439" t="s">
        <v>8425</v>
      </c>
      <c r="AU439">
        <v>2013</v>
      </c>
      <c r="AV439">
        <v>63</v>
      </c>
      <c r="AW439" t="s">
        <v>74</v>
      </c>
      <c r="AX439">
        <v>11</v>
      </c>
      <c r="AY439" t="s">
        <v>74</v>
      </c>
      <c r="AZ439" t="s">
        <v>74</v>
      </c>
      <c r="BA439" t="s">
        <v>74</v>
      </c>
      <c r="BB439">
        <v>4000</v>
      </c>
      <c r="BC439">
        <v>4005</v>
      </c>
      <c r="BD439" t="s">
        <v>74</v>
      </c>
      <c r="BE439" t="s">
        <v>8798</v>
      </c>
      <c r="BF439" t="str">
        <f>HYPERLINK("http://dx.doi.org/10.1099/ijs.0.047100-0","http://dx.doi.org/10.1099/ijs.0.047100-0")</f>
        <v>http://dx.doi.org/10.1099/ijs.0.047100-0</v>
      </c>
      <c r="BG439" t="s">
        <v>74</v>
      </c>
      <c r="BH439" t="s">
        <v>74</v>
      </c>
      <c r="BI439">
        <v>6</v>
      </c>
      <c r="BJ439" t="s">
        <v>815</v>
      </c>
      <c r="BK439" t="s">
        <v>99</v>
      </c>
      <c r="BL439" t="s">
        <v>815</v>
      </c>
      <c r="BM439" t="s">
        <v>8799</v>
      </c>
      <c r="BN439">
        <v>23710058</v>
      </c>
      <c r="BO439" t="s">
        <v>74</v>
      </c>
      <c r="BP439" t="s">
        <v>74</v>
      </c>
      <c r="BQ439" t="s">
        <v>74</v>
      </c>
      <c r="BR439" t="s">
        <v>103</v>
      </c>
      <c r="BS439" t="s">
        <v>8800</v>
      </c>
      <c r="BT439" t="str">
        <f>HYPERLINK("https%3A%2F%2Fwww.webofscience.com%2Fwos%2Fwoscc%2Ffull-record%2FWOS:000328666600011","View Full Record in Web of Science")</f>
        <v>View Full Record in Web of Science</v>
      </c>
    </row>
    <row r="440" spans="1:72" x14ac:dyDescent="0.15">
      <c r="A440" t="s">
        <v>72</v>
      </c>
      <c r="B440" t="s">
        <v>8801</v>
      </c>
      <c r="C440" t="s">
        <v>74</v>
      </c>
      <c r="D440" t="s">
        <v>74</v>
      </c>
      <c r="E440" t="s">
        <v>74</v>
      </c>
      <c r="F440" t="s">
        <v>8802</v>
      </c>
      <c r="G440" t="s">
        <v>74</v>
      </c>
      <c r="H440" t="s">
        <v>74</v>
      </c>
      <c r="I440" t="s">
        <v>8803</v>
      </c>
      <c r="J440" t="s">
        <v>8804</v>
      </c>
      <c r="K440" t="s">
        <v>74</v>
      </c>
      <c r="L440" t="s">
        <v>74</v>
      </c>
      <c r="M440" t="s">
        <v>78</v>
      </c>
      <c r="N440" t="s">
        <v>79</v>
      </c>
      <c r="O440" t="s">
        <v>74</v>
      </c>
      <c r="P440" t="s">
        <v>74</v>
      </c>
      <c r="Q440" t="s">
        <v>74</v>
      </c>
      <c r="R440" t="s">
        <v>74</v>
      </c>
      <c r="S440" t="s">
        <v>74</v>
      </c>
      <c r="T440" t="s">
        <v>74</v>
      </c>
      <c r="U440" t="s">
        <v>8805</v>
      </c>
      <c r="V440" t="s">
        <v>8806</v>
      </c>
      <c r="W440" t="s">
        <v>8807</v>
      </c>
      <c r="X440" t="s">
        <v>8808</v>
      </c>
      <c r="Y440" t="s">
        <v>8809</v>
      </c>
      <c r="Z440" t="s">
        <v>8810</v>
      </c>
      <c r="AA440" t="s">
        <v>8811</v>
      </c>
      <c r="AB440" t="s">
        <v>8812</v>
      </c>
      <c r="AC440" t="s">
        <v>8813</v>
      </c>
      <c r="AD440" t="s">
        <v>8814</v>
      </c>
      <c r="AE440" t="s">
        <v>8815</v>
      </c>
      <c r="AF440" t="s">
        <v>74</v>
      </c>
      <c r="AG440">
        <v>127</v>
      </c>
      <c r="AH440">
        <v>40</v>
      </c>
      <c r="AI440">
        <v>45</v>
      </c>
      <c r="AJ440">
        <v>0</v>
      </c>
      <c r="AK440">
        <v>16</v>
      </c>
      <c r="AL440" t="s">
        <v>624</v>
      </c>
      <c r="AM440" t="s">
        <v>411</v>
      </c>
      <c r="AN440" t="s">
        <v>412</v>
      </c>
      <c r="AO440" t="s">
        <v>8816</v>
      </c>
      <c r="AP440" t="s">
        <v>8817</v>
      </c>
      <c r="AQ440" t="s">
        <v>74</v>
      </c>
      <c r="AR440" t="s">
        <v>8818</v>
      </c>
      <c r="AS440" t="s">
        <v>8819</v>
      </c>
      <c r="AT440" t="s">
        <v>8425</v>
      </c>
      <c r="AU440">
        <v>2013</v>
      </c>
      <c r="AV440">
        <v>48</v>
      </c>
      <c r="AW440">
        <v>11</v>
      </c>
      <c r="AX440" t="s">
        <v>74</v>
      </c>
      <c r="AY440" t="s">
        <v>74</v>
      </c>
      <c r="AZ440" t="s">
        <v>74</v>
      </c>
      <c r="BA440" t="s">
        <v>74</v>
      </c>
      <c r="BB440">
        <v>2105</v>
      </c>
      <c r="BC440">
        <v>2134</v>
      </c>
      <c r="BD440" t="s">
        <v>74</v>
      </c>
      <c r="BE440" t="s">
        <v>8820</v>
      </c>
      <c r="BF440" t="str">
        <f>HYPERLINK("http://dx.doi.org/10.1111/maps.12182","http://dx.doi.org/10.1111/maps.12182")</f>
        <v>http://dx.doi.org/10.1111/maps.12182</v>
      </c>
      <c r="BG440" t="s">
        <v>74</v>
      </c>
      <c r="BH440" t="s">
        <v>74</v>
      </c>
      <c r="BI440">
        <v>30</v>
      </c>
      <c r="BJ440" t="s">
        <v>313</v>
      </c>
      <c r="BK440" t="s">
        <v>99</v>
      </c>
      <c r="BL440" t="s">
        <v>313</v>
      </c>
      <c r="BM440" t="s">
        <v>8821</v>
      </c>
      <c r="BN440" t="s">
        <v>74</v>
      </c>
      <c r="BO440" t="s">
        <v>475</v>
      </c>
      <c r="BP440" t="s">
        <v>74</v>
      </c>
      <c r="BQ440" t="s">
        <v>74</v>
      </c>
      <c r="BR440" t="s">
        <v>103</v>
      </c>
      <c r="BS440" t="s">
        <v>8822</v>
      </c>
      <c r="BT440" t="str">
        <f>HYPERLINK("https%3A%2F%2Fwww.webofscience.com%2Fwos%2Fwoscc%2Ffull-record%2FWOS:000328543300004","View Full Record in Web of Science")</f>
        <v>View Full Record in Web of Science</v>
      </c>
    </row>
    <row r="441" spans="1:72" x14ac:dyDescent="0.15">
      <c r="A441" t="s">
        <v>72</v>
      </c>
      <c r="B441" t="s">
        <v>8823</v>
      </c>
      <c r="C441" t="s">
        <v>74</v>
      </c>
      <c r="D441" t="s">
        <v>74</v>
      </c>
      <c r="E441" t="s">
        <v>74</v>
      </c>
      <c r="F441" t="s">
        <v>8824</v>
      </c>
      <c r="G441" t="s">
        <v>74</v>
      </c>
      <c r="H441" t="s">
        <v>74</v>
      </c>
      <c r="I441" t="s">
        <v>8825</v>
      </c>
      <c r="J441" t="s">
        <v>8804</v>
      </c>
      <c r="K441" t="s">
        <v>74</v>
      </c>
      <c r="L441" t="s">
        <v>74</v>
      </c>
      <c r="M441" t="s">
        <v>78</v>
      </c>
      <c r="N441" t="s">
        <v>79</v>
      </c>
      <c r="O441" t="s">
        <v>74</v>
      </c>
      <c r="P441" t="s">
        <v>74</v>
      </c>
      <c r="Q441" t="s">
        <v>74</v>
      </c>
      <c r="R441" t="s">
        <v>74</v>
      </c>
      <c r="S441" t="s">
        <v>74</v>
      </c>
      <c r="T441" t="s">
        <v>74</v>
      </c>
      <c r="U441" t="s">
        <v>8826</v>
      </c>
      <c r="V441" t="s">
        <v>8827</v>
      </c>
      <c r="W441" t="s">
        <v>8828</v>
      </c>
      <c r="X441" t="s">
        <v>8829</v>
      </c>
      <c r="Y441" t="s">
        <v>8830</v>
      </c>
      <c r="Z441" t="s">
        <v>8831</v>
      </c>
      <c r="AA441" t="s">
        <v>8832</v>
      </c>
      <c r="AB441" t="s">
        <v>8833</v>
      </c>
      <c r="AC441" t="s">
        <v>8834</v>
      </c>
      <c r="AD441" t="s">
        <v>8834</v>
      </c>
      <c r="AE441" t="s">
        <v>8835</v>
      </c>
      <c r="AF441" t="s">
        <v>74</v>
      </c>
      <c r="AG441">
        <v>36</v>
      </c>
      <c r="AH441">
        <v>33</v>
      </c>
      <c r="AI441">
        <v>36</v>
      </c>
      <c r="AJ441">
        <v>0</v>
      </c>
      <c r="AK441">
        <v>8</v>
      </c>
      <c r="AL441" t="s">
        <v>410</v>
      </c>
      <c r="AM441" t="s">
        <v>411</v>
      </c>
      <c r="AN441" t="s">
        <v>412</v>
      </c>
      <c r="AO441" t="s">
        <v>8816</v>
      </c>
      <c r="AP441" t="s">
        <v>8817</v>
      </c>
      <c r="AQ441" t="s">
        <v>74</v>
      </c>
      <c r="AR441" t="s">
        <v>8818</v>
      </c>
      <c r="AS441" t="s">
        <v>8819</v>
      </c>
      <c r="AT441" t="s">
        <v>8425</v>
      </c>
      <c r="AU441">
        <v>2013</v>
      </c>
      <c r="AV441">
        <v>48</v>
      </c>
      <c r="AW441">
        <v>11</v>
      </c>
      <c r="AX441" t="s">
        <v>74</v>
      </c>
      <c r="AY441" t="s">
        <v>74</v>
      </c>
      <c r="AZ441" t="s">
        <v>74</v>
      </c>
      <c r="BA441" t="s">
        <v>74</v>
      </c>
      <c r="BB441">
        <v>2155</v>
      </c>
      <c r="BC441">
        <v>2165</v>
      </c>
      <c r="BD441" t="s">
        <v>74</v>
      </c>
      <c r="BE441" t="s">
        <v>8836</v>
      </c>
      <c r="BF441" t="str">
        <f>HYPERLINK("http://dx.doi.org/10.1111/maps.12160","http://dx.doi.org/10.1111/maps.12160")</f>
        <v>http://dx.doi.org/10.1111/maps.12160</v>
      </c>
      <c r="BG441" t="s">
        <v>74</v>
      </c>
      <c r="BH441" t="s">
        <v>74</v>
      </c>
      <c r="BI441">
        <v>11</v>
      </c>
      <c r="BJ441" t="s">
        <v>313</v>
      </c>
      <c r="BK441" t="s">
        <v>99</v>
      </c>
      <c r="BL441" t="s">
        <v>313</v>
      </c>
      <c r="BM441" t="s">
        <v>8821</v>
      </c>
      <c r="BN441" t="s">
        <v>74</v>
      </c>
      <c r="BO441" t="s">
        <v>475</v>
      </c>
      <c r="BP441" t="s">
        <v>74</v>
      </c>
      <c r="BQ441" t="s">
        <v>74</v>
      </c>
      <c r="BR441" t="s">
        <v>103</v>
      </c>
      <c r="BS441" t="s">
        <v>8837</v>
      </c>
      <c r="BT441" t="str">
        <f>HYPERLINK("https%3A%2F%2Fwww.webofscience.com%2Fwos%2Fwoscc%2Ffull-record%2FWOS:000328543300006","View Full Record in Web of Science")</f>
        <v>View Full Record in Web of Science</v>
      </c>
    </row>
    <row r="442" spans="1:72" x14ac:dyDescent="0.15">
      <c r="A442" t="s">
        <v>72</v>
      </c>
      <c r="B442" t="s">
        <v>8838</v>
      </c>
      <c r="C442" t="s">
        <v>74</v>
      </c>
      <c r="D442" t="s">
        <v>74</v>
      </c>
      <c r="E442" t="s">
        <v>74</v>
      </c>
      <c r="F442" t="s">
        <v>8839</v>
      </c>
      <c r="G442" t="s">
        <v>74</v>
      </c>
      <c r="H442" t="s">
        <v>74</v>
      </c>
      <c r="I442" t="s">
        <v>8840</v>
      </c>
      <c r="J442" t="s">
        <v>8841</v>
      </c>
      <c r="K442" t="s">
        <v>74</v>
      </c>
      <c r="L442" t="s">
        <v>74</v>
      </c>
      <c r="M442" t="s">
        <v>78</v>
      </c>
      <c r="N442" t="s">
        <v>79</v>
      </c>
      <c r="O442" t="s">
        <v>74</v>
      </c>
      <c r="P442" t="s">
        <v>74</v>
      </c>
      <c r="Q442" t="s">
        <v>74</v>
      </c>
      <c r="R442" t="s">
        <v>74</v>
      </c>
      <c r="S442" t="s">
        <v>74</v>
      </c>
      <c r="T442" t="s">
        <v>74</v>
      </c>
      <c r="U442" t="s">
        <v>74</v>
      </c>
      <c r="V442" t="s">
        <v>8842</v>
      </c>
      <c r="W442" t="s">
        <v>8843</v>
      </c>
      <c r="X442" t="s">
        <v>4986</v>
      </c>
      <c r="Y442" t="s">
        <v>8844</v>
      </c>
      <c r="Z442" t="s">
        <v>74</v>
      </c>
      <c r="AA442" t="s">
        <v>74</v>
      </c>
      <c r="AB442" t="s">
        <v>74</v>
      </c>
      <c r="AC442" t="s">
        <v>74</v>
      </c>
      <c r="AD442" t="s">
        <v>74</v>
      </c>
      <c r="AE442" t="s">
        <v>74</v>
      </c>
      <c r="AF442" t="s">
        <v>74</v>
      </c>
      <c r="AG442">
        <v>24</v>
      </c>
      <c r="AH442">
        <v>4</v>
      </c>
      <c r="AI442">
        <v>4</v>
      </c>
      <c r="AJ442">
        <v>0</v>
      </c>
      <c r="AK442">
        <v>4</v>
      </c>
      <c r="AL442" t="s">
        <v>5446</v>
      </c>
      <c r="AM442" t="s">
        <v>5447</v>
      </c>
      <c r="AN442" t="s">
        <v>5448</v>
      </c>
      <c r="AO442" t="s">
        <v>8845</v>
      </c>
      <c r="AP442" t="s">
        <v>8846</v>
      </c>
      <c r="AQ442" t="s">
        <v>74</v>
      </c>
      <c r="AR442" t="s">
        <v>8847</v>
      </c>
      <c r="AS442" t="s">
        <v>8848</v>
      </c>
      <c r="AT442" t="s">
        <v>8425</v>
      </c>
      <c r="AU442">
        <v>2013</v>
      </c>
      <c r="AV442">
        <v>38</v>
      </c>
      <c r="AW442">
        <v>11</v>
      </c>
      <c r="AX442" t="s">
        <v>74</v>
      </c>
      <c r="AY442" t="s">
        <v>74</v>
      </c>
      <c r="AZ442" t="s">
        <v>74</v>
      </c>
      <c r="BA442" t="s">
        <v>74</v>
      </c>
      <c r="BB442">
        <v>766</v>
      </c>
      <c r="BC442">
        <v>775</v>
      </c>
      <c r="BD442" t="s">
        <v>74</v>
      </c>
      <c r="BE442" t="s">
        <v>8849</v>
      </c>
      <c r="BF442" t="str">
        <f>HYPERLINK("http://dx.doi.org/10.3103/S106837391311006X","http://dx.doi.org/10.3103/S106837391311006X")</f>
        <v>http://dx.doi.org/10.3103/S106837391311006X</v>
      </c>
      <c r="BG442" t="s">
        <v>74</v>
      </c>
      <c r="BH442" t="s">
        <v>74</v>
      </c>
      <c r="BI442">
        <v>10</v>
      </c>
      <c r="BJ442" t="s">
        <v>1503</v>
      </c>
      <c r="BK442" t="s">
        <v>99</v>
      </c>
      <c r="BL442" t="s">
        <v>1503</v>
      </c>
      <c r="BM442" t="s">
        <v>8850</v>
      </c>
      <c r="BN442" t="s">
        <v>74</v>
      </c>
      <c r="BO442" t="s">
        <v>74</v>
      </c>
      <c r="BP442" t="s">
        <v>74</v>
      </c>
      <c r="BQ442" t="s">
        <v>74</v>
      </c>
      <c r="BR442" t="s">
        <v>103</v>
      </c>
      <c r="BS442" t="s">
        <v>8851</v>
      </c>
      <c r="BT442" t="str">
        <f>HYPERLINK("https%3A%2F%2Fwww.webofscience.com%2Fwos%2Fwoscc%2Ffull-record%2FWOS:000328879200006","View Full Record in Web of Science")</f>
        <v>View Full Record in Web of Science</v>
      </c>
    </row>
    <row r="443" spans="1:72" x14ac:dyDescent="0.15">
      <c r="A443" t="s">
        <v>72</v>
      </c>
      <c r="B443" t="s">
        <v>8852</v>
      </c>
      <c r="C443" t="s">
        <v>74</v>
      </c>
      <c r="D443" t="s">
        <v>74</v>
      </c>
      <c r="E443" t="s">
        <v>74</v>
      </c>
      <c r="F443" t="s">
        <v>8853</v>
      </c>
      <c r="G443" t="s">
        <v>74</v>
      </c>
      <c r="H443" t="s">
        <v>74</v>
      </c>
      <c r="I443" t="s">
        <v>8854</v>
      </c>
      <c r="J443" t="s">
        <v>8841</v>
      </c>
      <c r="K443" t="s">
        <v>74</v>
      </c>
      <c r="L443" t="s">
        <v>74</v>
      </c>
      <c r="M443" t="s">
        <v>78</v>
      </c>
      <c r="N443" t="s">
        <v>213</v>
      </c>
      <c r="O443" t="s">
        <v>74</v>
      </c>
      <c r="P443" t="s">
        <v>74</v>
      </c>
      <c r="Q443" t="s">
        <v>74</v>
      </c>
      <c r="R443" t="s">
        <v>74</v>
      </c>
      <c r="S443" t="s">
        <v>74</v>
      </c>
      <c r="T443" t="s">
        <v>74</v>
      </c>
      <c r="U443" t="s">
        <v>74</v>
      </c>
      <c r="V443" t="s">
        <v>8855</v>
      </c>
      <c r="W443" t="s">
        <v>8856</v>
      </c>
      <c r="X443" t="s">
        <v>74</v>
      </c>
      <c r="Y443" t="s">
        <v>8857</v>
      </c>
      <c r="Z443" t="s">
        <v>74</v>
      </c>
      <c r="AA443" t="s">
        <v>74</v>
      </c>
      <c r="AB443" t="s">
        <v>74</v>
      </c>
      <c r="AC443" t="s">
        <v>8858</v>
      </c>
      <c r="AD443" t="s">
        <v>8859</v>
      </c>
      <c r="AE443" t="s">
        <v>8860</v>
      </c>
      <c r="AF443" t="s">
        <v>74</v>
      </c>
      <c r="AG443">
        <v>2</v>
      </c>
      <c r="AH443">
        <v>0</v>
      </c>
      <c r="AI443">
        <v>0</v>
      </c>
      <c r="AJ443">
        <v>0</v>
      </c>
      <c r="AK443">
        <v>3</v>
      </c>
      <c r="AL443" t="s">
        <v>5446</v>
      </c>
      <c r="AM443" t="s">
        <v>5447</v>
      </c>
      <c r="AN443" t="s">
        <v>5448</v>
      </c>
      <c r="AO443" t="s">
        <v>8845</v>
      </c>
      <c r="AP443" t="s">
        <v>8846</v>
      </c>
      <c r="AQ443" t="s">
        <v>74</v>
      </c>
      <c r="AR443" t="s">
        <v>8847</v>
      </c>
      <c r="AS443" t="s">
        <v>8848</v>
      </c>
      <c r="AT443" t="s">
        <v>8425</v>
      </c>
      <c r="AU443">
        <v>2013</v>
      </c>
      <c r="AV443">
        <v>38</v>
      </c>
      <c r="AW443">
        <v>11</v>
      </c>
      <c r="AX443" t="s">
        <v>74</v>
      </c>
      <c r="AY443" t="s">
        <v>74</v>
      </c>
      <c r="AZ443" t="s">
        <v>74</v>
      </c>
      <c r="BA443" t="s">
        <v>74</v>
      </c>
      <c r="BB443">
        <v>792</v>
      </c>
      <c r="BC443">
        <v>795</v>
      </c>
      <c r="BD443" t="s">
        <v>74</v>
      </c>
      <c r="BE443" t="s">
        <v>8861</v>
      </c>
      <c r="BF443" t="str">
        <f>HYPERLINK("http://dx.doi.org/10.3103/S1068373913110101","http://dx.doi.org/10.3103/S1068373913110101")</f>
        <v>http://dx.doi.org/10.3103/S1068373913110101</v>
      </c>
      <c r="BG443" t="s">
        <v>74</v>
      </c>
      <c r="BH443" t="s">
        <v>74</v>
      </c>
      <c r="BI443">
        <v>4</v>
      </c>
      <c r="BJ443" t="s">
        <v>1503</v>
      </c>
      <c r="BK443" t="s">
        <v>99</v>
      </c>
      <c r="BL443" t="s">
        <v>1503</v>
      </c>
      <c r="BM443" t="s">
        <v>8850</v>
      </c>
      <c r="BN443" t="s">
        <v>74</v>
      </c>
      <c r="BO443" t="s">
        <v>74</v>
      </c>
      <c r="BP443" t="s">
        <v>74</v>
      </c>
      <c r="BQ443" t="s">
        <v>74</v>
      </c>
      <c r="BR443" t="s">
        <v>103</v>
      </c>
      <c r="BS443" t="s">
        <v>8862</v>
      </c>
      <c r="BT443" t="str">
        <f>HYPERLINK("https%3A%2F%2Fwww.webofscience.com%2Fwos%2Fwoscc%2Ffull-record%2FWOS:000328879200010","View Full Record in Web of Science")</f>
        <v>View Full Record in Web of Science</v>
      </c>
    </row>
    <row r="444" spans="1:72" x14ac:dyDescent="0.15">
      <c r="A444" t="s">
        <v>72</v>
      </c>
      <c r="B444" t="s">
        <v>8863</v>
      </c>
      <c r="C444" t="s">
        <v>74</v>
      </c>
      <c r="D444" t="s">
        <v>74</v>
      </c>
      <c r="E444" t="s">
        <v>74</v>
      </c>
      <c r="F444" t="s">
        <v>8864</v>
      </c>
      <c r="G444" t="s">
        <v>74</v>
      </c>
      <c r="H444" t="s">
        <v>74</v>
      </c>
      <c r="I444" t="s">
        <v>8865</v>
      </c>
      <c r="J444" t="s">
        <v>8866</v>
      </c>
      <c r="K444" t="s">
        <v>74</v>
      </c>
      <c r="L444" t="s">
        <v>74</v>
      </c>
      <c r="M444" t="s">
        <v>78</v>
      </c>
      <c r="N444" t="s">
        <v>79</v>
      </c>
      <c r="O444" t="s">
        <v>74</v>
      </c>
      <c r="P444" t="s">
        <v>74</v>
      </c>
      <c r="Q444" t="s">
        <v>74</v>
      </c>
      <c r="R444" t="s">
        <v>74</v>
      </c>
      <c r="S444" t="s">
        <v>74</v>
      </c>
      <c r="T444" t="s">
        <v>8867</v>
      </c>
      <c r="U444" t="s">
        <v>8868</v>
      </c>
      <c r="V444" t="s">
        <v>8869</v>
      </c>
      <c r="W444" t="s">
        <v>8870</v>
      </c>
      <c r="X444" t="s">
        <v>8871</v>
      </c>
      <c r="Y444" t="s">
        <v>8872</v>
      </c>
      <c r="Z444" t="s">
        <v>8873</v>
      </c>
      <c r="AA444" t="s">
        <v>74</v>
      </c>
      <c r="AB444" t="s">
        <v>8874</v>
      </c>
      <c r="AC444" t="s">
        <v>74</v>
      </c>
      <c r="AD444" t="s">
        <v>74</v>
      </c>
      <c r="AE444" t="s">
        <v>74</v>
      </c>
      <c r="AF444" t="s">
        <v>74</v>
      </c>
      <c r="AG444">
        <v>71</v>
      </c>
      <c r="AH444">
        <v>48</v>
      </c>
      <c r="AI444">
        <v>50</v>
      </c>
      <c r="AJ444">
        <v>1</v>
      </c>
      <c r="AK444">
        <v>22</v>
      </c>
      <c r="AL444" t="s">
        <v>1606</v>
      </c>
      <c r="AM444" t="s">
        <v>808</v>
      </c>
      <c r="AN444" t="s">
        <v>1607</v>
      </c>
      <c r="AO444" t="s">
        <v>8875</v>
      </c>
      <c r="AP444" t="s">
        <v>8876</v>
      </c>
      <c r="AQ444" t="s">
        <v>74</v>
      </c>
      <c r="AR444" t="s">
        <v>8877</v>
      </c>
      <c r="AS444" t="s">
        <v>8878</v>
      </c>
      <c r="AT444" t="s">
        <v>8425</v>
      </c>
      <c r="AU444">
        <v>2013</v>
      </c>
      <c r="AV444">
        <v>118</v>
      </c>
      <c r="AW444">
        <v>11</v>
      </c>
      <c r="AX444" t="s">
        <v>74</v>
      </c>
      <c r="AY444" t="s">
        <v>74</v>
      </c>
      <c r="AZ444" t="s">
        <v>74</v>
      </c>
      <c r="BA444" t="s">
        <v>74</v>
      </c>
      <c r="BB444">
        <v>2381</v>
      </c>
      <c r="BC444">
        <v>2399</v>
      </c>
      <c r="BD444" t="s">
        <v>74</v>
      </c>
      <c r="BE444" t="s">
        <v>8879</v>
      </c>
      <c r="BF444" t="str">
        <f>HYPERLINK("http://dx.doi.org/10.1002/2013JE004460","http://dx.doi.org/10.1002/2013JE004460")</f>
        <v>http://dx.doi.org/10.1002/2013JE004460</v>
      </c>
      <c r="BG444" t="s">
        <v>74</v>
      </c>
      <c r="BH444" t="s">
        <v>74</v>
      </c>
      <c r="BI444">
        <v>19</v>
      </c>
      <c r="BJ444" t="s">
        <v>313</v>
      </c>
      <c r="BK444" t="s">
        <v>99</v>
      </c>
      <c r="BL444" t="s">
        <v>313</v>
      </c>
      <c r="BM444" t="s">
        <v>8880</v>
      </c>
      <c r="BN444" t="s">
        <v>74</v>
      </c>
      <c r="BO444" t="s">
        <v>475</v>
      </c>
      <c r="BP444" t="s">
        <v>74</v>
      </c>
      <c r="BQ444" t="s">
        <v>74</v>
      </c>
      <c r="BR444" t="s">
        <v>103</v>
      </c>
      <c r="BS444" t="s">
        <v>8881</v>
      </c>
      <c r="BT444" t="str">
        <f>HYPERLINK("https%3A%2F%2Fwww.webofscience.com%2Fwos%2Fwoscc%2Ffull-record%2FWOS:000328355300008","View Full Record in Web of Science")</f>
        <v>View Full Record in Web of Science</v>
      </c>
    </row>
    <row r="445" spans="1:72" x14ac:dyDescent="0.15">
      <c r="A445" t="s">
        <v>72</v>
      </c>
      <c r="B445" t="s">
        <v>8882</v>
      </c>
      <c r="C445" t="s">
        <v>74</v>
      </c>
      <c r="D445" t="s">
        <v>74</v>
      </c>
      <c r="E445" t="s">
        <v>74</v>
      </c>
      <c r="F445" t="s">
        <v>8883</v>
      </c>
      <c r="G445" t="s">
        <v>74</v>
      </c>
      <c r="H445" t="s">
        <v>74</v>
      </c>
      <c r="I445" t="s">
        <v>8884</v>
      </c>
      <c r="J445" t="s">
        <v>8885</v>
      </c>
      <c r="K445" t="s">
        <v>74</v>
      </c>
      <c r="L445" t="s">
        <v>74</v>
      </c>
      <c r="M445" t="s">
        <v>78</v>
      </c>
      <c r="N445" t="s">
        <v>79</v>
      </c>
      <c r="O445" t="s">
        <v>74</v>
      </c>
      <c r="P445" t="s">
        <v>74</v>
      </c>
      <c r="Q445" t="s">
        <v>74</v>
      </c>
      <c r="R445" t="s">
        <v>74</v>
      </c>
      <c r="S445" t="s">
        <v>74</v>
      </c>
      <c r="T445" t="s">
        <v>8886</v>
      </c>
      <c r="U445" t="s">
        <v>8887</v>
      </c>
      <c r="V445" t="s">
        <v>8888</v>
      </c>
      <c r="W445" t="s">
        <v>8889</v>
      </c>
      <c r="X445" t="s">
        <v>8890</v>
      </c>
      <c r="Y445" t="s">
        <v>8891</v>
      </c>
      <c r="Z445" t="s">
        <v>8892</v>
      </c>
      <c r="AA445" t="s">
        <v>8893</v>
      </c>
      <c r="AB445" t="s">
        <v>8894</v>
      </c>
      <c r="AC445" t="s">
        <v>8895</v>
      </c>
      <c r="AD445" t="s">
        <v>8896</v>
      </c>
      <c r="AE445" t="s">
        <v>8897</v>
      </c>
      <c r="AF445" t="s">
        <v>74</v>
      </c>
      <c r="AG445">
        <v>30</v>
      </c>
      <c r="AH445">
        <v>12</v>
      </c>
      <c r="AI445">
        <v>12</v>
      </c>
      <c r="AJ445">
        <v>0</v>
      </c>
      <c r="AK445">
        <v>19</v>
      </c>
      <c r="AL445" t="s">
        <v>8898</v>
      </c>
      <c r="AM445" t="s">
        <v>8899</v>
      </c>
      <c r="AN445" t="s">
        <v>8900</v>
      </c>
      <c r="AO445" t="s">
        <v>8901</v>
      </c>
      <c r="AP445" t="s">
        <v>8902</v>
      </c>
      <c r="AQ445" t="s">
        <v>74</v>
      </c>
      <c r="AR445" t="s">
        <v>8903</v>
      </c>
      <c r="AS445" t="s">
        <v>8904</v>
      </c>
      <c r="AT445" t="s">
        <v>8425</v>
      </c>
      <c r="AU445">
        <v>2013</v>
      </c>
      <c r="AV445">
        <v>41</v>
      </c>
      <c r="AW445">
        <v>5</v>
      </c>
      <c r="AX445" t="s">
        <v>74</v>
      </c>
      <c r="AY445" t="s">
        <v>74</v>
      </c>
      <c r="AZ445" t="s">
        <v>74</v>
      </c>
      <c r="BA445" t="s">
        <v>74</v>
      </c>
      <c r="BB445">
        <v>1003</v>
      </c>
      <c r="BC445">
        <v>1009</v>
      </c>
      <c r="BD445" t="s">
        <v>74</v>
      </c>
      <c r="BE445" t="s">
        <v>8905</v>
      </c>
      <c r="BF445" t="str">
        <f>HYPERLINK("http://dx.doi.org/10.3856/vol41-issue5-fulltext-20","http://dx.doi.org/10.3856/vol41-issue5-fulltext-20")</f>
        <v>http://dx.doi.org/10.3856/vol41-issue5-fulltext-20</v>
      </c>
      <c r="BG445" t="s">
        <v>74</v>
      </c>
      <c r="BH445" t="s">
        <v>74</v>
      </c>
      <c r="BI445">
        <v>7</v>
      </c>
      <c r="BJ445" t="s">
        <v>4824</v>
      </c>
      <c r="BK445" t="s">
        <v>99</v>
      </c>
      <c r="BL445" t="s">
        <v>4824</v>
      </c>
      <c r="BM445" t="s">
        <v>8906</v>
      </c>
      <c r="BN445" t="s">
        <v>74</v>
      </c>
      <c r="BO445" t="s">
        <v>5514</v>
      </c>
      <c r="BP445" t="s">
        <v>74</v>
      </c>
      <c r="BQ445" t="s">
        <v>74</v>
      </c>
      <c r="BR445" t="s">
        <v>103</v>
      </c>
      <c r="BS445" t="s">
        <v>8907</v>
      </c>
      <c r="BT445" t="str">
        <f>HYPERLINK("https%3A%2F%2Fwww.webofscience.com%2Fwos%2Fwoscc%2Ffull-record%2FWOS:000328337900020","View Full Record in Web of Science")</f>
        <v>View Full Record in Web of Science</v>
      </c>
    </row>
    <row r="446" spans="1:72" x14ac:dyDescent="0.15">
      <c r="A446" t="s">
        <v>72</v>
      </c>
      <c r="B446" t="s">
        <v>8908</v>
      </c>
      <c r="C446" t="s">
        <v>74</v>
      </c>
      <c r="D446" t="s">
        <v>74</v>
      </c>
      <c r="E446" t="s">
        <v>74</v>
      </c>
      <c r="F446" t="s">
        <v>8909</v>
      </c>
      <c r="G446" t="s">
        <v>74</v>
      </c>
      <c r="H446" t="s">
        <v>74</v>
      </c>
      <c r="I446" t="s">
        <v>8910</v>
      </c>
      <c r="J446" t="s">
        <v>8911</v>
      </c>
      <c r="K446" t="s">
        <v>74</v>
      </c>
      <c r="L446" t="s">
        <v>74</v>
      </c>
      <c r="M446" t="s">
        <v>78</v>
      </c>
      <c r="N446" t="s">
        <v>79</v>
      </c>
      <c r="O446" t="s">
        <v>74</v>
      </c>
      <c r="P446" t="s">
        <v>74</v>
      </c>
      <c r="Q446" t="s">
        <v>74</v>
      </c>
      <c r="R446" t="s">
        <v>74</v>
      </c>
      <c r="S446" t="s">
        <v>74</v>
      </c>
      <c r="T446" t="s">
        <v>8912</v>
      </c>
      <c r="U446" t="s">
        <v>8913</v>
      </c>
      <c r="V446" t="s">
        <v>8914</v>
      </c>
      <c r="W446" t="s">
        <v>8915</v>
      </c>
      <c r="X446" t="s">
        <v>8916</v>
      </c>
      <c r="Y446" t="s">
        <v>8917</v>
      </c>
      <c r="Z446" t="s">
        <v>8918</v>
      </c>
      <c r="AA446" t="s">
        <v>74</v>
      </c>
      <c r="AB446" t="s">
        <v>8919</v>
      </c>
      <c r="AC446" t="s">
        <v>74</v>
      </c>
      <c r="AD446" t="s">
        <v>74</v>
      </c>
      <c r="AE446" t="s">
        <v>74</v>
      </c>
      <c r="AF446" t="s">
        <v>74</v>
      </c>
      <c r="AG446">
        <v>40</v>
      </c>
      <c r="AH446">
        <v>39</v>
      </c>
      <c r="AI446">
        <v>39</v>
      </c>
      <c r="AJ446">
        <v>1</v>
      </c>
      <c r="AK446">
        <v>78</v>
      </c>
      <c r="AL446" t="s">
        <v>304</v>
      </c>
      <c r="AM446" t="s">
        <v>305</v>
      </c>
      <c r="AN446" t="s">
        <v>306</v>
      </c>
      <c r="AO446" t="s">
        <v>8920</v>
      </c>
      <c r="AP446" t="s">
        <v>8921</v>
      </c>
      <c r="AQ446" t="s">
        <v>74</v>
      </c>
      <c r="AR446" t="s">
        <v>8922</v>
      </c>
      <c r="AS446" t="s">
        <v>8923</v>
      </c>
      <c r="AT446" t="s">
        <v>8425</v>
      </c>
      <c r="AU446">
        <v>2013</v>
      </c>
      <c r="AV446">
        <v>104</v>
      </c>
      <c r="AW446" t="s">
        <v>74</v>
      </c>
      <c r="AX446" t="s">
        <v>74</v>
      </c>
      <c r="AY446" t="s">
        <v>74</v>
      </c>
      <c r="AZ446" t="s">
        <v>74</v>
      </c>
      <c r="BA446" t="s">
        <v>74</v>
      </c>
      <c r="BB446">
        <v>131</v>
      </c>
      <c r="BC446">
        <v>138</v>
      </c>
      <c r="BD446" t="s">
        <v>74</v>
      </c>
      <c r="BE446" t="s">
        <v>8924</v>
      </c>
      <c r="BF446" t="str">
        <f>HYPERLINK("http://dx.doi.org/10.1016/j.jaap.2013.08.012","http://dx.doi.org/10.1016/j.jaap.2013.08.012")</f>
        <v>http://dx.doi.org/10.1016/j.jaap.2013.08.012</v>
      </c>
      <c r="BG446" t="s">
        <v>74</v>
      </c>
      <c r="BH446" t="s">
        <v>74</v>
      </c>
      <c r="BI446">
        <v>8</v>
      </c>
      <c r="BJ446" t="s">
        <v>8925</v>
      </c>
      <c r="BK446" t="s">
        <v>99</v>
      </c>
      <c r="BL446" t="s">
        <v>8926</v>
      </c>
      <c r="BM446" t="s">
        <v>8927</v>
      </c>
      <c r="BN446" t="s">
        <v>74</v>
      </c>
      <c r="BO446" t="s">
        <v>74</v>
      </c>
      <c r="BP446" t="s">
        <v>74</v>
      </c>
      <c r="BQ446" t="s">
        <v>74</v>
      </c>
      <c r="BR446" t="s">
        <v>103</v>
      </c>
      <c r="BS446" t="s">
        <v>8928</v>
      </c>
      <c r="BT446" t="str">
        <f>HYPERLINK("https%3A%2F%2Fwww.webofscience.com%2Fwos%2Fwoscc%2Ffull-record%2FWOS:000327904300016","View Full Record in Web of Science")</f>
        <v>View Full Record in Web of Science</v>
      </c>
    </row>
    <row r="447" spans="1:72" x14ac:dyDescent="0.15">
      <c r="A447" t="s">
        <v>72</v>
      </c>
      <c r="B447" t="s">
        <v>8929</v>
      </c>
      <c r="C447" t="s">
        <v>74</v>
      </c>
      <c r="D447" t="s">
        <v>74</v>
      </c>
      <c r="E447" t="s">
        <v>74</v>
      </c>
      <c r="F447" t="s">
        <v>8930</v>
      </c>
      <c r="G447" t="s">
        <v>74</v>
      </c>
      <c r="H447" t="s">
        <v>74</v>
      </c>
      <c r="I447" t="s">
        <v>8931</v>
      </c>
      <c r="J447" t="s">
        <v>2637</v>
      </c>
      <c r="K447" t="s">
        <v>74</v>
      </c>
      <c r="L447" t="s">
        <v>74</v>
      </c>
      <c r="M447" t="s">
        <v>78</v>
      </c>
      <c r="N447" t="s">
        <v>79</v>
      </c>
      <c r="O447" t="s">
        <v>74</v>
      </c>
      <c r="P447" t="s">
        <v>74</v>
      </c>
      <c r="Q447" t="s">
        <v>74</v>
      </c>
      <c r="R447" t="s">
        <v>74</v>
      </c>
      <c r="S447" t="s">
        <v>74</v>
      </c>
      <c r="T447" t="s">
        <v>74</v>
      </c>
      <c r="U447" t="s">
        <v>8932</v>
      </c>
      <c r="V447" t="s">
        <v>8933</v>
      </c>
      <c r="W447" t="s">
        <v>8934</v>
      </c>
      <c r="X447" t="s">
        <v>8935</v>
      </c>
      <c r="Y447" t="s">
        <v>8936</v>
      </c>
      <c r="Z447" t="s">
        <v>8937</v>
      </c>
      <c r="AA447" t="s">
        <v>5136</v>
      </c>
      <c r="AB447" t="s">
        <v>8938</v>
      </c>
      <c r="AC447" t="s">
        <v>8939</v>
      </c>
      <c r="AD447" t="s">
        <v>8940</v>
      </c>
      <c r="AE447" t="s">
        <v>8941</v>
      </c>
      <c r="AF447" t="s">
        <v>74</v>
      </c>
      <c r="AG447">
        <v>20</v>
      </c>
      <c r="AH447">
        <v>25</v>
      </c>
      <c r="AI447">
        <v>28</v>
      </c>
      <c r="AJ447">
        <v>1</v>
      </c>
      <c r="AK447">
        <v>14</v>
      </c>
      <c r="AL447" t="s">
        <v>1371</v>
      </c>
      <c r="AM447" t="s">
        <v>849</v>
      </c>
      <c r="AN447" t="s">
        <v>1372</v>
      </c>
      <c r="AO447" t="s">
        <v>2648</v>
      </c>
      <c r="AP447" t="s">
        <v>74</v>
      </c>
      <c r="AQ447" t="s">
        <v>74</v>
      </c>
      <c r="AR447" t="s">
        <v>2649</v>
      </c>
      <c r="AS447" t="s">
        <v>2650</v>
      </c>
      <c r="AT447" t="s">
        <v>8425</v>
      </c>
      <c r="AU447">
        <v>2013</v>
      </c>
      <c r="AV447">
        <v>4</v>
      </c>
      <c r="AW447" t="s">
        <v>74</v>
      </c>
      <c r="AX447" t="s">
        <v>74</v>
      </c>
      <c r="AY447" t="s">
        <v>74</v>
      </c>
      <c r="AZ447" t="s">
        <v>74</v>
      </c>
      <c r="BA447" t="s">
        <v>74</v>
      </c>
      <c r="BB447" t="s">
        <v>74</v>
      </c>
      <c r="BC447" t="s">
        <v>74</v>
      </c>
      <c r="BD447">
        <v>2738</v>
      </c>
      <c r="BE447" t="s">
        <v>8942</v>
      </c>
      <c r="BF447" t="str">
        <f>HYPERLINK("http://dx.doi.org/10.1038/ncomms3738","http://dx.doi.org/10.1038/ncomms3738")</f>
        <v>http://dx.doi.org/10.1038/ncomms3738</v>
      </c>
      <c r="BG447" t="s">
        <v>74</v>
      </c>
      <c r="BH447" t="s">
        <v>74</v>
      </c>
      <c r="BI447">
        <v>4</v>
      </c>
      <c r="BJ447" t="s">
        <v>2652</v>
      </c>
      <c r="BK447" t="s">
        <v>99</v>
      </c>
      <c r="BL447" t="s">
        <v>2653</v>
      </c>
      <c r="BM447" t="s">
        <v>8943</v>
      </c>
      <c r="BN447">
        <v>24201563</v>
      </c>
      <c r="BO447" t="s">
        <v>475</v>
      </c>
      <c r="BP447" t="s">
        <v>74</v>
      </c>
      <c r="BQ447" t="s">
        <v>74</v>
      </c>
      <c r="BR447" t="s">
        <v>103</v>
      </c>
      <c r="BS447" t="s">
        <v>8944</v>
      </c>
      <c r="BT447" t="str">
        <f>HYPERLINK("https%3A%2F%2Fwww.webofscience.com%2Fwos%2Fwoscc%2Ffull-record%2FWOS:000328023000009","View Full Record in Web of Science")</f>
        <v>View Full Record in Web of Science</v>
      </c>
    </row>
    <row r="448" spans="1:72" x14ac:dyDescent="0.15">
      <c r="A448" t="s">
        <v>72</v>
      </c>
      <c r="B448" t="s">
        <v>8945</v>
      </c>
      <c r="C448" t="s">
        <v>74</v>
      </c>
      <c r="D448" t="s">
        <v>74</v>
      </c>
      <c r="E448" t="s">
        <v>74</v>
      </c>
      <c r="F448" t="s">
        <v>8946</v>
      </c>
      <c r="G448" t="s">
        <v>74</v>
      </c>
      <c r="H448" t="s">
        <v>74</v>
      </c>
      <c r="I448" t="s">
        <v>8947</v>
      </c>
      <c r="J448" t="s">
        <v>2677</v>
      </c>
      <c r="K448" t="s">
        <v>74</v>
      </c>
      <c r="L448" t="s">
        <v>74</v>
      </c>
      <c r="M448" t="s">
        <v>78</v>
      </c>
      <c r="N448" t="s">
        <v>79</v>
      </c>
      <c r="O448" t="s">
        <v>74</v>
      </c>
      <c r="P448" t="s">
        <v>74</v>
      </c>
      <c r="Q448" t="s">
        <v>74</v>
      </c>
      <c r="R448" t="s">
        <v>74</v>
      </c>
      <c r="S448" t="s">
        <v>74</v>
      </c>
      <c r="T448" t="s">
        <v>8948</v>
      </c>
      <c r="U448" t="s">
        <v>8949</v>
      </c>
      <c r="V448" t="s">
        <v>8950</v>
      </c>
      <c r="W448" t="s">
        <v>8951</v>
      </c>
      <c r="X448" t="s">
        <v>8952</v>
      </c>
      <c r="Y448" t="s">
        <v>8953</v>
      </c>
      <c r="Z448" t="s">
        <v>8954</v>
      </c>
      <c r="AA448" t="s">
        <v>8955</v>
      </c>
      <c r="AB448" t="s">
        <v>8956</v>
      </c>
      <c r="AC448" t="s">
        <v>8957</v>
      </c>
      <c r="AD448" t="s">
        <v>5938</v>
      </c>
      <c r="AE448" t="s">
        <v>8958</v>
      </c>
      <c r="AF448" t="s">
        <v>74</v>
      </c>
      <c r="AG448">
        <v>90</v>
      </c>
      <c r="AH448">
        <v>19</v>
      </c>
      <c r="AI448">
        <v>21</v>
      </c>
      <c r="AJ448">
        <v>0</v>
      </c>
      <c r="AK448">
        <v>21</v>
      </c>
      <c r="AL448" t="s">
        <v>1067</v>
      </c>
      <c r="AM448" t="s">
        <v>921</v>
      </c>
      <c r="AN448" t="s">
        <v>2493</v>
      </c>
      <c r="AO448" t="s">
        <v>2691</v>
      </c>
      <c r="AP448" t="s">
        <v>2692</v>
      </c>
      <c r="AQ448" t="s">
        <v>74</v>
      </c>
      <c r="AR448" t="s">
        <v>2677</v>
      </c>
      <c r="AS448" t="s">
        <v>2693</v>
      </c>
      <c r="AT448" t="s">
        <v>8425</v>
      </c>
      <c r="AU448">
        <v>2013</v>
      </c>
      <c r="AV448">
        <v>100</v>
      </c>
      <c r="AW448">
        <v>11</v>
      </c>
      <c r="AX448" t="s">
        <v>74</v>
      </c>
      <c r="AY448" t="s">
        <v>74</v>
      </c>
      <c r="AZ448" t="s">
        <v>74</v>
      </c>
      <c r="BA448" t="s">
        <v>74</v>
      </c>
      <c r="BB448">
        <v>1069</v>
      </c>
      <c r="BC448">
        <v>1081</v>
      </c>
      <c r="BD448" t="s">
        <v>74</v>
      </c>
      <c r="BE448" t="s">
        <v>8959</v>
      </c>
      <c r="BF448" t="str">
        <f>HYPERLINK("http://dx.doi.org/10.1007/s00114-013-1112-8","http://dx.doi.org/10.1007/s00114-013-1112-8")</f>
        <v>http://dx.doi.org/10.1007/s00114-013-1112-8</v>
      </c>
      <c r="BG448" t="s">
        <v>74</v>
      </c>
      <c r="BH448" t="s">
        <v>74</v>
      </c>
      <c r="BI448">
        <v>13</v>
      </c>
      <c r="BJ448" t="s">
        <v>2652</v>
      </c>
      <c r="BK448" t="s">
        <v>99</v>
      </c>
      <c r="BL448" t="s">
        <v>2653</v>
      </c>
      <c r="BM448" t="s">
        <v>8960</v>
      </c>
      <c r="BN448">
        <v>24221581</v>
      </c>
      <c r="BO448" t="s">
        <v>74</v>
      </c>
      <c r="BP448" t="s">
        <v>74</v>
      </c>
      <c r="BQ448" t="s">
        <v>74</v>
      </c>
      <c r="BR448" t="s">
        <v>103</v>
      </c>
      <c r="BS448" t="s">
        <v>8961</v>
      </c>
      <c r="BT448" t="str">
        <f>HYPERLINK("https%3A%2F%2Fwww.webofscience.com%2Fwos%2Fwoscc%2Ffull-record%2FWOS:000328128100008","View Full Record in Web of Science")</f>
        <v>View Full Record in Web of Science</v>
      </c>
    </row>
    <row r="449" spans="1:72" x14ac:dyDescent="0.15">
      <c r="A449" t="s">
        <v>72</v>
      </c>
      <c r="B449" t="s">
        <v>8962</v>
      </c>
      <c r="C449" t="s">
        <v>74</v>
      </c>
      <c r="D449" t="s">
        <v>74</v>
      </c>
      <c r="E449" t="s">
        <v>74</v>
      </c>
      <c r="F449" t="s">
        <v>8963</v>
      </c>
      <c r="G449" t="s">
        <v>74</v>
      </c>
      <c r="H449" t="s">
        <v>74</v>
      </c>
      <c r="I449" t="s">
        <v>8964</v>
      </c>
      <c r="J449" t="s">
        <v>3405</v>
      </c>
      <c r="K449" t="s">
        <v>74</v>
      </c>
      <c r="L449" t="s">
        <v>74</v>
      </c>
      <c r="M449" t="s">
        <v>78</v>
      </c>
      <c r="N449" t="s">
        <v>79</v>
      </c>
      <c r="O449" t="s">
        <v>74</v>
      </c>
      <c r="P449" t="s">
        <v>74</v>
      </c>
      <c r="Q449" t="s">
        <v>74</v>
      </c>
      <c r="R449" t="s">
        <v>74</v>
      </c>
      <c r="S449" t="s">
        <v>74</v>
      </c>
      <c r="T449" t="s">
        <v>8965</v>
      </c>
      <c r="U449" t="s">
        <v>8966</v>
      </c>
      <c r="V449" t="s">
        <v>8967</v>
      </c>
      <c r="W449" t="s">
        <v>8968</v>
      </c>
      <c r="X449" t="s">
        <v>8969</v>
      </c>
      <c r="Y449" t="s">
        <v>8970</v>
      </c>
      <c r="Z449" t="s">
        <v>8971</v>
      </c>
      <c r="AA449" t="s">
        <v>8972</v>
      </c>
      <c r="AB449" t="s">
        <v>8973</v>
      </c>
      <c r="AC449" t="s">
        <v>8974</v>
      </c>
      <c r="AD449" t="s">
        <v>8975</v>
      </c>
      <c r="AE449" t="s">
        <v>8976</v>
      </c>
      <c r="AF449" t="s">
        <v>74</v>
      </c>
      <c r="AG449">
        <v>103</v>
      </c>
      <c r="AH449">
        <v>18</v>
      </c>
      <c r="AI449">
        <v>19</v>
      </c>
      <c r="AJ449">
        <v>0</v>
      </c>
      <c r="AK449">
        <v>25</v>
      </c>
      <c r="AL449" t="s">
        <v>872</v>
      </c>
      <c r="AM449" t="s">
        <v>252</v>
      </c>
      <c r="AN449" t="s">
        <v>873</v>
      </c>
      <c r="AO449" t="s">
        <v>3416</v>
      </c>
      <c r="AP449" t="s">
        <v>4643</v>
      </c>
      <c r="AQ449" t="s">
        <v>74</v>
      </c>
      <c r="AR449" t="s">
        <v>3417</v>
      </c>
      <c r="AS449" t="s">
        <v>3418</v>
      </c>
      <c r="AT449" t="s">
        <v>8493</v>
      </c>
      <c r="AU449">
        <v>2013</v>
      </c>
      <c r="AV449">
        <v>79</v>
      </c>
      <c r="AW449" t="s">
        <v>74</v>
      </c>
      <c r="AX449" t="s">
        <v>74</v>
      </c>
      <c r="AY449" t="s">
        <v>74</v>
      </c>
      <c r="AZ449" t="s">
        <v>283</v>
      </c>
      <c r="BA449" t="s">
        <v>74</v>
      </c>
      <c r="BB449">
        <v>99</v>
      </c>
      <c r="BC449">
        <v>110</v>
      </c>
      <c r="BD449" t="s">
        <v>74</v>
      </c>
      <c r="BE449" t="s">
        <v>8977</v>
      </c>
      <c r="BF449" t="str">
        <f>HYPERLINK("http://dx.doi.org/10.1016/j.quascirev.2013.07.021","http://dx.doi.org/10.1016/j.quascirev.2013.07.021")</f>
        <v>http://dx.doi.org/10.1016/j.quascirev.2013.07.021</v>
      </c>
      <c r="BG449" t="s">
        <v>74</v>
      </c>
      <c r="BH449" t="s">
        <v>74</v>
      </c>
      <c r="BI449">
        <v>12</v>
      </c>
      <c r="BJ449" t="s">
        <v>98</v>
      </c>
      <c r="BK449" t="s">
        <v>99</v>
      </c>
      <c r="BL449" t="s">
        <v>100</v>
      </c>
      <c r="BM449" t="s">
        <v>8978</v>
      </c>
      <c r="BN449" t="s">
        <v>74</v>
      </c>
      <c r="BO449" t="s">
        <v>74</v>
      </c>
      <c r="BP449" t="s">
        <v>74</v>
      </c>
      <c r="BQ449" t="s">
        <v>74</v>
      </c>
      <c r="BR449" t="s">
        <v>103</v>
      </c>
      <c r="BS449" t="s">
        <v>8979</v>
      </c>
      <c r="BT449" t="str">
        <f>HYPERLINK("https%3A%2F%2Fwww.webofscience.com%2Fwos%2Fwoscc%2Ffull-record%2FWOS:000327909900009","View Full Record in Web of Science")</f>
        <v>View Full Record in Web of Science</v>
      </c>
    </row>
    <row r="450" spans="1:72" x14ac:dyDescent="0.15">
      <c r="A450" t="s">
        <v>72</v>
      </c>
      <c r="B450" t="s">
        <v>8980</v>
      </c>
      <c r="C450" t="s">
        <v>74</v>
      </c>
      <c r="D450" t="s">
        <v>74</v>
      </c>
      <c r="E450" t="s">
        <v>74</v>
      </c>
      <c r="F450" t="s">
        <v>8981</v>
      </c>
      <c r="G450" t="s">
        <v>74</v>
      </c>
      <c r="H450" t="s">
        <v>74</v>
      </c>
      <c r="I450" t="s">
        <v>8982</v>
      </c>
      <c r="J450" t="s">
        <v>291</v>
      </c>
      <c r="K450" t="s">
        <v>74</v>
      </c>
      <c r="L450" t="s">
        <v>74</v>
      </c>
      <c r="M450" t="s">
        <v>78</v>
      </c>
      <c r="N450" t="s">
        <v>79</v>
      </c>
      <c r="O450" t="s">
        <v>74</v>
      </c>
      <c r="P450" t="s">
        <v>74</v>
      </c>
      <c r="Q450" t="s">
        <v>74</v>
      </c>
      <c r="R450" t="s">
        <v>74</v>
      </c>
      <c r="S450" t="s">
        <v>74</v>
      </c>
      <c r="T450" t="s">
        <v>8983</v>
      </c>
      <c r="U450" t="s">
        <v>8984</v>
      </c>
      <c r="V450" t="s">
        <v>8985</v>
      </c>
      <c r="W450" t="s">
        <v>8986</v>
      </c>
      <c r="X450" t="s">
        <v>8987</v>
      </c>
      <c r="Y450" t="s">
        <v>8988</v>
      </c>
      <c r="Z450" t="s">
        <v>8989</v>
      </c>
      <c r="AA450" t="s">
        <v>8990</v>
      </c>
      <c r="AB450" t="s">
        <v>8991</v>
      </c>
      <c r="AC450" t="s">
        <v>8992</v>
      </c>
      <c r="AD450" t="s">
        <v>8992</v>
      </c>
      <c r="AE450" t="s">
        <v>8993</v>
      </c>
      <c r="AF450" t="s">
        <v>74</v>
      </c>
      <c r="AG450">
        <v>86</v>
      </c>
      <c r="AH450">
        <v>64</v>
      </c>
      <c r="AI450">
        <v>70</v>
      </c>
      <c r="AJ450">
        <v>5</v>
      </c>
      <c r="AK450">
        <v>54</v>
      </c>
      <c r="AL450" t="s">
        <v>582</v>
      </c>
      <c r="AM450" t="s">
        <v>305</v>
      </c>
      <c r="AN450" t="s">
        <v>583</v>
      </c>
      <c r="AO450" t="s">
        <v>307</v>
      </c>
      <c r="AP450" t="s">
        <v>308</v>
      </c>
      <c r="AQ450" t="s">
        <v>74</v>
      </c>
      <c r="AR450" t="s">
        <v>309</v>
      </c>
      <c r="AS450" t="s">
        <v>310</v>
      </c>
      <c r="AT450" t="s">
        <v>8493</v>
      </c>
      <c r="AU450">
        <v>2013</v>
      </c>
      <c r="AV450">
        <v>381</v>
      </c>
      <c r="AW450" t="s">
        <v>74</v>
      </c>
      <c r="AX450" t="s">
        <v>74</v>
      </c>
      <c r="AY450" t="s">
        <v>74</v>
      </c>
      <c r="AZ450" t="s">
        <v>74</v>
      </c>
      <c r="BA450" t="s">
        <v>74</v>
      </c>
      <c r="BB450">
        <v>156</v>
      </c>
      <c r="BC450">
        <v>165</v>
      </c>
      <c r="BD450" t="s">
        <v>74</v>
      </c>
      <c r="BE450" t="s">
        <v>8994</v>
      </c>
      <c r="BF450" t="str">
        <f>HYPERLINK("http://dx.doi.org/10.1016/j.epsl.2013.08.043","http://dx.doi.org/10.1016/j.epsl.2013.08.043")</f>
        <v>http://dx.doi.org/10.1016/j.epsl.2013.08.043</v>
      </c>
      <c r="BG450" t="s">
        <v>74</v>
      </c>
      <c r="BH450" t="s">
        <v>74</v>
      </c>
      <c r="BI450">
        <v>10</v>
      </c>
      <c r="BJ450" t="s">
        <v>313</v>
      </c>
      <c r="BK450" t="s">
        <v>99</v>
      </c>
      <c r="BL450" t="s">
        <v>313</v>
      </c>
      <c r="BM450" t="s">
        <v>8995</v>
      </c>
      <c r="BN450" t="s">
        <v>74</v>
      </c>
      <c r="BO450" t="s">
        <v>7079</v>
      </c>
      <c r="BP450" t="s">
        <v>74</v>
      </c>
      <c r="BQ450" t="s">
        <v>74</v>
      </c>
      <c r="BR450" t="s">
        <v>103</v>
      </c>
      <c r="BS450" t="s">
        <v>8996</v>
      </c>
      <c r="BT450" t="str">
        <f>HYPERLINK("https%3A%2F%2Fwww.webofscience.com%2Fwos%2Fwoscc%2Ffull-record%2FWOS:000327367800015","View Full Record in Web of Science")</f>
        <v>View Full Record in Web of Science</v>
      </c>
    </row>
    <row r="451" spans="1:72" x14ac:dyDescent="0.15">
      <c r="A451" t="s">
        <v>72</v>
      </c>
      <c r="B451" t="s">
        <v>8997</v>
      </c>
      <c r="C451" t="s">
        <v>74</v>
      </c>
      <c r="D451" t="s">
        <v>74</v>
      </c>
      <c r="E451" t="s">
        <v>74</v>
      </c>
      <c r="F451" t="s">
        <v>8998</v>
      </c>
      <c r="G451" t="s">
        <v>74</v>
      </c>
      <c r="H451" t="s">
        <v>74</v>
      </c>
      <c r="I451" t="s">
        <v>8999</v>
      </c>
      <c r="J451" t="s">
        <v>9000</v>
      </c>
      <c r="K451" t="s">
        <v>74</v>
      </c>
      <c r="L451" t="s">
        <v>74</v>
      </c>
      <c r="M451" t="s">
        <v>78</v>
      </c>
      <c r="N451" t="s">
        <v>79</v>
      </c>
      <c r="O451" t="s">
        <v>74</v>
      </c>
      <c r="P451" t="s">
        <v>74</v>
      </c>
      <c r="Q451" t="s">
        <v>74</v>
      </c>
      <c r="R451" t="s">
        <v>74</v>
      </c>
      <c r="S451" t="s">
        <v>74</v>
      </c>
      <c r="T451" t="s">
        <v>9001</v>
      </c>
      <c r="U451" t="s">
        <v>9002</v>
      </c>
      <c r="V451" t="s">
        <v>9003</v>
      </c>
      <c r="W451" t="s">
        <v>9004</v>
      </c>
      <c r="X451" t="s">
        <v>9005</v>
      </c>
      <c r="Y451" t="s">
        <v>9006</v>
      </c>
      <c r="Z451" t="s">
        <v>9007</v>
      </c>
      <c r="AA451" t="s">
        <v>9008</v>
      </c>
      <c r="AB451" t="s">
        <v>9009</v>
      </c>
      <c r="AC451" t="s">
        <v>9010</v>
      </c>
      <c r="AD451" t="s">
        <v>9010</v>
      </c>
      <c r="AE451" t="s">
        <v>9011</v>
      </c>
      <c r="AF451" t="s">
        <v>74</v>
      </c>
      <c r="AG451">
        <v>46</v>
      </c>
      <c r="AH451">
        <v>18</v>
      </c>
      <c r="AI451">
        <v>19</v>
      </c>
      <c r="AJ451">
        <v>0</v>
      </c>
      <c r="AK451">
        <v>22</v>
      </c>
      <c r="AL451" t="s">
        <v>410</v>
      </c>
      <c r="AM451" t="s">
        <v>411</v>
      </c>
      <c r="AN451" t="s">
        <v>412</v>
      </c>
      <c r="AO451" t="s">
        <v>9012</v>
      </c>
      <c r="AP451" t="s">
        <v>74</v>
      </c>
      <c r="AQ451" t="s">
        <v>74</v>
      </c>
      <c r="AR451" t="s">
        <v>9013</v>
      </c>
      <c r="AS451" t="s">
        <v>9014</v>
      </c>
      <c r="AT451" t="s">
        <v>8425</v>
      </c>
      <c r="AU451">
        <v>2013</v>
      </c>
      <c r="AV451">
        <v>3</v>
      </c>
      <c r="AW451">
        <v>14</v>
      </c>
      <c r="AX451" t="s">
        <v>74</v>
      </c>
      <c r="AY451" t="s">
        <v>74</v>
      </c>
      <c r="AZ451" t="s">
        <v>74</v>
      </c>
      <c r="BA451" t="s">
        <v>74</v>
      </c>
      <c r="BB451">
        <v>4658</v>
      </c>
      <c r="BC451">
        <v>4668</v>
      </c>
      <c r="BD451" t="s">
        <v>74</v>
      </c>
      <c r="BE451" t="s">
        <v>9015</v>
      </c>
      <c r="BF451" t="str">
        <f>HYPERLINK("http://dx.doi.org/10.1002/ece3.846","http://dx.doi.org/10.1002/ece3.846")</f>
        <v>http://dx.doi.org/10.1002/ece3.846</v>
      </c>
      <c r="BG451" t="s">
        <v>74</v>
      </c>
      <c r="BH451" t="s">
        <v>74</v>
      </c>
      <c r="BI451">
        <v>11</v>
      </c>
      <c r="BJ451" t="s">
        <v>9016</v>
      </c>
      <c r="BK451" t="s">
        <v>99</v>
      </c>
      <c r="BL451" t="s">
        <v>9017</v>
      </c>
      <c r="BM451" t="s">
        <v>9018</v>
      </c>
      <c r="BN451">
        <v>24363895</v>
      </c>
      <c r="BO451" t="s">
        <v>831</v>
      </c>
      <c r="BP451" t="s">
        <v>74</v>
      </c>
      <c r="BQ451" t="s">
        <v>74</v>
      </c>
      <c r="BR451" t="s">
        <v>103</v>
      </c>
      <c r="BS451" t="s">
        <v>9019</v>
      </c>
      <c r="BT451" t="str">
        <f>HYPERLINK("https%3A%2F%2Fwww.webofscience.com%2Fwos%2Fwoscc%2Ffull-record%2FWOS:000327304000005","View Full Record in Web of Science")</f>
        <v>View Full Record in Web of Science</v>
      </c>
    </row>
    <row r="452" spans="1:72" x14ac:dyDescent="0.15">
      <c r="A452" t="s">
        <v>72</v>
      </c>
      <c r="B452" t="s">
        <v>9020</v>
      </c>
      <c r="C452" t="s">
        <v>74</v>
      </c>
      <c r="D452" t="s">
        <v>74</v>
      </c>
      <c r="E452" t="s">
        <v>74</v>
      </c>
      <c r="F452" t="s">
        <v>9021</v>
      </c>
      <c r="G452" t="s">
        <v>74</v>
      </c>
      <c r="H452" t="s">
        <v>74</v>
      </c>
      <c r="I452" t="s">
        <v>9022</v>
      </c>
      <c r="J452" t="s">
        <v>6824</v>
      </c>
      <c r="K452" t="s">
        <v>74</v>
      </c>
      <c r="L452" t="s">
        <v>74</v>
      </c>
      <c r="M452" t="s">
        <v>78</v>
      </c>
      <c r="N452" t="s">
        <v>79</v>
      </c>
      <c r="O452" t="s">
        <v>74</v>
      </c>
      <c r="P452" t="s">
        <v>74</v>
      </c>
      <c r="Q452" t="s">
        <v>74</v>
      </c>
      <c r="R452" t="s">
        <v>74</v>
      </c>
      <c r="S452" t="s">
        <v>74</v>
      </c>
      <c r="T452" t="s">
        <v>74</v>
      </c>
      <c r="U452" t="s">
        <v>9023</v>
      </c>
      <c r="V452" t="s">
        <v>9024</v>
      </c>
      <c r="W452" t="s">
        <v>9025</v>
      </c>
      <c r="X452" t="s">
        <v>9026</v>
      </c>
      <c r="Y452" t="s">
        <v>9027</v>
      </c>
      <c r="Z452" t="s">
        <v>74</v>
      </c>
      <c r="AA452" t="s">
        <v>9028</v>
      </c>
      <c r="AB452" t="s">
        <v>9029</v>
      </c>
      <c r="AC452" t="s">
        <v>9030</v>
      </c>
      <c r="AD452" t="s">
        <v>9031</v>
      </c>
      <c r="AE452" t="s">
        <v>9032</v>
      </c>
      <c r="AF452" t="s">
        <v>74</v>
      </c>
      <c r="AG452">
        <v>29</v>
      </c>
      <c r="AH452">
        <v>55</v>
      </c>
      <c r="AI452">
        <v>68</v>
      </c>
      <c r="AJ452">
        <v>0</v>
      </c>
      <c r="AK452">
        <v>26</v>
      </c>
      <c r="AL452" t="s">
        <v>946</v>
      </c>
      <c r="AM452" t="s">
        <v>947</v>
      </c>
      <c r="AN452" t="s">
        <v>948</v>
      </c>
      <c r="AO452" t="s">
        <v>6835</v>
      </c>
      <c r="AP452" t="s">
        <v>6836</v>
      </c>
      <c r="AQ452" t="s">
        <v>74</v>
      </c>
      <c r="AR452" t="s">
        <v>6824</v>
      </c>
      <c r="AS452" t="s">
        <v>338</v>
      </c>
      <c r="AT452" t="s">
        <v>8425</v>
      </c>
      <c r="AU452">
        <v>2013</v>
      </c>
      <c r="AV452">
        <v>41</v>
      </c>
      <c r="AW452">
        <v>11</v>
      </c>
      <c r="AX452" t="s">
        <v>74</v>
      </c>
      <c r="AY452" t="s">
        <v>74</v>
      </c>
      <c r="AZ452" t="s">
        <v>74</v>
      </c>
      <c r="BA452" t="s">
        <v>74</v>
      </c>
      <c r="BB452">
        <v>1159</v>
      </c>
      <c r="BC452">
        <v>1162</v>
      </c>
      <c r="BD452" t="s">
        <v>74</v>
      </c>
      <c r="BE452" t="s">
        <v>9033</v>
      </c>
      <c r="BF452" t="str">
        <f>HYPERLINK("http://dx.doi.org/10.1130/G34654.1","http://dx.doi.org/10.1130/G34654.1")</f>
        <v>http://dx.doi.org/10.1130/G34654.1</v>
      </c>
      <c r="BG452" t="s">
        <v>74</v>
      </c>
      <c r="BH452" t="s">
        <v>74</v>
      </c>
      <c r="BI452">
        <v>4</v>
      </c>
      <c r="BJ452" t="s">
        <v>338</v>
      </c>
      <c r="BK452" t="s">
        <v>99</v>
      </c>
      <c r="BL452" t="s">
        <v>338</v>
      </c>
      <c r="BM452" t="s">
        <v>9034</v>
      </c>
      <c r="BN452" t="s">
        <v>74</v>
      </c>
      <c r="BO452" t="s">
        <v>74</v>
      </c>
      <c r="BP452" t="s">
        <v>74</v>
      </c>
      <c r="BQ452" t="s">
        <v>74</v>
      </c>
      <c r="BR452" t="s">
        <v>103</v>
      </c>
      <c r="BS452" t="s">
        <v>9035</v>
      </c>
      <c r="BT452" t="str">
        <f>HYPERLINK("https%3A%2F%2Fwww.webofscience.com%2Fwos%2Fwoscc%2Ffull-record%2FWOS:000327392200006","View Full Record in Web of Science")</f>
        <v>View Full Record in Web of Science</v>
      </c>
    </row>
    <row r="453" spans="1:72" x14ac:dyDescent="0.15">
      <c r="A453" t="s">
        <v>72</v>
      </c>
      <c r="B453" t="s">
        <v>9036</v>
      </c>
      <c r="C453" t="s">
        <v>74</v>
      </c>
      <c r="D453" t="s">
        <v>74</v>
      </c>
      <c r="E453" t="s">
        <v>74</v>
      </c>
      <c r="F453" t="s">
        <v>9037</v>
      </c>
      <c r="G453" t="s">
        <v>74</v>
      </c>
      <c r="H453" t="s">
        <v>74</v>
      </c>
      <c r="I453" t="s">
        <v>9038</v>
      </c>
      <c r="J453" t="s">
        <v>9039</v>
      </c>
      <c r="K453" t="s">
        <v>74</v>
      </c>
      <c r="L453" t="s">
        <v>74</v>
      </c>
      <c r="M453" t="s">
        <v>78</v>
      </c>
      <c r="N453" t="s">
        <v>79</v>
      </c>
      <c r="O453" t="s">
        <v>74</v>
      </c>
      <c r="P453" t="s">
        <v>74</v>
      </c>
      <c r="Q453" t="s">
        <v>74</v>
      </c>
      <c r="R453" t="s">
        <v>74</v>
      </c>
      <c r="S453" t="s">
        <v>74</v>
      </c>
      <c r="T453" t="s">
        <v>74</v>
      </c>
      <c r="U453" t="s">
        <v>9040</v>
      </c>
      <c r="V453" t="s">
        <v>9041</v>
      </c>
      <c r="W453" t="s">
        <v>9042</v>
      </c>
      <c r="X453" t="s">
        <v>9043</v>
      </c>
      <c r="Y453" t="s">
        <v>9044</v>
      </c>
      <c r="Z453" t="s">
        <v>74</v>
      </c>
      <c r="AA453" t="s">
        <v>74</v>
      </c>
      <c r="AB453" t="s">
        <v>74</v>
      </c>
      <c r="AC453" t="s">
        <v>74</v>
      </c>
      <c r="AD453" t="s">
        <v>74</v>
      </c>
      <c r="AE453" t="s">
        <v>74</v>
      </c>
      <c r="AF453" t="s">
        <v>74</v>
      </c>
      <c r="AG453">
        <v>39</v>
      </c>
      <c r="AH453">
        <v>12</v>
      </c>
      <c r="AI453">
        <v>13</v>
      </c>
      <c r="AJ453">
        <v>0</v>
      </c>
      <c r="AK453">
        <v>34</v>
      </c>
      <c r="AL453" t="s">
        <v>3992</v>
      </c>
      <c r="AM453" t="s">
        <v>252</v>
      </c>
      <c r="AN453" t="s">
        <v>3993</v>
      </c>
      <c r="AO453" t="s">
        <v>9045</v>
      </c>
      <c r="AP453" t="s">
        <v>9046</v>
      </c>
      <c r="AQ453" t="s">
        <v>74</v>
      </c>
      <c r="AR453" t="s">
        <v>9047</v>
      </c>
      <c r="AS453" t="s">
        <v>9048</v>
      </c>
      <c r="AT453" t="s">
        <v>8425</v>
      </c>
      <c r="AU453">
        <v>2013</v>
      </c>
      <c r="AV453">
        <v>89</v>
      </c>
      <c r="AW453">
        <v>6</v>
      </c>
      <c r="AX453" t="s">
        <v>74</v>
      </c>
      <c r="AY453" t="s">
        <v>74</v>
      </c>
      <c r="AZ453" t="s">
        <v>74</v>
      </c>
      <c r="BA453" t="s">
        <v>74</v>
      </c>
      <c r="BB453">
        <v>1429</v>
      </c>
      <c r="BC453" t="s">
        <v>629</v>
      </c>
      <c r="BD453" t="s">
        <v>74</v>
      </c>
      <c r="BE453" t="s">
        <v>9049</v>
      </c>
      <c r="BF453" t="str">
        <f>HYPERLINK("http://dx.doi.org/10.1111/1468-2346.12082","http://dx.doi.org/10.1111/1468-2346.12082")</f>
        <v>http://dx.doi.org/10.1111/1468-2346.12082</v>
      </c>
      <c r="BG453" t="s">
        <v>74</v>
      </c>
      <c r="BH453" t="s">
        <v>74</v>
      </c>
      <c r="BI453">
        <v>17</v>
      </c>
      <c r="BJ453" t="s">
        <v>9050</v>
      </c>
      <c r="BK453" t="s">
        <v>9051</v>
      </c>
      <c r="BL453" t="s">
        <v>9050</v>
      </c>
      <c r="BM453" t="s">
        <v>9052</v>
      </c>
      <c r="BN453" t="s">
        <v>74</v>
      </c>
      <c r="BO453" t="s">
        <v>74</v>
      </c>
      <c r="BP453" t="s">
        <v>74</v>
      </c>
      <c r="BQ453" t="s">
        <v>74</v>
      </c>
      <c r="BR453" t="s">
        <v>103</v>
      </c>
      <c r="BS453" t="s">
        <v>9053</v>
      </c>
      <c r="BT453" t="str">
        <f>HYPERLINK("https%3A%2F%2Fwww.webofscience.com%2Fwos%2Fwoscc%2Ffull-record%2FWOS:000326884500005","View Full Record in Web of Science")</f>
        <v>View Full Record in Web of Science</v>
      </c>
    </row>
    <row r="454" spans="1:72" x14ac:dyDescent="0.15">
      <c r="A454" t="s">
        <v>72</v>
      </c>
      <c r="B454" t="s">
        <v>9054</v>
      </c>
      <c r="C454" t="s">
        <v>74</v>
      </c>
      <c r="D454" t="s">
        <v>74</v>
      </c>
      <c r="E454" t="s">
        <v>74</v>
      </c>
      <c r="F454" t="s">
        <v>9055</v>
      </c>
      <c r="G454" t="s">
        <v>74</v>
      </c>
      <c r="H454" t="s">
        <v>74</v>
      </c>
      <c r="I454" t="s">
        <v>9056</v>
      </c>
      <c r="J454" t="s">
        <v>5566</v>
      </c>
      <c r="K454" t="s">
        <v>74</v>
      </c>
      <c r="L454" t="s">
        <v>74</v>
      </c>
      <c r="M454" t="s">
        <v>78</v>
      </c>
      <c r="N454" t="s">
        <v>79</v>
      </c>
      <c r="O454" t="s">
        <v>74</v>
      </c>
      <c r="P454" t="s">
        <v>74</v>
      </c>
      <c r="Q454" t="s">
        <v>74</v>
      </c>
      <c r="R454" t="s">
        <v>74</v>
      </c>
      <c r="S454" t="s">
        <v>74</v>
      </c>
      <c r="T454" t="s">
        <v>9057</v>
      </c>
      <c r="U454" t="s">
        <v>9058</v>
      </c>
      <c r="V454" t="s">
        <v>9059</v>
      </c>
      <c r="W454" t="s">
        <v>9060</v>
      </c>
      <c r="X454" t="s">
        <v>9061</v>
      </c>
      <c r="Y454" t="s">
        <v>9062</v>
      </c>
      <c r="Z454" t="s">
        <v>9063</v>
      </c>
      <c r="AA454" t="s">
        <v>9064</v>
      </c>
      <c r="AB454" t="s">
        <v>9065</v>
      </c>
      <c r="AC454" t="s">
        <v>9066</v>
      </c>
      <c r="AD454" t="s">
        <v>9066</v>
      </c>
      <c r="AE454" t="s">
        <v>9067</v>
      </c>
      <c r="AF454" t="s">
        <v>74</v>
      </c>
      <c r="AG454">
        <v>61</v>
      </c>
      <c r="AH454">
        <v>4</v>
      </c>
      <c r="AI454">
        <v>4</v>
      </c>
      <c r="AJ454">
        <v>0</v>
      </c>
      <c r="AK454">
        <v>6</v>
      </c>
      <c r="AL454" t="s">
        <v>872</v>
      </c>
      <c r="AM454" t="s">
        <v>252</v>
      </c>
      <c r="AN454" t="s">
        <v>873</v>
      </c>
      <c r="AO454" t="s">
        <v>5577</v>
      </c>
      <c r="AP454" t="s">
        <v>5578</v>
      </c>
      <c r="AQ454" t="s">
        <v>74</v>
      </c>
      <c r="AR454" t="s">
        <v>5579</v>
      </c>
      <c r="AS454" t="s">
        <v>5580</v>
      </c>
      <c r="AT454" t="s">
        <v>8425</v>
      </c>
      <c r="AU454">
        <v>2013</v>
      </c>
      <c r="AV454">
        <v>104</v>
      </c>
      <c r="AW454" t="s">
        <v>74</v>
      </c>
      <c r="AX454" t="s">
        <v>74</v>
      </c>
      <c r="AY454" t="s">
        <v>74</v>
      </c>
      <c r="AZ454" t="s">
        <v>74</v>
      </c>
      <c r="BA454" t="s">
        <v>74</v>
      </c>
      <c r="BB454">
        <v>67</v>
      </c>
      <c r="BC454">
        <v>74</v>
      </c>
      <c r="BD454" t="s">
        <v>74</v>
      </c>
      <c r="BE454" t="s">
        <v>9068</v>
      </c>
      <c r="BF454" t="str">
        <f>HYPERLINK("http://dx.doi.org/10.1016/j.jastp.2013.08.011","http://dx.doi.org/10.1016/j.jastp.2013.08.011")</f>
        <v>http://dx.doi.org/10.1016/j.jastp.2013.08.011</v>
      </c>
      <c r="BG454" t="s">
        <v>74</v>
      </c>
      <c r="BH454" t="s">
        <v>74</v>
      </c>
      <c r="BI454">
        <v>8</v>
      </c>
      <c r="BJ454" t="s">
        <v>5582</v>
      </c>
      <c r="BK454" t="s">
        <v>99</v>
      </c>
      <c r="BL454" t="s">
        <v>5582</v>
      </c>
      <c r="BM454" t="s">
        <v>9069</v>
      </c>
      <c r="BN454" t="s">
        <v>74</v>
      </c>
      <c r="BO454" t="s">
        <v>74</v>
      </c>
      <c r="BP454" t="s">
        <v>74</v>
      </c>
      <c r="BQ454" t="s">
        <v>74</v>
      </c>
      <c r="BR454" t="s">
        <v>103</v>
      </c>
      <c r="BS454" t="s">
        <v>9070</v>
      </c>
      <c r="BT454" t="str">
        <f>HYPERLINK("https%3A%2F%2Fwww.webofscience.com%2Fwos%2Fwoscc%2Ffull-record%2FWOS:000327232100008","View Full Record in Web of Science")</f>
        <v>View Full Record in Web of Science</v>
      </c>
    </row>
    <row r="455" spans="1:72" x14ac:dyDescent="0.15">
      <c r="A455" t="s">
        <v>72</v>
      </c>
      <c r="B455" t="s">
        <v>9071</v>
      </c>
      <c r="C455" t="s">
        <v>74</v>
      </c>
      <c r="D455" t="s">
        <v>74</v>
      </c>
      <c r="E455" t="s">
        <v>74</v>
      </c>
      <c r="F455" t="s">
        <v>9072</v>
      </c>
      <c r="G455" t="s">
        <v>74</v>
      </c>
      <c r="H455" t="s">
        <v>74</v>
      </c>
      <c r="I455" t="s">
        <v>9073</v>
      </c>
      <c r="J455" t="s">
        <v>5566</v>
      </c>
      <c r="K455" t="s">
        <v>74</v>
      </c>
      <c r="L455" t="s">
        <v>74</v>
      </c>
      <c r="M455" t="s">
        <v>78</v>
      </c>
      <c r="N455" t="s">
        <v>79</v>
      </c>
      <c r="O455" t="s">
        <v>74</v>
      </c>
      <c r="P455" t="s">
        <v>74</v>
      </c>
      <c r="Q455" t="s">
        <v>74</v>
      </c>
      <c r="R455" t="s">
        <v>74</v>
      </c>
      <c r="S455" t="s">
        <v>74</v>
      </c>
      <c r="T455" t="s">
        <v>9074</v>
      </c>
      <c r="U455" t="s">
        <v>9075</v>
      </c>
      <c r="V455" t="s">
        <v>9076</v>
      </c>
      <c r="W455" t="s">
        <v>9077</v>
      </c>
      <c r="X455" t="s">
        <v>9078</v>
      </c>
      <c r="Y455" t="s">
        <v>9079</v>
      </c>
      <c r="Z455" t="s">
        <v>9080</v>
      </c>
      <c r="AA455" t="s">
        <v>9081</v>
      </c>
      <c r="AB455" t="s">
        <v>9082</v>
      </c>
      <c r="AC455" t="s">
        <v>9083</v>
      </c>
      <c r="AD455" t="s">
        <v>9084</v>
      </c>
      <c r="AE455" t="s">
        <v>9085</v>
      </c>
      <c r="AF455" t="s">
        <v>74</v>
      </c>
      <c r="AG455">
        <v>64</v>
      </c>
      <c r="AH455">
        <v>16</v>
      </c>
      <c r="AI455">
        <v>16</v>
      </c>
      <c r="AJ455">
        <v>0</v>
      </c>
      <c r="AK455">
        <v>4</v>
      </c>
      <c r="AL455" t="s">
        <v>872</v>
      </c>
      <c r="AM455" t="s">
        <v>252</v>
      </c>
      <c r="AN455" t="s">
        <v>873</v>
      </c>
      <c r="AO455" t="s">
        <v>5577</v>
      </c>
      <c r="AP455" t="s">
        <v>5578</v>
      </c>
      <c r="AQ455" t="s">
        <v>74</v>
      </c>
      <c r="AR455" t="s">
        <v>5579</v>
      </c>
      <c r="AS455" t="s">
        <v>5580</v>
      </c>
      <c r="AT455" t="s">
        <v>8425</v>
      </c>
      <c r="AU455">
        <v>2013</v>
      </c>
      <c r="AV455">
        <v>104</v>
      </c>
      <c r="AW455" t="s">
        <v>74</v>
      </c>
      <c r="AX455" t="s">
        <v>74</v>
      </c>
      <c r="AY455" t="s">
        <v>74</v>
      </c>
      <c r="AZ455" t="s">
        <v>74</v>
      </c>
      <c r="BA455" t="s">
        <v>74</v>
      </c>
      <c r="BB455">
        <v>244</v>
      </c>
      <c r="BC455">
        <v>252</v>
      </c>
      <c r="BD455" t="s">
        <v>74</v>
      </c>
      <c r="BE455" t="s">
        <v>9086</v>
      </c>
      <c r="BF455" t="str">
        <f>HYPERLINK("http://dx.doi.org/10.1016/j.jastp.2013.01.004","http://dx.doi.org/10.1016/j.jastp.2013.01.004")</f>
        <v>http://dx.doi.org/10.1016/j.jastp.2013.01.004</v>
      </c>
      <c r="BG455" t="s">
        <v>74</v>
      </c>
      <c r="BH455" t="s">
        <v>74</v>
      </c>
      <c r="BI455">
        <v>9</v>
      </c>
      <c r="BJ455" t="s">
        <v>5582</v>
      </c>
      <c r="BK455" t="s">
        <v>99</v>
      </c>
      <c r="BL455" t="s">
        <v>5582</v>
      </c>
      <c r="BM455" t="s">
        <v>9069</v>
      </c>
      <c r="BN455" t="s">
        <v>74</v>
      </c>
      <c r="BO455" t="s">
        <v>74</v>
      </c>
      <c r="BP455" t="s">
        <v>74</v>
      </c>
      <c r="BQ455" t="s">
        <v>74</v>
      </c>
      <c r="BR455" t="s">
        <v>103</v>
      </c>
      <c r="BS455" t="s">
        <v>9087</v>
      </c>
      <c r="BT455" t="str">
        <f>HYPERLINK("https%3A%2F%2Fwww.webofscience.com%2Fwos%2Fwoscc%2Ffull-record%2FWOS:000327232100023","View Full Record in Web of Science")</f>
        <v>View Full Record in Web of Science</v>
      </c>
    </row>
    <row r="456" spans="1:72" x14ac:dyDescent="0.15">
      <c r="A456" t="s">
        <v>72</v>
      </c>
      <c r="B456" t="s">
        <v>9088</v>
      </c>
      <c r="C456" t="s">
        <v>74</v>
      </c>
      <c r="D456" t="s">
        <v>74</v>
      </c>
      <c r="E456" t="s">
        <v>74</v>
      </c>
      <c r="F456" t="s">
        <v>9089</v>
      </c>
      <c r="G456" t="s">
        <v>74</v>
      </c>
      <c r="H456" t="s">
        <v>74</v>
      </c>
      <c r="I456" t="s">
        <v>9090</v>
      </c>
      <c r="J456" t="s">
        <v>9091</v>
      </c>
      <c r="K456" t="s">
        <v>74</v>
      </c>
      <c r="L456" t="s">
        <v>74</v>
      </c>
      <c r="M456" t="s">
        <v>78</v>
      </c>
      <c r="N456" t="s">
        <v>79</v>
      </c>
      <c r="O456" t="s">
        <v>74</v>
      </c>
      <c r="P456" t="s">
        <v>74</v>
      </c>
      <c r="Q456" t="s">
        <v>74</v>
      </c>
      <c r="R456" t="s">
        <v>74</v>
      </c>
      <c r="S456" t="s">
        <v>74</v>
      </c>
      <c r="T456" t="s">
        <v>9092</v>
      </c>
      <c r="U456" t="s">
        <v>9093</v>
      </c>
      <c r="V456" t="s">
        <v>9094</v>
      </c>
      <c r="W456" t="s">
        <v>9095</v>
      </c>
      <c r="X456" t="s">
        <v>9096</v>
      </c>
      <c r="Y456" t="s">
        <v>9097</v>
      </c>
      <c r="Z456" t="s">
        <v>9098</v>
      </c>
      <c r="AA456" t="s">
        <v>74</v>
      </c>
      <c r="AB456" t="s">
        <v>74</v>
      </c>
      <c r="AC456" t="s">
        <v>74</v>
      </c>
      <c r="AD456" t="s">
        <v>74</v>
      </c>
      <c r="AE456" t="s">
        <v>74</v>
      </c>
      <c r="AF456" t="s">
        <v>74</v>
      </c>
      <c r="AG456">
        <v>110</v>
      </c>
      <c r="AH456">
        <v>0</v>
      </c>
      <c r="AI456">
        <v>0</v>
      </c>
      <c r="AJ456">
        <v>0</v>
      </c>
      <c r="AK456">
        <v>24</v>
      </c>
      <c r="AL456" t="s">
        <v>276</v>
      </c>
      <c r="AM456" t="s">
        <v>277</v>
      </c>
      <c r="AN456" t="s">
        <v>278</v>
      </c>
      <c r="AO456" t="s">
        <v>9099</v>
      </c>
      <c r="AP456" t="s">
        <v>9100</v>
      </c>
      <c r="AQ456" t="s">
        <v>74</v>
      </c>
      <c r="AR456" t="s">
        <v>9101</v>
      </c>
      <c r="AS456" t="s">
        <v>9102</v>
      </c>
      <c r="AT456" t="s">
        <v>8493</v>
      </c>
      <c r="AU456">
        <v>2013</v>
      </c>
      <c r="AV456">
        <v>47</v>
      </c>
      <c r="AW456" t="s">
        <v>9103</v>
      </c>
      <c r="AX456" t="s">
        <v>74</v>
      </c>
      <c r="AY456" t="s">
        <v>74</v>
      </c>
      <c r="AZ456" t="s">
        <v>74</v>
      </c>
      <c r="BA456" t="s">
        <v>74</v>
      </c>
      <c r="BB456">
        <v>2769</v>
      </c>
      <c r="BC456">
        <v>2784</v>
      </c>
      <c r="BD456" t="s">
        <v>74</v>
      </c>
      <c r="BE456" t="s">
        <v>9104</v>
      </c>
      <c r="BF456" t="str">
        <f>HYPERLINK("http://dx.doi.org/10.1080/00222933.2013.791890","http://dx.doi.org/10.1080/00222933.2013.791890")</f>
        <v>http://dx.doi.org/10.1080/00222933.2013.791890</v>
      </c>
      <c r="BG456" t="s">
        <v>74</v>
      </c>
      <c r="BH456" t="s">
        <v>74</v>
      </c>
      <c r="BI456">
        <v>16</v>
      </c>
      <c r="BJ456" t="s">
        <v>9105</v>
      </c>
      <c r="BK456" t="s">
        <v>99</v>
      </c>
      <c r="BL456" t="s">
        <v>5329</v>
      </c>
      <c r="BM456" t="s">
        <v>9106</v>
      </c>
      <c r="BN456" t="s">
        <v>74</v>
      </c>
      <c r="BO456" t="s">
        <v>74</v>
      </c>
      <c r="BP456" t="s">
        <v>74</v>
      </c>
      <c r="BQ456" t="s">
        <v>74</v>
      </c>
      <c r="BR456" t="s">
        <v>103</v>
      </c>
      <c r="BS456" t="s">
        <v>9107</v>
      </c>
      <c r="BT456" t="str">
        <f>HYPERLINK("https%3A%2F%2Fwww.webofscience.com%2Fwos%2Fwoscc%2Ffull-record%2FWOS:000327474100005","View Full Record in Web of Science")</f>
        <v>View Full Record in Web of Science</v>
      </c>
    </row>
    <row r="457" spans="1:72" x14ac:dyDescent="0.15">
      <c r="A457" t="s">
        <v>72</v>
      </c>
      <c r="B457" t="s">
        <v>9108</v>
      </c>
      <c r="C457" t="s">
        <v>74</v>
      </c>
      <c r="D457" t="s">
        <v>74</v>
      </c>
      <c r="E457" t="s">
        <v>74</v>
      </c>
      <c r="F457" t="s">
        <v>9109</v>
      </c>
      <c r="G457" t="s">
        <v>74</v>
      </c>
      <c r="H457" t="s">
        <v>74</v>
      </c>
      <c r="I457" t="s">
        <v>9110</v>
      </c>
      <c r="J457" t="s">
        <v>9111</v>
      </c>
      <c r="K457" t="s">
        <v>74</v>
      </c>
      <c r="L457" t="s">
        <v>74</v>
      </c>
      <c r="M457" t="s">
        <v>78</v>
      </c>
      <c r="N457" t="s">
        <v>79</v>
      </c>
      <c r="O457" t="s">
        <v>74</v>
      </c>
      <c r="P457" t="s">
        <v>74</v>
      </c>
      <c r="Q457" t="s">
        <v>74</v>
      </c>
      <c r="R457" t="s">
        <v>74</v>
      </c>
      <c r="S457" t="s">
        <v>74</v>
      </c>
      <c r="T457" t="s">
        <v>9112</v>
      </c>
      <c r="U457" t="s">
        <v>9113</v>
      </c>
      <c r="V457" t="s">
        <v>9114</v>
      </c>
      <c r="W457" t="s">
        <v>9115</v>
      </c>
      <c r="X457" t="s">
        <v>9116</v>
      </c>
      <c r="Y457" t="s">
        <v>9117</v>
      </c>
      <c r="Z457" t="s">
        <v>9118</v>
      </c>
      <c r="AA457" t="s">
        <v>74</v>
      </c>
      <c r="AB457" t="s">
        <v>9119</v>
      </c>
      <c r="AC457" t="s">
        <v>9120</v>
      </c>
      <c r="AD457" t="s">
        <v>9121</v>
      </c>
      <c r="AE457" t="s">
        <v>9122</v>
      </c>
      <c r="AF457" t="s">
        <v>74</v>
      </c>
      <c r="AG457">
        <v>175</v>
      </c>
      <c r="AH457">
        <v>86</v>
      </c>
      <c r="AI457">
        <v>102</v>
      </c>
      <c r="AJ457">
        <v>0</v>
      </c>
      <c r="AK457">
        <v>28</v>
      </c>
      <c r="AL457" t="s">
        <v>2140</v>
      </c>
      <c r="AM457" t="s">
        <v>2141</v>
      </c>
      <c r="AN457" t="s">
        <v>2142</v>
      </c>
      <c r="AO457" t="s">
        <v>9123</v>
      </c>
      <c r="AP457" t="s">
        <v>9124</v>
      </c>
      <c r="AQ457" t="s">
        <v>74</v>
      </c>
      <c r="AR457" t="s">
        <v>9111</v>
      </c>
      <c r="AS457" t="s">
        <v>9125</v>
      </c>
      <c r="AT457" t="s">
        <v>9126</v>
      </c>
      <c r="AU457">
        <v>2013</v>
      </c>
      <c r="AV457">
        <v>105</v>
      </c>
      <c r="AW457">
        <v>6</v>
      </c>
      <c r="AX457" t="s">
        <v>74</v>
      </c>
      <c r="AY457" t="s">
        <v>74</v>
      </c>
      <c r="AZ457" t="s">
        <v>74</v>
      </c>
      <c r="BA457" t="s">
        <v>74</v>
      </c>
      <c r="BB457">
        <v>1391</v>
      </c>
      <c r="BC457">
        <v>1411</v>
      </c>
      <c r="BD457" t="s">
        <v>74</v>
      </c>
      <c r="BE457" t="s">
        <v>9127</v>
      </c>
      <c r="BF457" t="str">
        <f>HYPERLINK("http://dx.doi.org/10.3852/13-051","http://dx.doi.org/10.3852/13-051")</f>
        <v>http://dx.doi.org/10.3852/13-051</v>
      </c>
      <c r="BG457" t="s">
        <v>74</v>
      </c>
      <c r="BH457" t="s">
        <v>74</v>
      </c>
      <c r="BI457">
        <v>21</v>
      </c>
      <c r="BJ457" t="s">
        <v>790</v>
      </c>
      <c r="BK457" t="s">
        <v>99</v>
      </c>
      <c r="BL457" t="s">
        <v>790</v>
      </c>
      <c r="BM457" t="s">
        <v>9128</v>
      </c>
      <c r="BN457">
        <v>23935025</v>
      </c>
      <c r="BO457" t="s">
        <v>74</v>
      </c>
      <c r="BP457" t="s">
        <v>74</v>
      </c>
      <c r="BQ457" t="s">
        <v>74</v>
      </c>
      <c r="BR457" t="s">
        <v>103</v>
      </c>
      <c r="BS457" t="s">
        <v>9129</v>
      </c>
      <c r="BT457" t="str">
        <f>HYPERLINK("https%3A%2F%2Fwww.webofscience.com%2Fwos%2Fwoscc%2Ffull-record%2FWOS:000327569700004","View Full Record in Web of Science")</f>
        <v>View Full Record in Web of Science</v>
      </c>
    </row>
    <row r="458" spans="1:72" x14ac:dyDescent="0.15">
      <c r="A458" t="s">
        <v>72</v>
      </c>
      <c r="B458" t="s">
        <v>9130</v>
      </c>
      <c r="C458" t="s">
        <v>74</v>
      </c>
      <c r="D458" t="s">
        <v>74</v>
      </c>
      <c r="E458" t="s">
        <v>74</v>
      </c>
      <c r="F458" t="s">
        <v>9131</v>
      </c>
      <c r="G458" t="s">
        <v>74</v>
      </c>
      <c r="H458" t="s">
        <v>74</v>
      </c>
      <c r="I458" t="s">
        <v>9132</v>
      </c>
      <c r="J458" t="s">
        <v>9133</v>
      </c>
      <c r="K458" t="s">
        <v>74</v>
      </c>
      <c r="L458" t="s">
        <v>74</v>
      </c>
      <c r="M458" t="s">
        <v>78</v>
      </c>
      <c r="N458" t="s">
        <v>79</v>
      </c>
      <c r="O458" t="s">
        <v>74</v>
      </c>
      <c r="P458" t="s">
        <v>74</v>
      </c>
      <c r="Q458" t="s">
        <v>74</v>
      </c>
      <c r="R458" t="s">
        <v>74</v>
      </c>
      <c r="S458" t="s">
        <v>74</v>
      </c>
      <c r="T458" t="s">
        <v>74</v>
      </c>
      <c r="U458" t="s">
        <v>74</v>
      </c>
      <c r="V458" t="s">
        <v>74</v>
      </c>
      <c r="W458" t="s">
        <v>74</v>
      </c>
      <c r="X458" t="s">
        <v>74</v>
      </c>
      <c r="Y458" t="s">
        <v>74</v>
      </c>
      <c r="Z458" t="s">
        <v>74</v>
      </c>
      <c r="AA458" t="s">
        <v>74</v>
      </c>
      <c r="AB458" t="s">
        <v>74</v>
      </c>
      <c r="AC458" t="s">
        <v>74</v>
      </c>
      <c r="AD458" t="s">
        <v>74</v>
      </c>
      <c r="AE458" t="s">
        <v>74</v>
      </c>
      <c r="AF458" t="s">
        <v>74</v>
      </c>
      <c r="AG458">
        <v>0</v>
      </c>
      <c r="AH458">
        <v>0</v>
      </c>
      <c r="AI458">
        <v>0</v>
      </c>
      <c r="AJ458">
        <v>0</v>
      </c>
      <c r="AK458">
        <v>0</v>
      </c>
      <c r="AL458" t="s">
        <v>9134</v>
      </c>
      <c r="AM458" t="s">
        <v>9135</v>
      </c>
      <c r="AN458" t="s">
        <v>9136</v>
      </c>
      <c r="AO458" t="s">
        <v>9137</v>
      </c>
      <c r="AP458" t="s">
        <v>74</v>
      </c>
      <c r="AQ458" t="s">
        <v>74</v>
      </c>
      <c r="AR458" t="s">
        <v>9138</v>
      </c>
      <c r="AS458" t="s">
        <v>9139</v>
      </c>
      <c r="AT458" t="s">
        <v>8425</v>
      </c>
      <c r="AU458">
        <v>2013</v>
      </c>
      <c r="AV458">
        <v>54</v>
      </c>
      <c r="AW458">
        <v>11</v>
      </c>
      <c r="AX458" t="s">
        <v>74</v>
      </c>
      <c r="AY458" t="s">
        <v>74</v>
      </c>
      <c r="AZ458" t="s">
        <v>74</v>
      </c>
      <c r="BA458" t="s">
        <v>74</v>
      </c>
      <c r="BB458">
        <v>43</v>
      </c>
      <c r="BC458">
        <v>44</v>
      </c>
      <c r="BD458" t="s">
        <v>74</v>
      </c>
      <c r="BE458" t="s">
        <v>74</v>
      </c>
      <c r="BF458" t="s">
        <v>74</v>
      </c>
      <c r="BG458" t="s">
        <v>74</v>
      </c>
      <c r="BH458" t="s">
        <v>74</v>
      </c>
      <c r="BI458">
        <v>2</v>
      </c>
      <c r="BJ458" t="s">
        <v>9140</v>
      </c>
      <c r="BK458" t="s">
        <v>99</v>
      </c>
      <c r="BL458" t="s">
        <v>4044</v>
      </c>
      <c r="BM458" t="s">
        <v>9141</v>
      </c>
      <c r="BN458" t="s">
        <v>74</v>
      </c>
      <c r="BO458" t="s">
        <v>74</v>
      </c>
      <c r="BP458" t="s">
        <v>74</v>
      </c>
      <c r="BQ458" t="s">
        <v>74</v>
      </c>
      <c r="BR458" t="s">
        <v>103</v>
      </c>
      <c r="BS458" t="s">
        <v>9142</v>
      </c>
      <c r="BT458" t="str">
        <f>HYPERLINK("https%3A%2F%2Fwww.webofscience.com%2Fwos%2Fwoscc%2Ffull-record%2FWOS:000327678500010","View Full Record in Web of Science")</f>
        <v>View Full Record in Web of Science</v>
      </c>
    </row>
    <row r="459" spans="1:72" x14ac:dyDescent="0.15">
      <c r="A459" t="s">
        <v>72</v>
      </c>
      <c r="B459" t="s">
        <v>9143</v>
      </c>
      <c r="C459" t="s">
        <v>74</v>
      </c>
      <c r="D459" t="s">
        <v>74</v>
      </c>
      <c r="E459" t="s">
        <v>74</v>
      </c>
      <c r="F459" t="s">
        <v>9144</v>
      </c>
      <c r="G459" t="s">
        <v>74</v>
      </c>
      <c r="H459" t="s">
        <v>74</v>
      </c>
      <c r="I459" t="s">
        <v>9145</v>
      </c>
      <c r="J459" t="s">
        <v>9146</v>
      </c>
      <c r="K459" t="s">
        <v>74</v>
      </c>
      <c r="L459" t="s">
        <v>74</v>
      </c>
      <c r="M459" t="s">
        <v>78</v>
      </c>
      <c r="N459" t="s">
        <v>79</v>
      </c>
      <c r="O459" t="s">
        <v>74</v>
      </c>
      <c r="P459" t="s">
        <v>74</v>
      </c>
      <c r="Q459" t="s">
        <v>74</v>
      </c>
      <c r="R459" t="s">
        <v>74</v>
      </c>
      <c r="S459" t="s">
        <v>74</v>
      </c>
      <c r="T459" t="s">
        <v>9147</v>
      </c>
      <c r="U459" t="s">
        <v>9148</v>
      </c>
      <c r="V459" t="s">
        <v>9149</v>
      </c>
      <c r="W459" t="s">
        <v>9150</v>
      </c>
      <c r="X459" t="s">
        <v>9151</v>
      </c>
      <c r="Y459" t="s">
        <v>9152</v>
      </c>
      <c r="Z459" t="s">
        <v>9153</v>
      </c>
      <c r="AA459" t="s">
        <v>9154</v>
      </c>
      <c r="AB459" t="s">
        <v>9155</v>
      </c>
      <c r="AC459" t="s">
        <v>9156</v>
      </c>
      <c r="AD459" t="s">
        <v>9157</v>
      </c>
      <c r="AE459" t="s">
        <v>9158</v>
      </c>
      <c r="AF459" t="s">
        <v>74</v>
      </c>
      <c r="AG459">
        <v>46</v>
      </c>
      <c r="AH459">
        <v>21</v>
      </c>
      <c r="AI459">
        <v>27</v>
      </c>
      <c r="AJ459">
        <v>1</v>
      </c>
      <c r="AK459">
        <v>34</v>
      </c>
      <c r="AL459" t="s">
        <v>410</v>
      </c>
      <c r="AM459" t="s">
        <v>411</v>
      </c>
      <c r="AN459" t="s">
        <v>412</v>
      </c>
      <c r="AO459" t="s">
        <v>9159</v>
      </c>
      <c r="AP459" t="s">
        <v>9160</v>
      </c>
      <c r="AQ459" t="s">
        <v>74</v>
      </c>
      <c r="AR459" t="s">
        <v>9161</v>
      </c>
      <c r="AS459" t="s">
        <v>9162</v>
      </c>
      <c r="AT459" t="s">
        <v>8425</v>
      </c>
      <c r="AU459">
        <v>2013</v>
      </c>
      <c r="AV459">
        <v>280</v>
      </c>
      <c r="AW459">
        <v>22</v>
      </c>
      <c r="AX459" t="s">
        <v>74</v>
      </c>
      <c r="AY459" t="s">
        <v>74</v>
      </c>
      <c r="AZ459" t="s">
        <v>74</v>
      </c>
      <c r="BA459" t="s">
        <v>74</v>
      </c>
      <c r="BB459">
        <v>5919</v>
      </c>
      <c r="BC459">
        <v>5932</v>
      </c>
      <c r="BD459" t="s">
        <v>74</v>
      </c>
      <c r="BE459" t="s">
        <v>9163</v>
      </c>
      <c r="BF459" t="str">
        <f>HYPERLINK("http://dx.doi.org/10.1111/febs.12518","http://dx.doi.org/10.1111/febs.12518")</f>
        <v>http://dx.doi.org/10.1111/febs.12518</v>
      </c>
      <c r="BG459" t="s">
        <v>74</v>
      </c>
      <c r="BH459" t="s">
        <v>74</v>
      </c>
      <c r="BI459">
        <v>14</v>
      </c>
      <c r="BJ459" t="s">
        <v>234</v>
      </c>
      <c r="BK459" t="s">
        <v>99</v>
      </c>
      <c r="BL459" t="s">
        <v>234</v>
      </c>
      <c r="BM459" t="s">
        <v>9164</v>
      </c>
      <c r="BN459">
        <v>24024640</v>
      </c>
      <c r="BO459" t="s">
        <v>475</v>
      </c>
      <c r="BP459" t="s">
        <v>74</v>
      </c>
      <c r="BQ459" t="s">
        <v>74</v>
      </c>
      <c r="BR459" t="s">
        <v>103</v>
      </c>
      <c r="BS459" t="s">
        <v>9165</v>
      </c>
      <c r="BT459" t="str">
        <f>HYPERLINK("https%3A%2F%2Fwww.webofscience.com%2Fwos%2Fwoscc%2Ffull-record%2FWOS:000327130900028","View Full Record in Web of Science")</f>
        <v>View Full Record in Web of Science</v>
      </c>
    </row>
    <row r="460" spans="1:72" x14ac:dyDescent="0.15">
      <c r="A460" t="s">
        <v>72</v>
      </c>
      <c r="B460" t="s">
        <v>9166</v>
      </c>
      <c r="C460" t="s">
        <v>74</v>
      </c>
      <c r="D460" t="s">
        <v>74</v>
      </c>
      <c r="E460" t="s">
        <v>74</v>
      </c>
      <c r="F460" t="s">
        <v>9167</v>
      </c>
      <c r="G460" t="s">
        <v>74</v>
      </c>
      <c r="H460" t="s">
        <v>74</v>
      </c>
      <c r="I460" t="s">
        <v>9168</v>
      </c>
      <c r="J460" t="s">
        <v>9169</v>
      </c>
      <c r="K460" t="s">
        <v>74</v>
      </c>
      <c r="L460" t="s">
        <v>74</v>
      </c>
      <c r="M460" t="s">
        <v>78</v>
      </c>
      <c r="N460" t="s">
        <v>79</v>
      </c>
      <c r="O460" t="s">
        <v>74</v>
      </c>
      <c r="P460" t="s">
        <v>74</v>
      </c>
      <c r="Q460" t="s">
        <v>74</v>
      </c>
      <c r="R460" t="s">
        <v>74</v>
      </c>
      <c r="S460" t="s">
        <v>74</v>
      </c>
      <c r="T460" t="s">
        <v>9170</v>
      </c>
      <c r="U460" t="s">
        <v>9171</v>
      </c>
      <c r="V460" t="s">
        <v>9172</v>
      </c>
      <c r="W460" t="s">
        <v>9173</v>
      </c>
      <c r="X460" t="s">
        <v>9174</v>
      </c>
      <c r="Y460" t="s">
        <v>9175</v>
      </c>
      <c r="Z460" t="s">
        <v>9176</v>
      </c>
      <c r="AA460" t="s">
        <v>9177</v>
      </c>
      <c r="AB460" t="s">
        <v>9178</v>
      </c>
      <c r="AC460" t="s">
        <v>9179</v>
      </c>
      <c r="AD460" t="s">
        <v>9180</v>
      </c>
      <c r="AE460" t="s">
        <v>9181</v>
      </c>
      <c r="AF460" t="s">
        <v>74</v>
      </c>
      <c r="AG460">
        <v>23</v>
      </c>
      <c r="AH460">
        <v>32</v>
      </c>
      <c r="AI460">
        <v>39</v>
      </c>
      <c r="AJ460">
        <v>7</v>
      </c>
      <c r="AK460">
        <v>53</v>
      </c>
      <c r="AL460" t="s">
        <v>9182</v>
      </c>
      <c r="AM460" t="s">
        <v>9183</v>
      </c>
      <c r="AN460" t="s">
        <v>9184</v>
      </c>
      <c r="AO460" t="s">
        <v>9185</v>
      </c>
      <c r="AP460" t="s">
        <v>9186</v>
      </c>
      <c r="AQ460" t="s">
        <v>74</v>
      </c>
      <c r="AR460" t="s">
        <v>9187</v>
      </c>
      <c r="AS460" t="s">
        <v>9188</v>
      </c>
      <c r="AT460" t="s">
        <v>8425</v>
      </c>
      <c r="AU460">
        <v>2013</v>
      </c>
      <c r="AV460">
        <v>58</v>
      </c>
      <c r="AW460">
        <v>32</v>
      </c>
      <c r="AX460" t="s">
        <v>74</v>
      </c>
      <c r="AY460" t="s">
        <v>74</v>
      </c>
      <c r="AZ460" t="s">
        <v>74</v>
      </c>
      <c r="BA460" t="s">
        <v>74</v>
      </c>
      <c r="BB460">
        <v>3956</v>
      </c>
      <c r="BC460">
        <v>3961</v>
      </c>
      <c r="BD460" t="s">
        <v>74</v>
      </c>
      <c r="BE460" t="s">
        <v>9189</v>
      </c>
      <c r="BF460" t="str">
        <f>HYPERLINK("http://dx.doi.org/10.1007/s11434-013-5913-0","http://dx.doi.org/10.1007/s11434-013-5913-0")</f>
        <v>http://dx.doi.org/10.1007/s11434-013-5913-0</v>
      </c>
      <c r="BG460" t="s">
        <v>74</v>
      </c>
      <c r="BH460" t="s">
        <v>74</v>
      </c>
      <c r="BI460">
        <v>6</v>
      </c>
      <c r="BJ460" t="s">
        <v>2652</v>
      </c>
      <c r="BK460" t="s">
        <v>99</v>
      </c>
      <c r="BL460" t="s">
        <v>2653</v>
      </c>
      <c r="BM460" t="s">
        <v>9190</v>
      </c>
      <c r="BN460" t="s">
        <v>74</v>
      </c>
      <c r="BO460" t="s">
        <v>475</v>
      </c>
      <c r="BP460" t="s">
        <v>74</v>
      </c>
      <c r="BQ460" t="s">
        <v>74</v>
      </c>
      <c r="BR460" t="s">
        <v>103</v>
      </c>
      <c r="BS460" t="s">
        <v>9191</v>
      </c>
      <c r="BT460" t="str">
        <f>HYPERLINK("https%3A%2F%2Fwww.webofscience.com%2Fwos%2Fwoscc%2Ffull-record%2FWOS:000326827900010","View Full Record in Web of Science")</f>
        <v>View Full Record in Web of Science</v>
      </c>
    </row>
    <row r="461" spans="1:72" x14ac:dyDescent="0.15">
      <c r="A461" t="s">
        <v>72</v>
      </c>
      <c r="B461" t="s">
        <v>9192</v>
      </c>
      <c r="C461" t="s">
        <v>74</v>
      </c>
      <c r="D461" t="s">
        <v>74</v>
      </c>
      <c r="E461" t="s">
        <v>74</v>
      </c>
      <c r="F461" t="s">
        <v>9193</v>
      </c>
      <c r="G461" t="s">
        <v>74</v>
      </c>
      <c r="H461" t="s">
        <v>74</v>
      </c>
      <c r="I461" t="s">
        <v>9194</v>
      </c>
      <c r="J461" t="s">
        <v>6300</v>
      </c>
      <c r="K461" t="s">
        <v>74</v>
      </c>
      <c r="L461" t="s">
        <v>74</v>
      </c>
      <c r="M461" t="s">
        <v>78</v>
      </c>
      <c r="N461" t="s">
        <v>79</v>
      </c>
      <c r="O461" t="s">
        <v>74</v>
      </c>
      <c r="P461" t="s">
        <v>74</v>
      </c>
      <c r="Q461" t="s">
        <v>74</v>
      </c>
      <c r="R461" t="s">
        <v>74</v>
      </c>
      <c r="S461" t="s">
        <v>74</v>
      </c>
      <c r="T461" t="s">
        <v>9195</v>
      </c>
      <c r="U461" t="s">
        <v>9196</v>
      </c>
      <c r="V461" t="s">
        <v>9197</v>
      </c>
      <c r="W461" t="s">
        <v>9198</v>
      </c>
      <c r="X461" t="s">
        <v>9199</v>
      </c>
      <c r="Y461" t="s">
        <v>9200</v>
      </c>
      <c r="Z461" t="s">
        <v>9201</v>
      </c>
      <c r="AA461" t="s">
        <v>9202</v>
      </c>
      <c r="AB461" t="s">
        <v>9203</v>
      </c>
      <c r="AC461" t="s">
        <v>9204</v>
      </c>
      <c r="AD461" t="s">
        <v>9205</v>
      </c>
      <c r="AE461" t="s">
        <v>9206</v>
      </c>
      <c r="AF461" t="s">
        <v>74</v>
      </c>
      <c r="AG461">
        <v>43</v>
      </c>
      <c r="AH461">
        <v>69</v>
      </c>
      <c r="AI461">
        <v>73</v>
      </c>
      <c r="AJ461">
        <v>2</v>
      </c>
      <c r="AK461">
        <v>22</v>
      </c>
      <c r="AL461" t="s">
        <v>1067</v>
      </c>
      <c r="AM461" t="s">
        <v>921</v>
      </c>
      <c r="AN461" t="s">
        <v>2690</v>
      </c>
      <c r="AO461" t="s">
        <v>6313</v>
      </c>
      <c r="AP461" t="s">
        <v>6314</v>
      </c>
      <c r="AQ461" t="s">
        <v>74</v>
      </c>
      <c r="AR461" t="s">
        <v>6315</v>
      </c>
      <c r="AS461" t="s">
        <v>6316</v>
      </c>
      <c r="AT461" t="s">
        <v>8425</v>
      </c>
      <c r="AU461">
        <v>2013</v>
      </c>
      <c r="AV461">
        <v>41</v>
      </c>
      <c r="AW461" t="s">
        <v>9207</v>
      </c>
      <c r="AX461" t="s">
        <v>74</v>
      </c>
      <c r="AY461" t="s">
        <v>74</v>
      </c>
      <c r="AZ461" t="s">
        <v>74</v>
      </c>
      <c r="BA461" t="s">
        <v>74</v>
      </c>
      <c r="BB461">
        <v>2331</v>
      </c>
      <c r="BC461">
        <v>2351</v>
      </c>
      <c r="BD461" t="s">
        <v>74</v>
      </c>
      <c r="BE461" t="s">
        <v>9208</v>
      </c>
      <c r="BF461" t="str">
        <f>HYPERLINK("http://dx.doi.org/10.1007/s00382-012-1579-6","http://dx.doi.org/10.1007/s00382-012-1579-6")</f>
        <v>http://dx.doi.org/10.1007/s00382-012-1579-6</v>
      </c>
      <c r="BG461" t="s">
        <v>74</v>
      </c>
      <c r="BH461" t="s">
        <v>74</v>
      </c>
      <c r="BI461">
        <v>21</v>
      </c>
      <c r="BJ461" t="s">
        <v>1503</v>
      </c>
      <c r="BK461" t="s">
        <v>99</v>
      </c>
      <c r="BL461" t="s">
        <v>1503</v>
      </c>
      <c r="BM461" t="s">
        <v>9209</v>
      </c>
      <c r="BN461" t="s">
        <v>74</v>
      </c>
      <c r="BO461" t="s">
        <v>74</v>
      </c>
      <c r="BP461" t="s">
        <v>74</v>
      </c>
      <c r="BQ461" t="s">
        <v>74</v>
      </c>
      <c r="BR461" t="s">
        <v>103</v>
      </c>
      <c r="BS461" t="s">
        <v>9210</v>
      </c>
      <c r="BT461" t="str">
        <f>HYPERLINK("https%3A%2F%2Fwww.webofscience.com%2Fwos%2Fwoscc%2Ffull-record%2FWOS:000326244700005","View Full Record in Web of Science")</f>
        <v>View Full Record in Web of Science</v>
      </c>
    </row>
    <row r="462" spans="1:72" x14ac:dyDescent="0.15">
      <c r="A462" t="s">
        <v>72</v>
      </c>
      <c r="B462" t="s">
        <v>9211</v>
      </c>
      <c r="C462" t="s">
        <v>74</v>
      </c>
      <c r="D462" t="s">
        <v>74</v>
      </c>
      <c r="E462" t="s">
        <v>74</v>
      </c>
      <c r="F462" t="s">
        <v>9212</v>
      </c>
      <c r="G462" t="s">
        <v>74</v>
      </c>
      <c r="H462" t="s">
        <v>74</v>
      </c>
      <c r="I462" t="s">
        <v>9213</v>
      </c>
      <c r="J462" t="s">
        <v>6300</v>
      </c>
      <c r="K462" t="s">
        <v>74</v>
      </c>
      <c r="L462" t="s">
        <v>74</v>
      </c>
      <c r="M462" t="s">
        <v>78</v>
      </c>
      <c r="N462" t="s">
        <v>79</v>
      </c>
      <c r="O462" t="s">
        <v>74</v>
      </c>
      <c r="P462" t="s">
        <v>74</v>
      </c>
      <c r="Q462" t="s">
        <v>74</v>
      </c>
      <c r="R462" t="s">
        <v>74</v>
      </c>
      <c r="S462" t="s">
        <v>74</v>
      </c>
      <c r="T462" t="s">
        <v>9214</v>
      </c>
      <c r="U462" t="s">
        <v>9215</v>
      </c>
      <c r="V462" t="s">
        <v>9216</v>
      </c>
      <c r="W462" t="s">
        <v>9217</v>
      </c>
      <c r="X462" t="s">
        <v>9218</v>
      </c>
      <c r="Y462" t="s">
        <v>9219</v>
      </c>
      <c r="Z462" t="s">
        <v>9220</v>
      </c>
      <c r="AA462" t="s">
        <v>9221</v>
      </c>
      <c r="AB462" t="s">
        <v>9222</v>
      </c>
      <c r="AC462" t="s">
        <v>9223</v>
      </c>
      <c r="AD462" t="s">
        <v>9224</v>
      </c>
      <c r="AE462" t="s">
        <v>9225</v>
      </c>
      <c r="AF462" t="s">
        <v>74</v>
      </c>
      <c r="AG462">
        <v>50</v>
      </c>
      <c r="AH462">
        <v>21</v>
      </c>
      <c r="AI462">
        <v>24</v>
      </c>
      <c r="AJ462">
        <v>2</v>
      </c>
      <c r="AK462">
        <v>23</v>
      </c>
      <c r="AL462" t="s">
        <v>1067</v>
      </c>
      <c r="AM462" t="s">
        <v>921</v>
      </c>
      <c r="AN462" t="s">
        <v>2690</v>
      </c>
      <c r="AO462" t="s">
        <v>6313</v>
      </c>
      <c r="AP462" t="s">
        <v>6314</v>
      </c>
      <c r="AQ462" t="s">
        <v>74</v>
      </c>
      <c r="AR462" t="s">
        <v>6315</v>
      </c>
      <c r="AS462" t="s">
        <v>6316</v>
      </c>
      <c r="AT462" t="s">
        <v>8425</v>
      </c>
      <c r="AU462">
        <v>2013</v>
      </c>
      <c r="AV462">
        <v>41</v>
      </c>
      <c r="AW462" t="s">
        <v>9207</v>
      </c>
      <c r="AX462" t="s">
        <v>74</v>
      </c>
      <c r="AY462" t="s">
        <v>74</v>
      </c>
      <c r="AZ462" t="s">
        <v>74</v>
      </c>
      <c r="BA462" t="s">
        <v>74</v>
      </c>
      <c r="BB462">
        <v>2427</v>
      </c>
      <c r="BC462">
        <v>2438</v>
      </c>
      <c r="BD462" t="s">
        <v>74</v>
      </c>
      <c r="BE462" t="s">
        <v>9226</v>
      </c>
      <c r="BF462" t="str">
        <f>HYPERLINK("http://dx.doi.org/10.1007/s00382-012-1580-0","http://dx.doi.org/10.1007/s00382-012-1580-0")</f>
        <v>http://dx.doi.org/10.1007/s00382-012-1580-0</v>
      </c>
      <c r="BG462" t="s">
        <v>74</v>
      </c>
      <c r="BH462" t="s">
        <v>74</v>
      </c>
      <c r="BI462">
        <v>12</v>
      </c>
      <c r="BJ462" t="s">
        <v>1503</v>
      </c>
      <c r="BK462" t="s">
        <v>99</v>
      </c>
      <c r="BL462" t="s">
        <v>1503</v>
      </c>
      <c r="BM462" t="s">
        <v>9209</v>
      </c>
      <c r="BN462" t="s">
        <v>74</v>
      </c>
      <c r="BO462" t="s">
        <v>74</v>
      </c>
      <c r="BP462" t="s">
        <v>74</v>
      </c>
      <c r="BQ462" t="s">
        <v>74</v>
      </c>
      <c r="BR462" t="s">
        <v>103</v>
      </c>
      <c r="BS462" t="s">
        <v>9227</v>
      </c>
      <c r="BT462" t="str">
        <f>HYPERLINK("https%3A%2F%2Fwww.webofscience.com%2Fwos%2Fwoscc%2Ffull-record%2FWOS:000326244700010","View Full Record in Web of Science")</f>
        <v>View Full Record in Web of Science</v>
      </c>
    </row>
    <row r="463" spans="1:72" x14ac:dyDescent="0.15">
      <c r="A463" t="s">
        <v>72</v>
      </c>
      <c r="B463" t="s">
        <v>9228</v>
      </c>
      <c r="C463" t="s">
        <v>74</v>
      </c>
      <c r="D463" t="s">
        <v>74</v>
      </c>
      <c r="E463" t="s">
        <v>74</v>
      </c>
      <c r="F463" t="s">
        <v>9229</v>
      </c>
      <c r="G463" t="s">
        <v>74</v>
      </c>
      <c r="H463" t="s">
        <v>74</v>
      </c>
      <c r="I463" t="s">
        <v>9230</v>
      </c>
      <c r="J463" t="s">
        <v>9231</v>
      </c>
      <c r="K463" t="s">
        <v>74</v>
      </c>
      <c r="L463" t="s">
        <v>74</v>
      </c>
      <c r="M463" t="s">
        <v>78</v>
      </c>
      <c r="N463" t="s">
        <v>79</v>
      </c>
      <c r="O463" t="s">
        <v>74</v>
      </c>
      <c r="P463" t="s">
        <v>74</v>
      </c>
      <c r="Q463" t="s">
        <v>74</v>
      </c>
      <c r="R463" t="s">
        <v>74</v>
      </c>
      <c r="S463" t="s">
        <v>74</v>
      </c>
      <c r="T463" t="s">
        <v>9232</v>
      </c>
      <c r="U463" t="s">
        <v>9233</v>
      </c>
      <c r="V463" t="s">
        <v>9234</v>
      </c>
      <c r="W463" t="s">
        <v>9235</v>
      </c>
      <c r="X463" t="s">
        <v>9236</v>
      </c>
      <c r="Y463" t="s">
        <v>9237</v>
      </c>
      <c r="Z463" t="s">
        <v>9238</v>
      </c>
      <c r="AA463" t="s">
        <v>9239</v>
      </c>
      <c r="AB463" t="s">
        <v>9240</v>
      </c>
      <c r="AC463" t="s">
        <v>9241</v>
      </c>
      <c r="AD463" t="s">
        <v>9242</v>
      </c>
      <c r="AE463" t="s">
        <v>9243</v>
      </c>
      <c r="AF463" t="s">
        <v>74</v>
      </c>
      <c r="AG463">
        <v>34</v>
      </c>
      <c r="AH463">
        <v>6</v>
      </c>
      <c r="AI463">
        <v>7</v>
      </c>
      <c r="AJ463">
        <v>0</v>
      </c>
      <c r="AK463">
        <v>8</v>
      </c>
      <c r="AL463" t="s">
        <v>9244</v>
      </c>
      <c r="AM463" t="s">
        <v>9245</v>
      </c>
      <c r="AN463" t="s">
        <v>9246</v>
      </c>
      <c r="AO463" t="s">
        <v>9247</v>
      </c>
      <c r="AP463" t="s">
        <v>74</v>
      </c>
      <c r="AQ463" t="s">
        <v>74</v>
      </c>
      <c r="AR463" t="s">
        <v>9248</v>
      </c>
      <c r="AS463" t="s">
        <v>9249</v>
      </c>
      <c r="AT463" t="s">
        <v>8425</v>
      </c>
      <c r="AU463">
        <v>2013</v>
      </c>
      <c r="AV463">
        <v>34</v>
      </c>
      <c r="AW463">
        <v>6</v>
      </c>
      <c r="AX463" t="s">
        <v>74</v>
      </c>
      <c r="AY463" t="s">
        <v>74</v>
      </c>
      <c r="AZ463" t="s">
        <v>74</v>
      </c>
      <c r="BA463" t="s">
        <v>74</v>
      </c>
      <c r="BB463">
        <v>1077</v>
      </c>
      <c r="BC463">
        <v>1082</v>
      </c>
      <c r="BD463" t="s">
        <v>74</v>
      </c>
      <c r="BE463" t="s">
        <v>74</v>
      </c>
      <c r="BF463" t="s">
        <v>74</v>
      </c>
      <c r="BG463" t="s">
        <v>74</v>
      </c>
      <c r="BH463" t="s">
        <v>74</v>
      </c>
      <c r="BI463">
        <v>6</v>
      </c>
      <c r="BJ463" t="s">
        <v>9250</v>
      </c>
      <c r="BK463" t="s">
        <v>99</v>
      </c>
      <c r="BL463" t="s">
        <v>420</v>
      </c>
      <c r="BM463" t="s">
        <v>9251</v>
      </c>
      <c r="BN463">
        <v>24555340</v>
      </c>
      <c r="BO463" t="s">
        <v>74</v>
      </c>
      <c r="BP463" t="s">
        <v>74</v>
      </c>
      <c r="BQ463" t="s">
        <v>74</v>
      </c>
      <c r="BR463" t="s">
        <v>103</v>
      </c>
      <c r="BS463" t="s">
        <v>9252</v>
      </c>
      <c r="BT463" t="str">
        <f>HYPERLINK("https%3A%2F%2Fwww.webofscience.com%2Fwos%2Fwoscc%2Ffull-record%2FWOS:000326422100018","View Full Record in Web of Science")</f>
        <v>View Full Record in Web of Science</v>
      </c>
    </row>
    <row r="464" spans="1:72" x14ac:dyDescent="0.15">
      <c r="A464" t="s">
        <v>72</v>
      </c>
      <c r="B464" t="s">
        <v>9253</v>
      </c>
      <c r="C464" t="s">
        <v>74</v>
      </c>
      <c r="D464" t="s">
        <v>74</v>
      </c>
      <c r="E464" t="s">
        <v>74</v>
      </c>
      <c r="F464" t="s">
        <v>9254</v>
      </c>
      <c r="G464" t="s">
        <v>74</v>
      </c>
      <c r="H464" t="s">
        <v>74</v>
      </c>
      <c r="I464" t="s">
        <v>9255</v>
      </c>
      <c r="J464" t="s">
        <v>9256</v>
      </c>
      <c r="K464" t="s">
        <v>74</v>
      </c>
      <c r="L464" t="s">
        <v>74</v>
      </c>
      <c r="M464" t="s">
        <v>78</v>
      </c>
      <c r="N464" t="s">
        <v>79</v>
      </c>
      <c r="O464" t="s">
        <v>74</v>
      </c>
      <c r="P464" t="s">
        <v>74</v>
      </c>
      <c r="Q464" t="s">
        <v>74</v>
      </c>
      <c r="R464" t="s">
        <v>74</v>
      </c>
      <c r="S464" t="s">
        <v>74</v>
      </c>
      <c r="T464" t="s">
        <v>74</v>
      </c>
      <c r="U464" t="s">
        <v>9257</v>
      </c>
      <c r="V464" t="s">
        <v>9258</v>
      </c>
      <c r="W464" t="s">
        <v>9259</v>
      </c>
      <c r="X464" t="s">
        <v>9260</v>
      </c>
      <c r="Y464" t="s">
        <v>9261</v>
      </c>
      <c r="Z464" t="s">
        <v>9262</v>
      </c>
      <c r="AA464" t="s">
        <v>9263</v>
      </c>
      <c r="AB464" t="s">
        <v>9264</v>
      </c>
      <c r="AC464" t="s">
        <v>9265</v>
      </c>
      <c r="AD464" t="s">
        <v>9266</v>
      </c>
      <c r="AE464" t="s">
        <v>9267</v>
      </c>
      <c r="AF464" t="s">
        <v>74</v>
      </c>
      <c r="AG464">
        <v>41</v>
      </c>
      <c r="AH464">
        <v>8</v>
      </c>
      <c r="AI464">
        <v>8</v>
      </c>
      <c r="AJ464">
        <v>0</v>
      </c>
      <c r="AK464">
        <v>32</v>
      </c>
      <c r="AL464" t="s">
        <v>6098</v>
      </c>
      <c r="AM464" t="s">
        <v>6099</v>
      </c>
      <c r="AN464" t="s">
        <v>6100</v>
      </c>
      <c r="AO464" t="s">
        <v>9268</v>
      </c>
      <c r="AP464" t="s">
        <v>9269</v>
      </c>
      <c r="AQ464" t="s">
        <v>74</v>
      </c>
      <c r="AR464" t="s">
        <v>9270</v>
      </c>
      <c r="AS464" t="s">
        <v>9271</v>
      </c>
      <c r="AT464" t="s">
        <v>8425</v>
      </c>
      <c r="AU464">
        <v>2013</v>
      </c>
      <c r="AV464">
        <v>160</v>
      </c>
      <c r="AW464">
        <v>11</v>
      </c>
      <c r="AX464" t="s">
        <v>74</v>
      </c>
      <c r="AY464" t="s">
        <v>74</v>
      </c>
      <c r="AZ464" t="s">
        <v>74</v>
      </c>
      <c r="BA464" t="s">
        <v>74</v>
      </c>
      <c r="BB464">
        <v>2813</v>
      </c>
      <c r="BC464">
        <v>2823</v>
      </c>
      <c r="BD464" t="s">
        <v>74</v>
      </c>
      <c r="BE464" t="s">
        <v>9272</v>
      </c>
      <c r="BF464" t="str">
        <f>HYPERLINK("http://dx.doi.org/10.1007/s00227-013-2273-x","http://dx.doi.org/10.1007/s00227-013-2273-x")</f>
        <v>http://dx.doi.org/10.1007/s00227-013-2273-x</v>
      </c>
      <c r="BG464" t="s">
        <v>74</v>
      </c>
      <c r="BH464" t="s">
        <v>74</v>
      </c>
      <c r="BI464">
        <v>11</v>
      </c>
      <c r="BJ464" t="s">
        <v>285</v>
      </c>
      <c r="BK464" t="s">
        <v>99</v>
      </c>
      <c r="BL464" t="s">
        <v>285</v>
      </c>
      <c r="BM464" t="s">
        <v>9273</v>
      </c>
      <c r="BN464" t="s">
        <v>74</v>
      </c>
      <c r="BO464" t="s">
        <v>1145</v>
      </c>
      <c r="BP464" t="s">
        <v>74</v>
      </c>
      <c r="BQ464" t="s">
        <v>74</v>
      </c>
      <c r="BR464" t="s">
        <v>103</v>
      </c>
      <c r="BS464" t="s">
        <v>9274</v>
      </c>
      <c r="BT464" t="str">
        <f>HYPERLINK("https%3A%2F%2Fwww.webofscience.com%2Fwos%2Fwoscc%2Ffull-record%2FWOS:000326048000003","View Full Record in Web of Science")</f>
        <v>View Full Record in Web of Science</v>
      </c>
    </row>
    <row r="465" spans="1:72" x14ac:dyDescent="0.15">
      <c r="A465" t="s">
        <v>72</v>
      </c>
      <c r="B465" t="s">
        <v>9275</v>
      </c>
      <c r="C465" t="s">
        <v>74</v>
      </c>
      <c r="D465" t="s">
        <v>74</v>
      </c>
      <c r="E465" t="s">
        <v>74</v>
      </c>
      <c r="F465" t="s">
        <v>9276</v>
      </c>
      <c r="G465" t="s">
        <v>74</v>
      </c>
      <c r="H465" t="s">
        <v>74</v>
      </c>
      <c r="I465" t="s">
        <v>9277</v>
      </c>
      <c r="J465" t="s">
        <v>9256</v>
      </c>
      <c r="K465" t="s">
        <v>74</v>
      </c>
      <c r="L465" t="s">
        <v>74</v>
      </c>
      <c r="M465" t="s">
        <v>78</v>
      </c>
      <c r="N465" t="s">
        <v>79</v>
      </c>
      <c r="O465" t="s">
        <v>74</v>
      </c>
      <c r="P465" t="s">
        <v>74</v>
      </c>
      <c r="Q465" t="s">
        <v>74</v>
      </c>
      <c r="R465" t="s">
        <v>74</v>
      </c>
      <c r="S465" t="s">
        <v>74</v>
      </c>
      <c r="T465" t="s">
        <v>74</v>
      </c>
      <c r="U465" t="s">
        <v>9278</v>
      </c>
      <c r="V465" t="s">
        <v>9279</v>
      </c>
      <c r="W465" t="s">
        <v>9280</v>
      </c>
      <c r="X465" t="s">
        <v>9281</v>
      </c>
      <c r="Y465" t="s">
        <v>9282</v>
      </c>
      <c r="Z465" t="s">
        <v>9283</v>
      </c>
      <c r="AA465" t="s">
        <v>74</v>
      </c>
      <c r="AB465" t="s">
        <v>9284</v>
      </c>
      <c r="AC465" t="s">
        <v>9285</v>
      </c>
      <c r="AD465" t="s">
        <v>9286</v>
      </c>
      <c r="AE465" t="s">
        <v>9287</v>
      </c>
      <c r="AF465" t="s">
        <v>74</v>
      </c>
      <c r="AG465">
        <v>72</v>
      </c>
      <c r="AH465">
        <v>64</v>
      </c>
      <c r="AI465">
        <v>68</v>
      </c>
      <c r="AJ465">
        <v>2</v>
      </c>
      <c r="AK465">
        <v>126</v>
      </c>
      <c r="AL465" t="s">
        <v>6098</v>
      </c>
      <c r="AM465" t="s">
        <v>6099</v>
      </c>
      <c r="AN465" t="s">
        <v>6100</v>
      </c>
      <c r="AO465" t="s">
        <v>9268</v>
      </c>
      <c r="AP465" t="s">
        <v>9269</v>
      </c>
      <c r="AQ465" t="s">
        <v>74</v>
      </c>
      <c r="AR465" t="s">
        <v>9270</v>
      </c>
      <c r="AS465" t="s">
        <v>9271</v>
      </c>
      <c r="AT465" t="s">
        <v>8425</v>
      </c>
      <c r="AU465">
        <v>2013</v>
      </c>
      <c r="AV465">
        <v>160</v>
      </c>
      <c r="AW465">
        <v>11</v>
      </c>
      <c r="AX465" t="s">
        <v>74</v>
      </c>
      <c r="AY465" t="s">
        <v>74</v>
      </c>
      <c r="AZ465" t="s">
        <v>74</v>
      </c>
      <c r="BA465" t="s">
        <v>74</v>
      </c>
      <c r="BB465">
        <v>2863</v>
      </c>
      <c r="BC465">
        <v>2875</v>
      </c>
      <c r="BD465" t="s">
        <v>74</v>
      </c>
      <c r="BE465" t="s">
        <v>9288</v>
      </c>
      <c r="BF465" t="str">
        <f>HYPERLINK("http://dx.doi.org/10.1007/s00227-013-2277-6","http://dx.doi.org/10.1007/s00227-013-2277-6")</f>
        <v>http://dx.doi.org/10.1007/s00227-013-2277-6</v>
      </c>
      <c r="BG465" t="s">
        <v>74</v>
      </c>
      <c r="BH465" t="s">
        <v>74</v>
      </c>
      <c r="BI465">
        <v>13</v>
      </c>
      <c r="BJ465" t="s">
        <v>285</v>
      </c>
      <c r="BK465" t="s">
        <v>99</v>
      </c>
      <c r="BL465" t="s">
        <v>285</v>
      </c>
      <c r="BM465" t="s">
        <v>9273</v>
      </c>
      <c r="BN465" t="s">
        <v>74</v>
      </c>
      <c r="BO465" t="s">
        <v>74</v>
      </c>
      <c r="BP465" t="s">
        <v>74</v>
      </c>
      <c r="BQ465" t="s">
        <v>74</v>
      </c>
      <c r="BR465" t="s">
        <v>103</v>
      </c>
      <c r="BS465" t="s">
        <v>9289</v>
      </c>
      <c r="BT465" t="str">
        <f>HYPERLINK("https%3A%2F%2Fwww.webofscience.com%2Fwos%2Fwoscc%2Ffull-record%2FWOS:000326048000007","View Full Record in Web of Science")</f>
        <v>View Full Record in Web of Science</v>
      </c>
    </row>
    <row r="466" spans="1:72" x14ac:dyDescent="0.15">
      <c r="A466" t="s">
        <v>72</v>
      </c>
      <c r="B466" t="s">
        <v>9290</v>
      </c>
      <c r="C466" t="s">
        <v>74</v>
      </c>
      <c r="D466" t="s">
        <v>74</v>
      </c>
      <c r="E466" t="s">
        <v>74</v>
      </c>
      <c r="F466" t="s">
        <v>9291</v>
      </c>
      <c r="G466" t="s">
        <v>74</v>
      </c>
      <c r="H466" t="s">
        <v>74</v>
      </c>
      <c r="I466" t="s">
        <v>9292</v>
      </c>
      <c r="J466" t="s">
        <v>6033</v>
      </c>
      <c r="K466" t="s">
        <v>74</v>
      </c>
      <c r="L466" t="s">
        <v>74</v>
      </c>
      <c r="M466" t="s">
        <v>78</v>
      </c>
      <c r="N466" t="s">
        <v>79</v>
      </c>
      <c r="O466" t="s">
        <v>74</v>
      </c>
      <c r="P466" t="s">
        <v>74</v>
      </c>
      <c r="Q466" t="s">
        <v>74</v>
      </c>
      <c r="R466" t="s">
        <v>74</v>
      </c>
      <c r="S466" t="s">
        <v>74</v>
      </c>
      <c r="T466" t="s">
        <v>74</v>
      </c>
      <c r="U466" t="s">
        <v>9293</v>
      </c>
      <c r="V466" t="s">
        <v>9294</v>
      </c>
      <c r="W466" t="s">
        <v>9295</v>
      </c>
      <c r="X466" t="s">
        <v>9296</v>
      </c>
      <c r="Y466" t="s">
        <v>9297</v>
      </c>
      <c r="Z466" t="s">
        <v>9298</v>
      </c>
      <c r="AA466" t="s">
        <v>9299</v>
      </c>
      <c r="AB466" t="s">
        <v>9300</v>
      </c>
      <c r="AC466" t="s">
        <v>9301</v>
      </c>
      <c r="AD466" t="s">
        <v>9302</v>
      </c>
      <c r="AE466" t="s">
        <v>9303</v>
      </c>
      <c r="AF466" t="s">
        <v>74</v>
      </c>
      <c r="AG466">
        <v>30</v>
      </c>
      <c r="AH466">
        <v>37</v>
      </c>
      <c r="AI466">
        <v>37</v>
      </c>
      <c r="AJ466">
        <v>0</v>
      </c>
      <c r="AK466">
        <v>29</v>
      </c>
      <c r="AL466" t="s">
        <v>1371</v>
      </c>
      <c r="AM466" t="s">
        <v>921</v>
      </c>
      <c r="AN466" t="s">
        <v>6039</v>
      </c>
      <c r="AO466" t="s">
        <v>6040</v>
      </c>
      <c r="AP466" t="s">
        <v>6041</v>
      </c>
      <c r="AQ466" t="s">
        <v>74</v>
      </c>
      <c r="AR466" t="s">
        <v>6042</v>
      </c>
      <c r="AS466" t="s">
        <v>6043</v>
      </c>
      <c r="AT466" t="s">
        <v>8425</v>
      </c>
      <c r="AU466">
        <v>2013</v>
      </c>
      <c r="AV466">
        <v>6</v>
      </c>
      <c r="AW466">
        <v>11</v>
      </c>
      <c r="AX466" t="s">
        <v>74</v>
      </c>
      <c r="AY466" t="s">
        <v>74</v>
      </c>
      <c r="AZ466" t="s">
        <v>74</v>
      </c>
      <c r="BA466" t="s">
        <v>74</v>
      </c>
      <c r="BB466">
        <v>934</v>
      </c>
      <c r="BC466">
        <v>939</v>
      </c>
      <c r="BD466" t="s">
        <v>74</v>
      </c>
      <c r="BE466" t="s">
        <v>9304</v>
      </c>
      <c r="BF466" t="str">
        <f>HYPERLINK("http://dx.doi.org/10.1038/NGEO1968","http://dx.doi.org/10.1038/NGEO1968")</f>
        <v>http://dx.doi.org/10.1038/NGEO1968</v>
      </c>
      <c r="BG466" t="s">
        <v>74</v>
      </c>
      <c r="BH466" t="s">
        <v>74</v>
      </c>
      <c r="BI466">
        <v>6</v>
      </c>
      <c r="BJ466" t="s">
        <v>337</v>
      </c>
      <c r="BK466" t="s">
        <v>99</v>
      </c>
      <c r="BL466" t="s">
        <v>338</v>
      </c>
      <c r="BM466" t="s">
        <v>9305</v>
      </c>
      <c r="BN466" t="s">
        <v>74</v>
      </c>
      <c r="BO466" t="s">
        <v>74</v>
      </c>
      <c r="BP466" t="s">
        <v>74</v>
      </c>
      <c r="BQ466" t="s">
        <v>74</v>
      </c>
      <c r="BR466" t="s">
        <v>103</v>
      </c>
      <c r="BS466" t="s">
        <v>9306</v>
      </c>
      <c r="BT466" t="str">
        <f>HYPERLINK("https%3A%2F%2Fwww.webofscience.com%2Fwos%2Fwoscc%2Ffull-record%2FWOS:000326505800015","View Full Record in Web of Science")</f>
        <v>View Full Record in Web of Science</v>
      </c>
    </row>
    <row r="467" spans="1:72" x14ac:dyDescent="0.15">
      <c r="A467" t="s">
        <v>72</v>
      </c>
      <c r="B467" t="s">
        <v>9307</v>
      </c>
      <c r="C467" t="s">
        <v>74</v>
      </c>
      <c r="D467" t="s">
        <v>74</v>
      </c>
      <c r="E467" t="s">
        <v>74</v>
      </c>
      <c r="F467" t="s">
        <v>9308</v>
      </c>
      <c r="G467" t="s">
        <v>74</v>
      </c>
      <c r="H467" t="s">
        <v>74</v>
      </c>
      <c r="I467" t="s">
        <v>9309</v>
      </c>
      <c r="J467" t="s">
        <v>9310</v>
      </c>
      <c r="K467" t="s">
        <v>74</v>
      </c>
      <c r="L467" t="s">
        <v>74</v>
      </c>
      <c r="M467" t="s">
        <v>78</v>
      </c>
      <c r="N467" t="s">
        <v>79</v>
      </c>
      <c r="O467" t="s">
        <v>74</v>
      </c>
      <c r="P467" t="s">
        <v>74</v>
      </c>
      <c r="Q467" t="s">
        <v>74</v>
      </c>
      <c r="R467" t="s">
        <v>74</v>
      </c>
      <c r="S467" t="s">
        <v>74</v>
      </c>
      <c r="T467" t="s">
        <v>9311</v>
      </c>
      <c r="U467" t="s">
        <v>74</v>
      </c>
      <c r="V467" t="s">
        <v>9312</v>
      </c>
      <c r="W467" t="s">
        <v>9313</v>
      </c>
      <c r="X467" t="s">
        <v>9314</v>
      </c>
      <c r="Y467" t="s">
        <v>9315</v>
      </c>
      <c r="Z467" t="s">
        <v>9316</v>
      </c>
      <c r="AA467" t="s">
        <v>9317</v>
      </c>
      <c r="AB467" t="s">
        <v>9318</v>
      </c>
      <c r="AC467" t="s">
        <v>9319</v>
      </c>
      <c r="AD467" t="s">
        <v>9319</v>
      </c>
      <c r="AE467" t="s">
        <v>9320</v>
      </c>
      <c r="AF467" t="s">
        <v>74</v>
      </c>
      <c r="AG467">
        <v>9</v>
      </c>
      <c r="AH467">
        <v>14</v>
      </c>
      <c r="AI467">
        <v>14</v>
      </c>
      <c r="AJ467">
        <v>2</v>
      </c>
      <c r="AK467">
        <v>20</v>
      </c>
      <c r="AL467" t="s">
        <v>783</v>
      </c>
      <c r="AM467" t="s">
        <v>252</v>
      </c>
      <c r="AN467" t="s">
        <v>784</v>
      </c>
      <c r="AO467" t="s">
        <v>9321</v>
      </c>
      <c r="AP467" t="s">
        <v>9322</v>
      </c>
      <c r="AQ467" t="s">
        <v>74</v>
      </c>
      <c r="AR467" t="s">
        <v>9323</v>
      </c>
      <c r="AS467" t="s">
        <v>9324</v>
      </c>
      <c r="AT467" t="s">
        <v>8425</v>
      </c>
      <c r="AU467">
        <v>2013</v>
      </c>
      <c r="AV467">
        <v>111</v>
      </c>
      <c r="AW467" t="s">
        <v>74</v>
      </c>
      <c r="AX467" t="s">
        <v>74</v>
      </c>
      <c r="AY467" t="s">
        <v>74</v>
      </c>
      <c r="AZ467" t="s">
        <v>74</v>
      </c>
      <c r="BA467" t="s">
        <v>74</v>
      </c>
      <c r="BB467">
        <v>113</v>
      </c>
      <c r="BC467">
        <v>128</v>
      </c>
      <c r="BD467" t="s">
        <v>74</v>
      </c>
      <c r="BE467" t="s">
        <v>9325</v>
      </c>
      <c r="BF467" t="str">
        <f>HYPERLINK("http://dx.doi.org/10.1016/j.apenergy.2013.04.039","http://dx.doi.org/10.1016/j.apenergy.2013.04.039")</f>
        <v>http://dx.doi.org/10.1016/j.apenergy.2013.04.039</v>
      </c>
      <c r="BG467" t="s">
        <v>74</v>
      </c>
      <c r="BH467" t="s">
        <v>74</v>
      </c>
      <c r="BI467">
        <v>16</v>
      </c>
      <c r="BJ467" t="s">
        <v>9326</v>
      </c>
      <c r="BK467" t="s">
        <v>99</v>
      </c>
      <c r="BL467" t="s">
        <v>9327</v>
      </c>
      <c r="BM467" t="s">
        <v>9328</v>
      </c>
      <c r="BN467" t="s">
        <v>74</v>
      </c>
      <c r="BO467" t="s">
        <v>74</v>
      </c>
      <c r="BP467" t="s">
        <v>74</v>
      </c>
      <c r="BQ467" t="s">
        <v>74</v>
      </c>
      <c r="BR467" t="s">
        <v>103</v>
      </c>
      <c r="BS467" t="s">
        <v>9329</v>
      </c>
      <c r="BT467" t="str">
        <f>HYPERLINK("https%3A%2F%2Fwww.webofscience.com%2Fwos%2Fwoscc%2Ffull-record%2FWOS:000325834900011","View Full Record in Web of Science")</f>
        <v>View Full Record in Web of Science</v>
      </c>
    </row>
    <row r="468" spans="1:72" x14ac:dyDescent="0.15">
      <c r="A468" t="s">
        <v>72</v>
      </c>
      <c r="B468" t="s">
        <v>9330</v>
      </c>
      <c r="C468" t="s">
        <v>74</v>
      </c>
      <c r="D468" t="s">
        <v>74</v>
      </c>
      <c r="E468" t="s">
        <v>74</v>
      </c>
      <c r="F468" t="s">
        <v>9331</v>
      </c>
      <c r="G468" t="s">
        <v>74</v>
      </c>
      <c r="H468" t="s">
        <v>74</v>
      </c>
      <c r="I468" t="s">
        <v>9332</v>
      </c>
      <c r="J468" t="s">
        <v>9333</v>
      </c>
      <c r="K468" t="s">
        <v>74</v>
      </c>
      <c r="L468" t="s">
        <v>74</v>
      </c>
      <c r="M468" t="s">
        <v>78</v>
      </c>
      <c r="N468" t="s">
        <v>79</v>
      </c>
      <c r="O468" t="s">
        <v>74</v>
      </c>
      <c r="P468" t="s">
        <v>74</v>
      </c>
      <c r="Q468" t="s">
        <v>74</v>
      </c>
      <c r="R468" t="s">
        <v>74</v>
      </c>
      <c r="S468" t="s">
        <v>74</v>
      </c>
      <c r="T468" t="s">
        <v>9334</v>
      </c>
      <c r="U468" t="s">
        <v>9335</v>
      </c>
      <c r="V468" t="s">
        <v>9336</v>
      </c>
      <c r="W468" t="s">
        <v>9337</v>
      </c>
      <c r="X468" t="s">
        <v>9338</v>
      </c>
      <c r="Y468" t="s">
        <v>9339</v>
      </c>
      <c r="Z468" t="s">
        <v>9340</v>
      </c>
      <c r="AA468" t="s">
        <v>9341</v>
      </c>
      <c r="AB468" t="s">
        <v>9342</v>
      </c>
      <c r="AC468" t="s">
        <v>9343</v>
      </c>
      <c r="AD468" t="s">
        <v>9344</v>
      </c>
      <c r="AE468" t="s">
        <v>9345</v>
      </c>
      <c r="AF468" t="s">
        <v>74</v>
      </c>
      <c r="AG468">
        <v>62</v>
      </c>
      <c r="AH468">
        <v>34</v>
      </c>
      <c r="AI468">
        <v>39</v>
      </c>
      <c r="AJ468">
        <v>0</v>
      </c>
      <c r="AK468">
        <v>53</v>
      </c>
      <c r="AL468" t="s">
        <v>410</v>
      </c>
      <c r="AM468" t="s">
        <v>411</v>
      </c>
      <c r="AN468" t="s">
        <v>412</v>
      </c>
      <c r="AO468" t="s">
        <v>9346</v>
      </c>
      <c r="AP468" t="s">
        <v>9347</v>
      </c>
      <c r="AQ468" t="s">
        <v>74</v>
      </c>
      <c r="AR468" t="s">
        <v>9348</v>
      </c>
      <c r="AS468" t="s">
        <v>9349</v>
      </c>
      <c r="AT468" t="s">
        <v>8425</v>
      </c>
      <c r="AU468">
        <v>2013</v>
      </c>
      <c r="AV468">
        <v>82</v>
      </c>
      <c r="AW468">
        <v>6</v>
      </c>
      <c r="AX468" t="s">
        <v>74</v>
      </c>
      <c r="AY468" t="s">
        <v>74</v>
      </c>
      <c r="AZ468" t="s">
        <v>74</v>
      </c>
      <c r="BA468" t="s">
        <v>74</v>
      </c>
      <c r="BB468">
        <v>1300</v>
      </c>
      <c r="BC468">
        <v>1315</v>
      </c>
      <c r="BD468" t="s">
        <v>74</v>
      </c>
      <c r="BE468" t="s">
        <v>9350</v>
      </c>
      <c r="BF468" t="str">
        <f>HYPERLINK("http://dx.doi.org/10.1111/1365-2656.12102","http://dx.doi.org/10.1111/1365-2656.12102")</f>
        <v>http://dx.doi.org/10.1111/1365-2656.12102</v>
      </c>
      <c r="BG468" t="s">
        <v>74</v>
      </c>
      <c r="BH468" t="s">
        <v>74</v>
      </c>
      <c r="BI468">
        <v>16</v>
      </c>
      <c r="BJ468" t="s">
        <v>9351</v>
      </c>
      <c r="BK468" t="s">
        <v>99</v>
      </c>
      <c r="BL468" t="s">
        <v>9352</v>
      </c>
      <c r="BM468" t="s">
        <v>9353</v>
      </c>
      <c r="BN468">
        <v>23869551</v>
      </c>
      <c r="BO468" t="s">
        <v>4262</v>
      </c>
      <c r="BP468" t="s">
        <v>74</v>
      </c>
      <c r="BQ468" t="s">
        <v>74</v>
      </c>
      <c r="BR468" t="s">
        <v>103</v>
      </c>
      <c r="BS468" t="s">
        <v>9354</v>
      </c>
      <c r="BT468" t="str">
        <f>HYPERLINK("https%3A%2F%2Fwww.webofscience.com%2Fwos%2Fwoscc%2Ffull-record%2FWOS:000326036800019","View Full Record in Web of Science")</f>
        <v>View Full Record in Web of Science</v>
      </c>
    </row>
    <row r="469" spans="1:72" x14ac:dyDescent="0.15">
      <c r="A469" t="s">
        <v>72</v>
      </c>
      <c r="B469" t="s">
        <v>9355</v>
      </c>
      <c r="C469" t="s">
        <v>74</v>
      </c>
      <c r="D469" t="s">
        <v>74</v>
      </c>
      <c r="E469" t="s">
        <v>74</v>
      </c>
      <c r="F469" t="s">
        <v>9356</v>
      </c>
      <c r="G469" t="s">
        <v>74</v>
      </c>
      <c r="H469" t="s">
        <v>74</v>
      </c>
      <c r="I469" t="s">
        <v>9357</v>
      </c>
      <c r="J469" t="s">
        <v>1484</v>
      </c>
      <c r="K469" t="s">
        <v>74</v>
      </c>
      <c r="L469" t="s">
        <v>74</v>
      </c>
      <c r="M469" t="s">
        <v>78</v>
      </c>
      <c r="N469" t="s">
        <v>79</v>
      </c>
      <c r="O469" t="s">
        <v>74</v>
      </c>
      <c r="P469" t="s">
        <v>74</v>
      </c>
      <c r="Q469" t="s">
        <v>74</v>
      </c>
      <c r="R469" t="s">
        <v>74</v>
      </c>
      <c r="S469" t="s">
        <v>74</v>
      </c>
      <c r="T469" t="s">
        <v>9358</v>
      </c>
      <c r="U469" t="s">
        <v>9359</v>
      </c>
      <c r="V469" t="s">
        <v>9360</v>
      </c>
      <c r="W469" t="s">
        <v>9361</v>
      </c>
      <c r="X469" t="s">
        <v>9362</v>
      </c>
      <c r="Y469" t="s">
        <v>9363</v>
      </c>
      <c r="Z469" t="s">
        <v>9364</v>
      </c>
      <c r="AA469" t="s">
        <v>9365</v>
      </c>
      <c r="AB469" t="s">
        <v>9366</v>
      </c>
      <c r="AC469" t="s">
        <v>9367</v>
      </c>
      <c r="AD469" t="s">
        <v>9367</v>
      </c>
      <c r="AE469" t="s">
        <v>9368</v>
      </c>
      <c r="AF469" t="s">
        <v>74</v>
      </c>
      <c r="AG469">
        <v>38</v>
      </c>
      <c r="AH469">
        <v>2</v>
      </c>
      <c r="AI469">
        <v>2</v>
      </c>
      <c r="AJ469">
        <v>2</v>
      </c>
      <c r="AK469">
        <v>25</v>
      </c>
      <c r="AL469" t="s">
        <v>1495</v>
      </c>
      <c r="AM469" t="s">
        <v>1496</v>
      </c>
      <c r="AN469" t="s">
        <v>9369</v>
      </c>
      <c r="AO469" t="s">
        <v>1498</v>
      </c>
      <c r="AP469" t="s">
        <v>1499</v>
      </c>
      <c r="AQ469" t="s">
        <v>74</v>
      </c>
      <c r="AR469" t="s">
        <v>1500</v>
      </c>
      <c r="AS469" t="s">
        <v>1501</v>
      </c>
      <c r="AT469" t="s">
        <v>8425</v>
      </c>
      <c r="AU469">
        <v>2013</v>
      </c>
      <c r="AV469">
        <v>26</v>
      </c>
      <c r="AW469">
        <v>22</v>
      </c>
      <c r="AX469" t="s">
        <v>74</v>
      </c>
      <c r="AY469" t="s">
        <v>74</v>
      </c>
      <c r="AZ469" t="s">
        <v>74</v>
      </c>
      <c r="BA469" t="s">
        <v>74</v>
      </c>
      <c r="BB469">
        <v>9175</v>
      </c>
      <c r="BC469">
        <v>9193</v>
      </c>
      <c r="BD469" t="s">
        <v>74</v>
      </c>
      <c r="BE469" t="s">
        <v>9370</v>
      </c>
      <c r="BF469" t="str">
        <f>HYPERLINK("http://dx.doi.org/10.1175/JCLI-D-12-00767.1","http://dx.doi.org/10.1175/JCLI-D-12-00767.1")</f>
        <v>http://dx.doi.org/10.1175/JCLI-D-12-00767.1</v>
      </c>
      <c r="BG469" t="s">
        <v>74</v>
      </c>
      <c r="BH469" t="s">
        <v>74</v>
      </c>
      <c r="BI469">
        <v>19</v>
      </c>
      <c r="BJ469" t="s">
        <v>1503</v>
      </c>
      <c r="BK469" t="s">
        <v>99</v>
      </c>
      <c r="BL469" t="s">
        <v>1503</v>
      </c>
      <c r="BM469" t="s">
        <v>9371</v>
      </c>
      <c r="BN469" t="s">
        <v>74</v>
      </c>
      <c r="BO469" t="s">
        <v>475</v>
      </c>
      <c r="BP469" t="s">
        <v>74</v>
      </c>
      <c r="BQ469" t="s">
        <v>74</v>
      </c>
      <c r="BR469" t="s">
        <v>103</v>
      </c>
      <c r="BS469" t="s">
        <v>9372</v>
      </c>
      <c r="BT469" t="str">
        <f>HYPERLINK("https%3A%2F%2Fwww.webofscience.com%2Fwos%2Fwoscc%2Ffull-record%2FWOS:000326216500027","View Full Record in Web of Science")</f>
        <v>View Full Record in Web of Science</v>
      </c>
    </row>
    <row r="470" spans="1:72" x14ac:dyDescent="0.15">
      <c r="A470" t="s">
        <v>72</v>
      </c>
      <c r="B470" t="s">
        <v>9373</v>
      </c>
      <c r="C470" t="s">
        <v>74</v>
      </c>
      <c r="D470" t="s">
        <v>74</v>
      </c>
      <c r="E470" t="s">
        <v>74</v>
      </c>
      <c r="F470" t="s">
        <v>9374</v>
      </c>
      <c r="G470" t="s">
        <v>74</v>
      </c>
      <c r="H470" t="s">
        <v>74</v>
      </c>
      <c r="I470" t="s">
        <v>9375</v>
      </c>
      <c r="J470" t="s">
        <v>7794</v>
      </c>
      <c r="K470" t="s">
        <v>74</v>
      </c>
      <c r="L470" t="s">
        <v>74</v>
      </c>
      <c r="M470" t="s">
        <v>78</v>
      </c>
      <c r="N470" t="s">
        <v>79</v>
      </c>
      <c r="O470" t="s">
        <v>74</v>
      </c>
      <c r="P470" t="s">
        <v>74</v>
      </c>
      <c r="Q470" t="s">
        <v>74</v>
      </c>
      <c r="R470" t="s">
        <v>74</v>
      </c>
      <c r="S470" t="s">
        <v>74</v>
      </c>
      <c r="T470" t="s">
        <v>74</v>
      </c>
      <c r="U470" t="s">
        <v>9376</v>
      </c>
      <c r="V470" t="s">
        <v>9377</v>
      </c>
      <c r="W470" t="s">
        <v>9378</v>
      </c>
      <c r="X470" t="s">
        <v>9379</v>
      </c>
      <c r="Y470" t="s">
        <v>9380</v>
      </c>
      <c r="Z470" t="s">
        <v>9381</v>
      </c>
      <c r="AA470" t="s">
        <v>74</v>
      </c>
      <c r="AB470" t="s">
        <v>9382</v>
      </c>
      <c r="AC470" t="s">
        <v>9383</v>
      </c>
      <c r="AD470" t="s">
        <v>9384</v>
      </c>
      <c r="AE470" t="s">
        <v>9385</v>
      </c>
      <c r="AF470" t="s">
        <v>74</v>
      </c>
      <c r="AG470">
        <v>29</v>
      </c>
      <c r="AH470">
        <v>64</v>
      </c>
      <c r="AI470">
        <v>71</v>
      </c>
      <c r="AJ470">
        <v>5</v>
      </c>
      <c r="AK470">
        <v>94</v>
      </c>
      <c r="AL470" t="s">
        <v>7806</v>
      </c>
      <c r="AM470" t="s">
        <v>808</v>
      </c>
      <c r="AN470" t="s">
        <v>7807</v>
      </c>
      <c r="AO470" t="s">
        <v>7808</v>
      </c>
      <c r="AP470" t="s">
        <v>7809</v>
      </c>
      <c r="AQ470" t="s">
        <v>74</v>
      </c>
      <c r="AR470" t="s">
        <v>7794</v>
      </c>
      <c r="AS470" t="s">
        <v>7810</v>
      </c>
      <c r="AT470" t="s">
        <v>8493</v>
      </c>
      <c r="AU470">
        <v>2013</v>
      </c>
      <c r="AV470">
        <v>342</v>
      </c>
      <c r="AW470">
        <v>6158</v>
      </c>
      <c r="AX470" t="s">
        <v>74</v>
      </c>
      <c r="AY470" t="s">
        <v>74</v>
      </c>
      <c r="AZ470" t="s">
        <v>74</v>
      </c>
      <c r="BA470" t="s">
        <v>74</v>
      </c>
      <c r="BB470">
        <v>617</v>
      </c>
      <c r="BC470">
        <v>621</v>
      </c>
      <c r="BD470" t="s">
        <v>74</v>
      </c>
      <c r="BE470" t="s">
        <v>9386</v>
      </c>
      <c r="BF470" t="str">
        <f>HYPERLINK("http://dx.doi.org/10.1126/science.1240837","http://dx.doi.org/10.1126/science.1240837")</f>
        <v>http://dx.doi.org/10.1126/science.1240837</v>
      </c>
      <c r="BG470" t="s">
        <v>74</v>
      </c>
      <c r="BH470" t="s">
        <v>74</v>
      </c>
      <c r="BI470">
        <v>5</v>
      </c>
      <c r="BJ470" t="s">
        <v>2652</v>
      </c>
      <c r="BK470" t="s">
        <v>99</v>
      </c>
      <c r="BL470" t="s">
        <v>2653</v>
      </c>
      <c r="BM470" t="s">
        <v>9387</v>
      </c>
      <c r="BN470">
        <v>24179224</v>
      </c>
      <c r="BO470" t="s">
        <v>74</v>
      </c>
      <c r="BP470" t="s">
        <v>74</v>
      </c>
      <c r="BQ470" t="s">
        <v>74</v>
      </c>
      <c r="BR470" t="s">
        <v>103</v>
      </c>
      <c r="BS470" t="s">
        <v>9388</v>
      </c>
      <c r="BT470" t="str">
        <f>HYPERLINK("https%3A%2F%2Fwww.webofscience.com%2Fwos%2Fwoscc%2Ffull-record%2FWOS:000326334300048","View Full Record in Web of Science")</f>
        <v>View Full Record in Web of Science</v>
      </c>
    </row>
    <row r="471" spans="1:72" x14ac:dyDescent="0.15">
      <c r="A471" t="s">
        <v>72</v>
      </c>
      <c r="B471" t="s">
        <v>9389</v>
      </c>
      <c r="C471" t="s">
        <v>74</v>
      </c>
      <c r="D471" t="s">
        <v>74</v>
      </c>
      <c r="E471" t="s">
        <v>74</v>
      </c>
      <c r="F471" t="s">
        <v>9390</v>
      </c>
      <c r="G471" t="s">
        <v>74</v>
      </c>
      <c r="H471" t="s">
        <v>74</v>
      </c>
      <c r="I471" t="s">
        <v>9391</v>
      </c>
      <c r="J471" t="s">
        <v>529</v>
      </c>
      <c r="K471" t="s">
        <v>74</v>
      </c>
      <c r="L471" t="s">
        <v>74</v>
      </c>
      <c r="M471" t="s">
        <v>78</v>
      </c>
      <c r="N471" t="s">
        <v>79</v>
      </c>
      <c r="O471" t="s">
        <v>74</v>
      </c>
      <c r="P471" t="s">
        <v>74</v>
      </c>
      <c r="Q471" t="s">
        <v>74</v>
      </c>
      <c r="R471" t="s">
        <v>74</v>
      </c>
      <c r="S471" t="s">
        <v>74</v>
      </c>
      <c r="T471" t="s">
        <v>9392</v>
      </c>
      <c r="U471" t="s">
        <v>9393</v>
      </c>
      <c r="V471" t="s">
        <v>9394</v>
      </c>
      <c r="W471" t="s">
        <v>9395</v>
      </c>
      <c r="X471" t="s">
        <v>9396</v>
      </c>
      <c r="Y471" t="s">
        <v>9397</v>
      </c>
      <c r="Z471" t="s">
        <v>9398</v>
      </c>
      <c r="AA471" t="s">
        <v>74</v>
      </c>
      <c r="AB471" t="s">
        <v>9399</v>
      </c>
      <c r="AC471" t="s">
        <v>9400</v>
      </c>
      <c r="AD471" t="s">
        <v>9401</v>
      </c>
      <c r="AE471" t="s">
        <v>9402</v>
      </c>
      <c r="AF471" t="s">
        <v>74</v>
      </c>
      <c r="AG471">
        <v>52</v>
      </c>
      <c r="AH471">
        <v>6</v>
      </c>
      <c r="AI471">
        <v>7</v>
      </c>
      <c r="AJ471">
        <v>0</v>
      </c>
      <c r="AK471">
        <v>25</v>
      </c>
      <c r="AL471" t="s">
        <v>539</v>
      </c>
      <c r="AM471" t="s">
        <v>540</v>
      </c>
      <c r="AN471" t="s">
        <v>564</v>
      </c>
      <c r="AO471" t="s">
        <v>542</v>
      </c>
      <c r="AP471" t="s">
        <v>543</v>
      </c>
      <c r="AQ471" t="s">
        <v>74</v>
      </c>
      <c r="AR471" t="s">
        <v>529</v>
      </c>
      <c r="AS471" t="s">
        <v>544</v>
      </c>
      <c r="AT471" t="s">
        <v>8425</v>
      </c>
      <c r="AU471">
        <v>2013</v>
      </c>
      <c r="AV471">
        <v>17</v>
      </c>
      <c r="AW471">
        <v>6</v>
      </c>
      <c r="AX471" t="s">
        <v>74</v>
      </c>
      <c r="AY471" t="s">
        <v>74</v>
      </c>
      <c r="AZ471" t="s">
        <v>74</v>
      </c>
      <c r="BA471" t="s">
        <v>74</v>
      </c>
      <c r="BB471">
        <v>953</v>
      </c>
      <c r="BC471">
        <v>961</v>
      </c>
      <c r="BD471" t="s">
        <v>74</v>
      </c>
      <c r="BE471" t="s">
        <v>9403</v>
      </c>
      <c r="BF471" t="str">
        <f>HYPERLINK("http://dx.doi.org/10.1007/s00792-013-0577-x","http://dx.doi.org/10.1007/s00792-013-0577-x")</f>
        <v>http://dx.doi.org/10.1007/s00792-013-0577-x</v>
      </c>
      <c r="BG471" t="s">
        <v>74</v>
      </c>
      <c r="BH471" t="s">
        <v>74</v>
      </c>
      <c r="BI471">
        <v>9</v>
      </c>
      <c r="BJ471" t="s">
        <v>546</v>
      </c>
      <c r="BK471" t="s">
        <v>99</v>
      </c>
      <c r="BL471" t="s">
        <v>546</v>
      </c>
      <c r="BM471" t="s">
        <v>9404</v>
      </c>
      <c r="BN471">
        <v>23989708</v>
      </c>
      <c r="BO471" t="s">
        <v>74</v>
      </c>
      <c r="BP471" t="s">
        <v>74</v>
      </c>
      <c r="BQ471" t="s">
        <v>74</v>
      </c>
      <c r="BR471" t="s">
        <v>103</v>
      </c>
      <c r="BS471" t="s">
        <v>9405</v>
      </c>
      <c r="BT471" t="str">
        <f>HYPERLINK("https%3A%2F%2Fwww.webofscience.com%2Fwos%2Fwoscc%2Ffull-record%2FWOS:000326046200007","View Full Record in Web of Science")</f>
        <v>View Full Record in Web of Science</v>
      </c>
    </row>
    <row r="472" spans="1:72" x14ac:dyDescent="0.15">
      <c r="A472" t="s">
        <v>72</v>
      </c>
      <c r="B472" t="s">
        <v>9406</v>
      </c>
      <c r="C472" t="s">
        <v>74</v>
      </c>
      <c r="D472" t="s">
        <v>74</v>
      </c>
      <c r="E472" t="s">
        <v>74</v>
      </c>
      <c r="F472" t="s">
        <v>9407</v>
      </c>
      <c r="G472" t="s">
        <v>74</v>
      </c>
      <c r="H472" t="s">
        <v>74</v>
      </c>
      <c r="I472" t="s">
        <v>9408</v>
      </c>
      <c r="J472" t="s">
        <v>9409</v>
      </c>
      <c r="K472" t="s">
        <v>74</v>
      </c>
      <c r="L472" t="s">
        <v>74</v>
      </c>
      <c r="M472" t="s">
        <v>78</v>
      </c>
      <c r="N472" t="s">
        <v>79</v>
      </c>
      <c r="O472" t="s">
        <v>74</v>
      </c>
      <c r="P472" t="s">
        <v>74</v>
      </c>
      <c r="Q472" t="s">
        <v>74</v>
      </c>
      <c r="R472" t="s">
        <v>74</v>
      </c>
      <c r="S472" t="s">
        <v>74</v>
      </c>
      <c r="T472" t="s">
        <v>9410</v>
      </c>
      <c r="U472" t="s">
        <v>9411</v>
      </c>
      <c r="V472" t="s">
        <v>9412</v>
      </c>
      <c r="W472" t="s">
        <v>9413</v>
      </c>
      <c r="X472" t="s">
        <v>9414</v>
      </c>
      <c r="Y472" t="s">
        <v>9415</v>
      </c>
      <c r="Z472" t="s">
        <v>9416</v>
      </c>
      <c r="AA472" t="s">
        <v>9417</v>
      </c>
      <c r="AB472" t="s">
        <v>9418</v>
      </c>
      <c r="AC472" t="s">
        <v>74</v>
      </c>
      <c r="AD472" t="s">
        <v>74</v>
      </c>
      <c r="AE472" t="s">
        <v>74</v>
      </c>
      <c r="AF472" t="s">
        <v>74</v>
      </c>
      <c r="AG472">
        <v>24</v>
      </c>
      <c r="AH472">
        <v>22</v>
      </c>
      <c r="AI472">
        <v>23</v>
      </c>
      <c r="AJ472">
        <v>1</v>
      </c>
      <c r="AK472">
        <v>23</v>
      </c>
      <c r="AL472" t="s">
        <v>3992</v>
      </c>
      <c r="AM472" t="s">
        <v>252</v>
      </c>
      <c r="AN472" t="s">
        <v>3993</v>
      </c>
      <c r="AO472" t="s">
        <v>9419</v>
      </c>
      <c r="AP472" t="s">
        <v>9420</v>
      </c>
      <c r="AQ472" t="s">
        <v>74</v>
      </c>
      <c r="AR472" t="s">
        <v>9421</v>
      </c>
      <c r="AS472" t="s">
        <v>9422</v>
      </c>
      <c r="AT472" t="s">
        <v>8425</v>
      </c>
      <c r="AU472">
        <v>2013</v>
      </c>
      <c r="AV472">
        <v>348</v>
      </c>
      <c r="AW472">
        <v>2</v>
      </c>
      <c r="AX472" t="s">
        <v>74</v>
      </c>
      <c r="AY472" t="s">
        <v>74</v>
      </c>
      <c r="AZ472" t="s">
        <v>74</v>
      </c>
      <c r="BA472" t="s">
        <v>74</v>
      </c>
      <c r="BB472">
        <v>97</v>
      </c>
      <c r="BC472">
        <v>102</v>
      </c>
      <c r="BD472" t="s">
        <v>74</v>
      </c>
      <c r="BE472" t="s">
        <v>9423</v>
      </c>
      <c r="BF472" t="str">
        <f>HYPERLINK("http://dx.doi.org/10.1111/1574-6968.12243","http://dx.doi.org/10.1111/1574-6968.12243")</f>
        <v>http://dx.doi.org/10.1111/1574-6968.12243</v>
      </c>
      <c r="BG472" t="s">
        <v>74</v>
      </c>
      <c r="BH472" t="s">
        <v>74</v>
      </c>
      <c r="BI472">
        <v>6</v>
      </c>
      <c r="BJ472" t="s">
        <v>815</v>
      </c>
      <c r="BK472" t="s">
        <v>99</v>
      </c>
      <c r="BL472" t="s">
        <v>815</v>
      </c>
      <c r="BM472" t="s">
        <v>9424</v>
      </c>
      <c r="BN472">
        <v>24033756</v>
      </c>
      <c r="BO472" t="s">
        <v>475</v>
      </c>
      <c r="BP472" t="s">
        <v>74</v>
      </c>
      <c r="BQ472" t="s">
        <v>74</v>
      </c>
      <c r="BR472" t="s">
        <v>103</v>
      </c>
      <c r="BS472" t="s">
        <v>9425</v>
      </c>
      <c r="BT472" t="str">
        <f>HYPERLINK("https%3A%2F%2Fwww.webofscience.com%2Fwos%2Fwoscc%2Ffull-record%2FWOS:000326056800002","View Full Record in Web of Science")</f>
        <v>View Full Record in Web of Science</v>
      </c>
    </row>
    <row r="473" spans="1:72" x14ac:dyDescent="0.15">
      <c r="A473" t="s">
        <v>72</v>
      </c>
      <c r="B473" t="s">
        <v>9426</v>
      </c>
      <c r="C473" t="s">
        <v>74</v>
      </c>
      <c r="D473" t="s">
        <v>74</v>
      </c>
      <c r="E473" t="s">
        <v>74</v>
      </c>
      <c r="F473" t="s">
        <v>9427</v>
      </c>
      <c r="G473" t="s">
        <v>74</v>
      </c>
      <c r="H473" t="s">
        <v>74</v>
      </c>
      <c r="I473" t="s">
        <v>9428</v>
      </c>
      <c r="J473" t="s">
        <v>3167</v>
      </c>
      <c r="K473" t="s">
        <v>74</v>
      </c>
      <c r="L473" t="s">
        <v>74</v>
      </c>
      <c r="M473" t="s">
        <v>78</v>
      </c>
      <c r="N473" t="s">
        <v>79</v>
      </c>
      <c r="O473" t="s">
        <v>74</v>
      </c>
      <c r="P473" t="s">
        <v>74</v>
      </c>
      <c r="Q473" t="s">
        <v>74</v>
      </c>
      <c r="R473" t="s">
        <v>74</v>
      </c>
      <c r="S473" t="s">
        <v>74</v>
      </c>
      <c r="T473" t="s">
        <v>9429</v>
      </c>
      <c r="U473" t="s">
        <v>9430</v>
      </c>
      <c r="V473" t="s">
        <v>9431</v>
      </c>
      <c r="W473" t="s">
        <v>9432</v>
      </c>
      <c r="X473" t="s">
        <v>9433</v>
      </c>
      <c r="Y473" t="s">
        <v>9434</v>
      </c>
      <c r="Z473" t="s">
        <v>9435</v>
      </c>
      <c r="AA473" t="s">
        <v>74</v>
      </c>
      <c r="AB473" t="s">
        <v>74</v>
      </c>
      <c r="AC473" t="s">
        <v>9436</v>
      </c>
      <c r="AD473" t="s">
        <v>9437</v>
      </c>
      <c r="AE473" t="s">
        <v>9438</v>
      </c>
      <c r="AF473" t="s">
        <v>74</v>
      </c>
      <c r="AG473">
        <v>49</v>
      </c>
      <c r="AH473">
        <v>13</v>
      </c>
      <c r="AI473">
        <v>13</v>
      </c>
      <c r="AJ473">
        <v>2</v>
      </c>
      <c r="AK473">
        <v>39</v>
      </c>
      <c r="AL473" t="s">
        <v>1067</v>
      </c>
      <c r="AM473" t="s">
        <v>921</v>
      </c>
      <c r="AN473" t="s">
        <v>2493</v>
      </c>
      <c r="AO473" t="s">
        <v>3178</v>
      </c>
      <c r="AP473" t="s">
        <v>3179</v>
      </c>
      <c r="AQ473" t="s">
        <v>74</v>
      </c>
      <c r="AR473" t="s">
        <v>3180</v>
      </c>
      <c r="AS473" t="s">
        <v>3181</v>
      </c>
      <c r="AT473" t="s">
        <v>8425</v>
      </c>
      <c r="AU473">
        <v>2013</v>
      </c>
      <c r="AV473">
        <v>36</v>
      </c>
      <c r="AW473">
        <v>11</v>
      </c>
      <c r="AX473" t="s">
        <v>74</v>
      </c>
      <c r="AY473" t="s">
        <v>74</v>
      </c>
      <c r="AZ473" t="s">
        <v>74</v>
      </c>
      <c r="BA473" t="s">
        <v>74</v>
      </c>
      <c r="BB473">
        <v>1557</v>
      </c>
      <c r="BC473">
        <v>1568</v>
      </c>
      <c r="BD473" t="s">
        <v>74</v>
      </c>
      <c r="BE473" t="s">
        <v>9439</v>
      </c>
      <c r="BF473" t="str">
        <f>HYPERLINK("http://dx.doi.org/10.1007/s00300-013-1373-x","http://dx.doi.org/10.1007/s00300-013-1373-x")</f>
        <v>http://dx.doi.org/10.1007/s00300-013-1373-x</v>
      </c>
      <c r="BG473" t="s">
        <v>74</v>
      </c>
      <c r="BH473" t="s">
        <v>74</v>
      </c>
      <c r="BI473">
        <v>12</v>
      </c>
      <c r="BJ473" t="s">
        <v>3183</v>
      </c>
      <c r="BK473" t="s">
        <v>99</v>
      </c>
      <c r="BL473" t="s">
        <v>1050</v>
      </c>
      <c r="BM473" t="s">
        <v>9440</v>
      </c>
      <c r="BN473" t="s">
        <v>74</v>
      </c>
      <c r="BO473" t="s">
        <v>74</v>
      </c>
      <c r="BP473" t="s">
        <v>74</v>
      </c>
      <c r="BQ473" t="s">
        <v>74</v>
      </c>
      <c r="BR473" t="s">
        <v>103</v>
      </c>
      <c r="BS473" t="s">
        <v>9441</v>
      </c>
      <c r="BT473" t="str">
        <f>HYPERLINK("https%3A%2F%2Fwww.webofscience.com%2Fwos%2Fwoscc%2Ffull-record%2FWOS:000326049100002","View Full Record in Web of Science")</f>
        <v>View Full Record in Web of Science</v>
      </c>
    </row>
    <row r="474" spans="1:72" x14ac:dyDescent="0.15">
      <c r="A474" t="s">
        <v>72</v>
      </c>
      <c r="B474" t="s">
        <v>9442</v>
      </c>
      <c r="C474" t="s">
        <v>74</v>
      </c>
      <c r="D474" t="s">
        <v>74</v>
      </c>
      <c r="E474" t="s">
        <v>74</v>
      </c>
      <c r="F474" t="s">
        <v>9443</v>
      </c>
      <c r="G474" t="s">
        <v>74</v>
      </c>
      <c r="H474" t="s">
        <v>74</v>
      </c>
      <c r="I474" t="s">
        <v>9444</v>
      </c>
      <c r="J474" t="s">
        <v>3167</v>
      </c>
      <c r="K474" t="s">
        <v>74</v>
      </c>
      <c r="L474" t="s">
        <v>74</v>
      </c>
      <c r="M474" t="s">
        <v>78</v>
      </c>
      <c r="N474" t="s">
        <v>79</v>
      </c>
      <c r="O474" t="s">
        <v>74</v>
      </c>
      <c r="P474" t="s">
        <v>74</v>
      </c>
      <c r="Q474" t="s">
        <v>74</v>
      </c>
      <c r="R474" t="s">
        <v>74</v>
      </c>
      <c r="S474" t="s">
        <v>74</v>
      </c>
      <c r="T474" t="s">
        <v>9445</v>
      </c>
      <c r="U474" t="s">
        <v>9446</v>
      </c>
      <c r="V474" t="s">
        <v>9447</v>
      </c>
      <c r="W474" t="s">
        <v>9448</v>
      </c>
      <c r="X474" t="s">
        <v>9449</v>
      </c>
      <c r="Y474" t="s">
        <v>9450</v>
      </c>
      <c r="Z474" t="s">
        <v>9451</v>
      </c>
      <c r="AA474" t="s">
        <v>9452</v>
      </c>
      <c r="AB474" t="s">
        <v>74</v>
      </c>
      <c r="AC474" t="s">
        <v>9453</v>
      </c>
      <c r="AD474" t="s">
        <v>9453</v>
      </c>
      <c r="AE474" t="s">
        <v>9454</v>
      </c>
      <c r="AF474" t="s">
        <v>74</v>
      </c>
      <c r="AG474">
        <v>55</v>
      </c>
      <c r="AH474">
        <v>16</v>
      </c>
      <c r="AI474">
        <v>16</v>
      </c>
      <c r="AJ474">
        <v>0</v>
      </c>
      <c r="AK474">
        <v>16</v>
      </c>
      <c r="AL474" t="s">
        <v>1067</v>
      </c>
      <c r="AM474" t="s">
        <v>921</v>
      </c>
      <c r="AN474" t="s">
        <v>2690</v>
      </c>
      <c r="AO474" t="s">
        <v>3178</v>
      </c>
      <c r="AP474" t="s">
        <v>3179</v>
      </c>
      <c r="AQ474" t="s">
        <v>74</v>
      </c>
      <c r="AR474" t="s">
        <v>3180</v>
      </c>
      <c r="AS474" t="s">
        <v>3181</v>
      </c>
      <c r="AT474" t="s">
        <v>8425</v>
      </c>
      <c r="AU474">
        <v>2013</v>
      </c>
      <c r="AV474">
        <v>36</v>
      </c>
      <c r="AW474">
        <v>11</v>
      </c>
      <c r="AX474" t="s">
        <v>74</v>
      </c>
      <c r="AY474" t="s">
        <v>74</v>
      </c>
      <c r="AZ474" t="s">
        <v>74</v>
      </c>
      <c r="BA474" t="s">
        <v>74</v>
      </c>
      <c r="BB474">
        <v>1609</v>
      </c>
      <c r="BC474">
        <v>1617</v>
      </c>
      <c r="BD474" t="s">
        <v>74</v>
      </c>
      <c r="BE474" t="s">
        <v>9455</v>
      </c>
      <c r="BF474" t="str">
        <f>HYPERLINK("http://dx.doi.org/10.1007/s00300-013-1380-y","http://dx.doi.org/10.1007/s00300-013-1380-y")</f>
        <v>http://dx.doi.org/10.1007/s00300-013-1380-y</v>
      </c>
      <c r="BG474" t="s">
        <v>74</v>
      </c>
      <c r="BH474" t="s">
        <v>74</v>
      </c>
      <c r="BI474">
        <v>9</v>
      </c>
      <c r="BJ474" t="s">
        <v>3183</v>
      </c>
      <c r="BK474" t="s">
        <v>99</v>
      </c>
      <c r="BL474" t="s">
        <v>1050</v>
      </c>
      <c r="BM474" t="s">
        <v>9440</v>
      </c>
      <c r="BN474" t="s">
        <v>74</v>
      </c>
      <c r="BO474" t="s">
        <v>1145</v>
      </c>
      <c r="BP474" t="s">
        <v>74</v>
      </c>
      <c r="BQ474" t="s">
        <v>74</v>
      </c>
      <c r="BR474" t="s">
        <v>103</v>
      </c>
      <c r="BS474" t="s">
        <v>9456</v>
      </c>
      <c r="BT474" t="str">
        <f>HYPERLINK("https%3A%2F%2Fwww.webofscience.com%2Fwos%2Fwoscc%2Ffull-record%2FWOS:000326049100007","View Full Record in Web of Science")</f>
        <v>View Full Record in Web of Science</v>
      </c>
    </row>
    <row r="475" spans="1:72" x14ac:dyDescent="0.15">
      <c r="A475" t="s">
        <v>72</v>
      </c>
      <c r="B475" t="s">
        <v>9457</v>
      </c>
      <c r="C475" t="s">
        <v>74</v>
      </c>
      <c r="D475" t="s">
        <v>74</v>
      </c>
      <c r="E475" t="s">
        <v>74</v>
      </c>
      <c r="F475" t="s">
        <v>9458</v>
      </c>
      <c r="G475" t="s">
        <v>74</v>
      </c>
      <c r="H475" t="s">
        <v>74</v>
      </c>
      <c r="I475" t="s">
        <v>9459</v>
      </c>
      <c r="J475" t="s">
        <v>3167</v>
      </c>
      <c r="K475" t="s">
        <v>74</v>
      </c>
      <c r="L475" t="s">
        <v>74</v>
      </c>
      <c r="M475" t="s">
        <v>78</v>
      </c>
      <c r="N475" t="s">
        <v>79</v>
      </c>
      <c r="O475" t="s">
        <v>74</v>
      </c>
      <c r="P475" t="s">
        <v>74</v>
      </c>
      <c r="Q475" t="s">
        <v>74</v>
      </c>
      <c r="R475" t="s">
        <v>74</v>
      </c>
      <c r="S475" t="s">
        <v>74</v>
      </c>
      <c r="T475" t="s">
        <v>9460</v>
      </c>
      <c r="U475" t="s">
        <v>9461</v>
      </c>
      <c r="V475" t="s">
        <v>9462</v>
      </c>
      <c r="W475" t="s">
        <v>9463</v>
      </c>
      <c r="X475" t="s">
        <v>9464</v>
      </c>
      <c r="Y475" t="s">
        <v>9465</v>
      </c>
      <c r="Z475" t="s">
        <v>9466</v>
      </c>
      <c r="AA475" t="s">
        <v>9467</v>
      </c>
      <c r="AB475" t="s">
        <v>9468</v>
      </c>
      <c r="AC475" t="s">
        <v>9469</v>
      </c>
      <c r="AD475" t="s">
        <v>9470</v>
      </c>
      <c r="AE475" t="s">
        <v>9471</v>
      </c>
      <c r="AF475" t="s">
        <v>74</v>
      </c>
      <c r="AG475">
        <v>85</v>
      </c>
      <c r="AH475">
        <v>6</v>
      </c>
      <c r="AI475">
        <v>8</v>
      </c>
      <c r="AJ475">
        <v>0</v>
      </c>
      <c r="AK475">
        <v>22</v>
      </c>
      <c r="AL475" t="s">
        <v>1067</v>
      </c>
      <c r="AM475" t="s">
        <v>921</v>
      </c>
      <c r="AN475" t="s">
        <v>2493</v>
      </c>
      <c r="AO475" t="s">
        <v>3178</v>
      </c>
      <c r="AP475" t="s">
        <v>3179</v>
      </c>
      <c r="AQ475" t="s">
        <v>74</v>
      </c>
      <c r="AR475" t="s">
        <v>3180</v>
      </c>
      <c r="AS475" t="s">
        <v>3181</v>
      </c>
      <c r="AT475" t="s">
        <v>8425</v>
      </c>
      <c r="AU475">
        <v>2013</v>
      </c>
      <c r="AV475">
        <v>36</v>
      </c>
      <c r="AW475">
        <v>11</v>
      </c>
      <c r="AX475" t="s">
        <v>74</v>
      </c>
      <c r="AY475" t="s">
        <v>74</v>
      </c>
      <c r="AZ475" t="s">
        <v>74</v>
      </c>
      <c r="BA475" t="s">
        <v>74</v>
      </c>
      <c r="BB475">
        <v>1619</v>
      </c>
      <c r="BC475">
        <v>1631</v>
      </c>
      <c r="BD475" t="s">
        <v>74</v>
      </c>
      <c r="BE475" t="s">
        <v>9472</v>
      </c>
      <c r="BF475" t="str">
        <f>HYPERLINK("http://dx.doi.org/10.1007/s00300-013-1381-x","http://dx.doi.org/10.1007/s00300-013-1381-x")</f>
        <v>http://dx.doi.org/10.1007/s00300-013-1381-x</v>
      </c>
      <c r="BG475" t="s">
        <v>74</v>
      </c>
      <c r="BH475" t="s">
        <v>74</v>
      </c>
      <c r="BI475">
        <v>13</v>
      </c>
      <c r="BJ475" t="s">
        <v>3183</v>
      </c>
      <c r="BK475" t="s">
        <v>99</v>
      </c>
      <c r="BL475" t="s">
        <v>1050</v>
      </c>
      <c r="BM475" t="s">
        <v>9440</v>
      </c>
      <c r="BN475" t="s">
        <v>74</v>
      </c>
      <c r="BO475" t="s">
        <v>74</v>
      </c>
      <c r="BP475" t="s">
        <v>74</v>
      </c>
      <c r="BQ475" t="s">
        <v>74</v>
      </c>
      <c r="BR475" t="s">
        <v>103</v>
      </c>
      <c r="BS475" t="s">
        <v>9473</v>
      </c>
      <c r="BT475" t="str">
        <f>HYPERLINK("https%3A%2F%2Fwww.webofscience.com%2Fwos%2Fwoscc%2Ffull-record%2FWOS:000326049100008","View Full Record in Web of Science")</f>
        <v>View Full Record in Web of Science</v>
      </c>
    </row>
    <row r="476" spans="1:72" x14ac:dyDescent="0.15">
      <c r="A476" t="s">
        <v>72</v>
      </c>
      <c r="B476" t="s">
        <v>9474</v>
      </c>
      <c r="C476" t="s">
        <v>74</v>
      </c>
      <c r="D476" t="s">
        <v>74</v>
      </c>
      <c r="E476" t="s">
        <v>74</v>
      </c>
      <c r="F476" t="s">
        <v>9475</v>
      </c>
      <c r="G476" t="s">
        <v>74</v>
      </c>
      <c r="H476" t="s">
        <v>74</v>
      </c>
      <c r="I476" t="s">
        <v>9476</v>
      </c>
      <c r="J476" t="s">
        <v>3167</v>
      </c>
      <c r="K476" t="s">
        <v>74</v>
      </c>
      <c r="L476" t="s">
        <v>74</v>
      </c>
      <c r="M476" t="s">
        <v>78</v>
      </c>
      <c r="N476" t="s">
        <v>79</v>
      </c>
      <c r="O476" t="s">
        <v>74</v>
      </c>
      <c r="P476" t="s">
        <v>74</v>
      </c>
      <c r="Q476" t="s">
        <v>74</v>
      </c>
      <c r="R476" t="s">
        <v>74</v>
      </c>
      <c r="S476" t="s">
        <v>74</v>
      </c>
      <c r="T476" t="s">
        <v>9477</v>
      </c>
      <c r="U476" t="s">
        <v>9478</v>
      </c>
      <c r="V476" t="s">
        <v>9479</v>
      </c>
      <c r="W476" t="s">
        <v>9480</v>
      </c>
      <c r="X476" t="s">
        <v>9481</v>
      </c>
      <c r="Y476" t="s">
        <v>9482</v>
      </c>
      <c r="Z476" t="s">
        <v>9483</v>
      </c>
      <c r="AA476" t="s">
        <v>74</v>
      </c>
      <c r="AB476" t="s">
        <v>9484</v>
      </c>
      <c r="AC476" t="s">
        <v>9485</v>
      </c>
      <c r="AD476" t="s">
        <v>9485</v>
      </c>
      <c r="AE476" t="s">
        <v>9486</v>
      </c>
      <c r="AF476" t="s">
        <v>74</v>
      </c>
      <c r="AG476">
        <v>26</v>
      </c>
      <c r="AH476">
        <v>7</v>
      </c>
      <c r="AI476">
        <v>9</v>
      </c>
      <c r="AJ476">
        <v>0</v>
      </c>
      <c r="AK476">
        <v>12</v>
      </c>
      <c r="AL476" t="s">
        <v>1067</v>
      </c>
      <c r="AM476" t="s">
        <v>921</v>
      </c>
      <c r="AN476" t="s">
        <v>2690</v>
      </c>
      <c r="AO476" t="s">
        <v>3178</v>
      </c>
      <c r="AP476" t="s">
        <v>3179</v>
      </c>
      <c r="AQ476" t="s">
        <v>74</v>
      </c>
      <c r="AR476" t="s">
        <v>3180</v>
      </c>
      <c r="AS476" t="s">
        <v>3181</v>
      </c>
      <c r="AT476" t="s">
        <v>8425</v>
      </c>
      <c r="AU476">
        <v>2013</v>
      </c>
      <c r="AV476">
        <v>36</v>
      </c>
      <c r="AW476">
        <v>11</v>
      </c>
      <c r="AX476" t="s">
        <v>74</v>
      </c>
      <c r="AY476" t="s">
        <v>74</v>
      </c>
      <c r="AZ476" t="s">
        <v>74</v>
      </c>
      <c r="BA476" t="s">
        <v>74</v>
      </c>
      <c r="BB476">
        <v>1633</v>
      </c>
      <c r="BC476">
        <v>1647</v>
      </c>
      <c r="BD476" t="s">
        <v>74</v>
      </c>
      <c r="BE476" t="s">
        <v>9487</v>
      </c>
      <c r="BF476" t="str">
        <f>HYPERLINK("http://dx.doi.org/10.1007/s00300-013-1382-9","http://dx.doi.org/10.1007/s00300-013-1382-9")</f>
        <v>http://dx.doi.org/10.1007/s00300-013-1382-9</v>
      </c>
      <c r="BG476" t="s">
        <v>74</v>
      </c>
      <c r="BH476" t="s">
        <v>74</v>
      </c>
      <c r="BI476">
        <v>15</v>
      </c>
      <c r="BJ476" t="s">
        <v>3183</v>
      </c>
      <c r="BK476" t="s">
        <v>99</v>
      </c>
      <c r="BL476" t="s">
        <v>1050</v>
      </c>
      <c r="BM476" t="s">
        <v>9440</v>
      </c>
      <c r="BN476" t="s">
        <v>74</v>
      </c>
      <c r="BO476" t="s">
        <v>74</v>
      </c>
      <c r="BP476" t="s">
        <v>74</v>
      </c>
      <c r="BQ476" t="s">
        <v>74</v>
      </c>
      <c r="BR476" t="s">
        <v>103</v>
      </c>
      <c r="BS476" t="s">
        <v>9488</v>
      </c>
      <c r="BT476" t="str">
        <f>HYPERLINK("https%3A%2F%2Fwww.webofscience.com%2Fwos%2Fwoscc%2Ffull-record%2FWOS:000326049100009","View Full Record in Web of Science")</f>
        <v>View Full Record in Web of Science</v>
      </c>
    </row>
    <row r="477" spans="1:72" x14ac:dyDescent="0.15">
      <c r="A477" t="s">
        <v>72</v>
      </c>
      <c r="B477" t="s">
        <v>9489</v>
      </c>
      <c r="C477" t="s">
        <v>74</v>
      </c>
      <c r="D477" t="s">
        <v>74</v>
      </c>
      <c r="E477" t="s">
        <v>74</v>
      </c>
      <c r="F477" t="s">
        <v>9490</v>
      </c>
      <c r="G477" t="s">
        <v>74</v>
      </c>
      <c r="H477" t="s">
        <v>74</v>
      </c>
      <c r="I477" t="s">
        <v>9491</v>
      </c>
      <c r="J477" t="s">
        <v>3167</v>
      </c>
      <c r="K477" t="s">
        <v>74</v>
      </c>
      <c r="L477" t="s">
        <v>74</v>
      </c>
      <c r="M477" t="s">
        <v>78</v>
      </c>
      <c r="N477" t="s">
        <v>79</v>
      </c>
      <c r="O477" t="s">
        <v>74</v>
      </c>
      <c r="P477" t="s">
        <v>74</v>
      </c>
      <c r="Q477" t="s">
        <v>74</v>
      </c>
      <c r="R477" t="s">
        <v>74</v>
      </c>
      <c r="S477" t="s">
        <v>74</v>
      </c>
      <c r="T477" t="s">
        <v>9492</v>
      </c>
      <c r="U477" t="s">
        <v>9493</v>
      </c>
      <c r="V477" t="s">
        <v>9494</v>
      </c>
      <c r="W477" t="s">
        <v>9495</v>
      </c>
      <c r="X477" t="s">
        <v>9496</v>
      </c>
      <c r="Y477" t="s">
        <v>9497</v>
      </c>
      <c r="Z477" t="s">
        <v>9498</v>
      </c>
      <c r="AA477" t="s">
        <v>9499</v>
      </c>
      <c r="AB477" t="s">
        <v>9500</v>
      </c>
      <c r="AC477" t="s">
        <v>9501</v>
      </c>
      <c r="AD477" t="s">
        <v>9502</v>
      </c>
      <c r="AE477" t="s">
        <v>9503</v>
      </c>
      <c r="AF477" t="s">
        <v>74</v>
      </c>
      <c r="AG477">
        <v>71</v>
      </c>
      <c r="AH477">
        <v>22</v>
      </c>
      <c r="AI477">
        <v>24</v>
      </c>
      <c r="AJ477">
        <v>1</v>
      </c>
      <c r="AK477">
        <v>24</v>
      </c>
      <c r="AL477" t="s">
        <v>1067</v>
      </c>
      <c r="AM477" t="s">
        <v>921</v>
      </c>
      <c r="AN477" t="s">
        <v>2690</v>
      </c>
      <c r="AO477" t="s">
        <v>3178</v>
      </c>
      <c r="AP477" t="s">
        <v>3179</v>
      </c>
      <c r="AQ477" t="s">
        <v>74</v>
      </c>
      <c r="AR477" t="s">
        <v>3180</v>
      </c>
      <c r="AS477" t="s">
        <v>3181</v>
      </c>
      <c r="AT477" t="s">
        <v>8425</v>
      </c>
      <c r="AU477">
        <v>2013</v>
      </c>
      <c r="AV477">
        <v>36</v>
      </c>
      <c r="AW477">
        <v>11</v>
      </c>
      <c r="AX477" t="s">
        <v>74</v>
      </c>
      <c r="AY477" t="s">
        <v>74</v>
      </c>
      <c r="AZ477" t="s">
        <v>74</v>
      </c>
      <c r="BA477" t="s">
        <v>74</v>
      </c>
      <c r="BB477">
        <v>1659</v>
      </c>
      <c r="BC477">
        <v>1669</v>
      </c>
      <c r="BD477" t="s">
        <v>74</v>
      </c>
      <c r="BE477" t="s">
        <v>9504</v>
      </c>
      <c r="BF477" t="str">
        <f>HYPERLINK("http://dx.doi.org/10.1007/s00300-013-1385-6","http://dx.doi.org/10.1007/s00300-013-1385-6")</f>
        <v>http://dx.doi.org/10.1007/s00300-013-1385-6</v>
      </c>
      <c r="BG477" t="s">
        <v>74</v>
      </c>
      <c r="BH477" t="s">
        <v>74</v>
      </c>
      <c r="BI477">
        <v>11</v>
      </c>
      <c r="BJ477" t="s">
        <v>3183</v>
      </c>
      <c r="BK477" t="s">
        <v>99</v>
      </c>
      <c r="BL477" t="s">
        <v>1050</v>
      </c>
      <c r="BM477" t="s">
        <v>9440</v>
      </c>
      <c r="BN477" t="s">
        <v>74</v>
      </c>
      <c r="BO477" t="s">
        <v>524</v>
      </c>
      <c r="BP477" t="s">
        <v>74</v>
      </c>
      <c r="BQ477" t="s">
        <v>74</v>
      </c>
      <c r="BR477" t="s">
        <v>103</v>
      </c>
      <c r="BS477" t="s">
        <v>9505</v>
      </c>
      <c r="BT477" t="str">
        <f>HYPERLINK("https%3A%2F%2Fwww.webofscience.com%2Fwos%2Fwoscc%2Ffull-record%2FWOS:000326049100011","View Full Record in Web of Science")</f>
        <v>View Full Record in Web of Science</v>
      </c>
    </row>
    <row r="478" spans="1:72" x14ac:dyDescent="0.15">
      <c r="A478" t="s">
        <v>72</v>
      </c>
      <c r="B478" t="s">
        <v>9506</v>
      </c>
      <c r="C478" t="s">
        <v>74</v>
      </c>
      <c r="D478" t="s">
        <v>74</v>
      </c>
      <c r="E478" t="s">
        <v>74</v>
      </c>
      <c r="F478" t="s">
        <v>9507</v>
      </c>
      <c r="G478" t="s">
        <v>74</v>
      </c>
      <c r="H478" t="s">
        <v>74</v>
      </c>
      <c r="I478" t="s">
        <v>9508</v>
      </c>
      <c r="J478" t="s">
        <v>3167</v>
      </c>
      <c r="K478" t="s">
        <v>74</v>
      </c>
      <c r="L478" t="s">
        <v>74</v>
      </c>
      <c r="M478" t="s">
        <v>78</v>
      </c>
      <c r="N478" t="s">
        <v>79</v>
      </c>
      <c r="O478" t="s">
        <v>74</v>
      </c>
      <c r="P478" t="s">
        <v>74</v>
      </c>
      <c r="Q478" t="s">
        <v>74</v>
      </c>
      <c r="R478" t="s">
        <v>74</v>
      </c>
      <c r="S478" t="s">
        <v>74</v>
      </c>
      <c r="T478" t="s">
        <v>9509</v>
      </c>
      <c r="U478" t="s">
        <v>9510</v>
      </c>
      <c r="V478" t="s">
        <v>9511</v>
      </c>
      <c r="W478" t="s">
        <v>9512</v>
      </c>
      <c r="X478" t="s">
        <v>9513</v>
      </c>
      <c r="Y478" t="s">
        <v>9514</v>
      </c>
      <c r="Z478" t="s">
        <v>9515</v>
      </c>
      <c r="AA478" t="s">
        <v>9516</v>
      </c>
      <c r="AB478" t="s">
        <v>9517</v>
      </c>
      <c r="AC478" t="s">
        <v>74</v>
      </c>
      <c r="AD478" t="s">
        <v>74</v>
      </c>
      <c r="AE478" t="s">
        <v>74</v>
      </c>
      <c r="AF478" t="s">
        <v>74</v>
      </c>
      <c r="AG478">
        <v>39</v>
      </c>
      <c r="AH478">
        <v>4</v>
      </c>
      <c r="AI478">
        <v>5</v>
      </c>
      <c r="AJ478">
        <v>0</v>
      </c>
      <c r="AK478">
        <v>25</v>
      </c>
      <c r="AL478" t="s">
        <v>1067</v>
      </c>
      <c r="AM478" t="s">
        <v>921</v>
      </c>
      <c r="AN478" t="s">
        <v>2690</v>
      </c>
      <c r="AO478" t="s">
        <v>3178</v>
      </c>
      <c r="AP478" t="s">
        <v>3179</v>
      </c>
      <c r="AQ478" t="s">
        <v>74</v>
      </c>
      <c r="AR478" t="s">
        <v>3180</v>
      </c>
      <c r="AS478" t="s">
        <v>3181</v>
      </c>
      <c r="AT478" t="s">
        <v>8425</v>
      </c>
      <c r="AU478">
        <v>2013</v>
      </c>
      <c r="AV478">
        <v>36</v>
      </c>
      <c r="AW478">
        <v>11</v>
      </c>
      <c r="AX478" t="s">
        <v>74</v>
      </c>
      <c r="AY478" t="s">
        <v>74</v>
      </c>
      <c r="AZ478" t="s">
        <v>74</v>
      </c>
      <c r="BA478" t="s">
        <v>74</v>
      </c>
      <c r="BB478">
        <v>1671</v>
      </c>
      <c r="BC478">
        <v>1680</v>
      </c>
      <c r="BD478" t="s">
        <v>74</v>
      </c>
      <c r="BE478" t="s">
        <v>9518</v>
      </c>
      <c r="BF478" t="str">
        <f>HYPERLINK("http://dx.doi.org/10.1007/s00300-013-1386-5","http://dx.doi.org/10.1007/s00300-013-1386-5")</f>
        <v>http://dx.doi.org/10.1007/s00300-013-1386-5</v>
      </c>
      <c r="BG478" t="s">
        <v>74</v>
      </c>
      <c r="BH478" t="s">
        <v>74</v>
      </c>
      <c r="BI478">
        <v>10</v>
      </c>
      <c r="BJ478" t="s">
        <v>3183</v>
      </c>
      <c r="BK478" t="s">
        <v>99</v>
      </c>
      <c r="BL478" t="s">
        <v>1050</v>
      </c>
      <c r="BM478" t="s">
        <v>9440</v>
      </c>
      <c r="BN478" t="s">
        <v>74</v>
      </c>
      <c r="BO478" t="s">
        <v>74</v>
      </c>
      <c r="BP478" t="s">
        <v>74</v>
      </c>
      <c r="BQ478" t="s">
        <v>74</v>
      </c>
      <c r="BR478" t="s">
        <v>103</v>
      </c>
      <c r="BS478" t="s">
        <v>9519</v>
      </c>
      <c r="BT478" t="str">
        <f>HYPERLINK("https%3A%2F%2Fwww.webofscience.com%2Fwos%2Fwoscc%2Ffull-record%2FWOS:000326049100012","View Full Record in Web of Science")</f>
        <v>View Full Record in Web of Science</v>
      </c>
    </row>
    <row r="479" spans="1:72" x14ac:dyDescent="0.15">
      <c r="A479" t="s">
        <v>72</v>
      </c>
      <c r="B479" t="s">
        <v>9520</v>
      </c>
      <c r="C479" t="s">
        <v>74</v>
      </c>
      <c r="D479" t="s">
        <v>74</v>
      </c>
      <c r="E479" t="s">
        <v>74</v>
      </c>
      <c r="F479" t="s">
        <v>9521</v>
      </c>
      <c r="G479" t="s">
        <v>74</v>
      </c>
      <c r="H479" t="s">
        <v>74</v>
      </c>
      <c r="I479" t="s">
        <v>9522</v>
      </c>
      <c r="J479" t="s">
        <v>9523</v>
      </c>
      <c r="K479" t="s">
        <v>74</v>
      </c>
      <c r="L479" t="s">
        <v>74</v>
      </c>
      <c r="M479" t="s">
        <v>78</v>
      </c>
      <c r="N479" t="s">
        <v>79</v>
      </c>
      <c r="O479" t="s">
        <v>74</v>
      </c>
      <c r="P479" t="s">
        <v>74</v>
      </c>
      <c r="Q479" t="s">
        <v>74</v>
      </c>
      <c r="R479" t="s">
        <v>74</v>
      </c>
      <c r="S479" t="s">
        <v>74</v>
      </c>
      <c r="T479" t="s">
        <v>74</v>
      </c>
      <c r="U479" t="s">
        <v>9524</v>
      </c>
      <c r="V479" t="s">
        <v>9525</v>
      </c>
      <c r="W479" t="s">
        <v>9526</v>
      </c>
      <c r="X479" t="s">
        <v>9527</v>
      </c>
      <c r="Y479" t="s">
        <v>9528</v>
      </c>
      <c r="Z479" t="s">
        <v>9529</v>
      </c>
      <c r="AA479" t="s">
        <v>9530</v>
      </c>
      <c r="AB479" t="s">
        <v>4107</v>
      </c>
      <c r="AC479" t="s">
        <v>74</v>
      </c>
      <c r="AD479" t="s">
        <v>74</v>
      </c>
      <c r="AE479" t="s">
        <v>74</v>
      </c>
      <c r="AF479" t="s">
        <v>74</v>
      </c>
      <c r="AG479">
        <v>25</v>
      </c>
      <c r="AH479">
        <v>18</v>
      </c>
      <c r="AI479">
        <v>18</v>
      </c>
      <c r="AJ479">
        <v>0</v>
      </c>
      <c r="AK479">
        <v>17</v>
      </c>
      <c r="AL479" t="s">
        <v>276</v>
      </c>
      <c r="AM479" t="s">
        <v>277</v>
      </c>
      <c r="AN479" t="s">
        <v>278</v>
      </c>
      <c r="AO479" t="s">
        <v>9531</v>
      </c>
      <c r="AP479" t="s">
        <v>9532</v>
      </c>
      <c r="AQ479" t="s">
        <v>74</v>
      </c>
      <c r="AR479" t="s">
        <v>9533</v>
      </c>
      <c r="AS479" t="s">
        <v>9534</v>
      </c>
      <c r="AT479" t="s">
        <v>8493</v>
      </c>
      <c r="AU479">
        <v>2013</v>
      </c>
      <c r="AV479">
        <v>4</v>
      </c>
      <c r="AW479">
        <v>11</v>
      </c>
      <c r="AX479" t="s">
        <v>74</v>
      </c>
      <c r="AY479" t="s">
        <v>74</v>
      </c>
      <c r="AZ479" t="s">
        <v>74</v>
      </c>
      <c r="BA479" t="s">
        <v>74</v>
      </c>
      <c r="BB479">
        <v>1097</v>
      </c>
      <c r="BC479">
        <v>1106</v>
      </c>
      <c r="BD479" t="s">
        <v>74</v>
      </c>
      <c r="BE479" t="s">
        <v>9535</v>
      </c>
      <c r="BF479" t="str">
        <f>HYPERLINK("http://dx.doi.org/10.1080/2150704X.2013.842284","http://dx.doi.org/10.1080/2150704X.2013.842284")</f>
        <v>http://dx.doi.org/10.1080/2150704X.2013.842284</v>
      </c>
      <c r="BG479" t="s">
        <v>74</v>
      </c>
      <c r="BH479" t="s">
        <v>74</v>
      </c>
      <c r="BI479">
        <v>10</v>
      </c>
      <c r="BJ479" t="s">
        <v>9536</v>
      </c>
      <c r="BK479" t="s">
        <v>99</v>
      </c>
      <c r="BL479" t="s">
        <v>9536</v>
      </c>
      <c r="BM479" t="s">
        <v>9537</v>
      </c>
      <c r="BN479" t="s">
        <v>74</v>
      </c>
      <c r="BO479" t="s">
        <v>74</v>
      </c>
      <c r="BP479" t="s">
        <v>74</v>
      </c>
      <c r="BQ479" t="s">
        <v>74</v>
      </c>
      <c r="BR479" t="s">
        <v>103</v>
      </c>
      <c r="BS479" t="s">
        <v>9538</v>
      </c>
      <c r="BT479" t="str">
        <f>HYPERLINK("https%3A%2F%2Fwww.webofscience.com%2Fwos%2Fwoscc%2Ffull-record%2FWOS:000325786300007","View Full Record in Web of Science")</f>
        <v>View Full Record in Web of Science</v>
      </c>
    </row>
    <row r="480" spans="1:72" x14ac:dyDescent="0.15">
      <c r="A480" t="s">
        <v>72</v>
      </c>
      <c r="B480" t="s">
        <v>9539</v>
      </c>
      <c r="C480" t="s">
        <v>74</v>
      </c>
      <c r="D480" t="s">
        <v>74</v>
      </c>
      <c r="E480" t="s">
        <v>74</v>
      </c>
      <c r="F480" t="s">
        <v>9540</v>
      </c>
      <c r="G480" t="s">
        <v>74</v>
      </c>
      <c r="H480" t="s">
        <v>74</v>
      </c>
      <c r="I480" t="s">
        <v>9541</v>
      </c>
      <c r="J480" t="s">
        <v>595</v>
      </c>
      <c r="K480" t="s">
        <v>74</v>
      </c>
      <c r="L480" t="s">
        <v>74</v>
      </c>
      <c r="M480" t="s">
        <v>78</v>
      </c>
      <c r="N480" t="s">
        <v>79</v>
      </c>
      <c r="O480" t="s">
        <v>74</v>
      </c>
      <c r="P480" t="s">
        <v>74</v>
      </c>
      <c r="Q480" t="s">
        <v>74</v>
      </c>
      <c r="R480" t="s">
        <v>74</v>
      </c>
      <c r="S480" t="s">
        <v>74</v>
      </c>
      <c r="T480" t="s">
        <v>9542</v>
      </c>
      <c r="U480" t="s">
        <v>9543</v>
      </c>
      <c r="V480" t="s">
        <v>9544</v>
      </c>
      <c r="W480" t="s">
        <v>9545</v>
      </c>
      <c r="X480" t="s">
        <v>9546</v>
      </c>
      <c r="Y480" t="s">
        <v>9547</v>
      </c>
      <c r="Z480" t="s">
        <v>602</v>
      </c>
      <c r="AA480" t="s">
        <v>9548</v>
      </c>
      <c r="AB480" t="s">
        <v>9549</v>
      </c>
      <c r="AC480" t="s">
        <v>9550</v>
      </c>
      <c r="AD480" t="s">
        <v>9551</v>
      </c>
      <c r="AE480" t="s">
        <v>9552</v>
      </c>
      <c r="AF480" t="s">
        <v>74</v>
      </c>
      <c r="AG480">
        <v>34</v>
      </c>
      <c r="AH480">
        <v>36</v>
      </c>
      <c r="AI480">
        <v>38</v>
      </c>
      <c r="AJ480">
        <v>0</v>
      </c>
      <c r="AK480">
        <v>10</v>
      </c>
      <c r="AL480" t="s">
        <v>608</v>
      </c>
      <c r="AM480" t="s">
        <v>609</v>
      </c>
      <c r="AN480" t="s">
        <v>610</v>
      </c>
      <c r="AO480" t="s">
        <v>611</v>
      </c>
      <c r="AP480" t="s">
        <v>74</v>
      </c>
      <c r="AQ480" t="s">
        <v>74</v>
      </c>
      <c r="AR480" t="s">
        <v>595</v>
      </c>
      <c r="AS480" t="s">
        <v>612</v>
      </c>
      <c r="AT480" t="s">
        <v>8425</v>
      </c>
      <c r="AU480">
        <v>2013</v>
      </c>
      <c r="AV480">
        <v>13</v>
      </c>
      <c r="AW480">
        <v>2</v>
      </c>
      <c r="AX480" t="s">
        <v>74</v>
      </c>
      <c r="AY480" t="s">
        <v>74</v>
      </c>
      <c r="AZ480" t="s">
        <v>74</v>
      </c>
      <c r="BA480" t="s">
        <v>74</v>
      </c>
      <c r="BB480">
        <v>105</v>
      </c>
      <c r="BC480">
        <v>117</v>
      </c>
      <c r="BD480" t="s">
        <v>74</v>
      </c>
      <c r="BE480" t="s">
        <v>9553</v>
      </c>
      <c r="BF480" t="str">
        <f>HYPERLINK("http://dx.doi.org/10.5507/fot.2013.010","http://dx.doi.org/10.5507/fot.2013.010")</f>
        <v>http://dx.doi.org/10.5507/fot.2013.010</v>
      </c>
      <c r="BG480" t="s">
        <v>74</v>
      </c>
      <c r="BH480" t="s">
        <v>74</v>
      </c>
      <c r="BI480">
        <v>13</v>
      </c>
      <c r="BJ480" t="s">
        <v>614</v>
      </c>
      <c r="BK480" t="s">
        <v>99</v>
      </c>
      <c r="BL480" t="s">
        <v>614</v>
      </c>
      <c r="BM480" t="s">
        <v>9554</v>
      </c>
      <c r="BN480" t="s">
        <v>74</v>
      </c>
      <c r="BO480" t="s">
        <v>657</v>
      </c>
      <c r="BP480" t="s">
        <v>74</v>
      </c>
      <c r="BQ480" t="s">
        <v>74</v>
      </c>
      <c r="BR480" t="s">
        <v>103</v>
      </c>
      <c r="BS480" t="s">
        <v>9555</v>
      </c>
      <c r="BT480" t="str">
        <f>HYPERLINK("https%3A%2F%2Fwww.webofscience.com%2Fwos%2Fwoscc%2Ffull-record%2FWOS:000325599900002","View Full Record in Web of Science")</f>
        <v>View Full Record in Web of Science</v>
      </c>
    </row>
    <row r="481" spans="1:72" x14ac:dyDescent="0.15">
      <c r="A481" t="s">
        <v>72</v>
      </c>
      <c r="B481" t="s">
        <v>9556</v>
      </c>
      <c r="C481" t="s">
        <v>74</v>
      </c>
      <c r="D481" t="s">
        <v>74</v>
      </c>
      <c r="E481" t="s">
        <v>74</v>
      </c>
      <c r="F481" t="s">
        <v>9557</v>
      </c>
      <c r="G481" t="s">
        <v>74</v>
      </c>
      <c r="H481" t="s">
        <v>74</v>
      </c>
      <c r="I481" t="s">
        <v>9558</v>
      </c>
      <c r="J481" t="s">
        <v>9559</v>
      </c>
      <c r="K481" t="s">
        <v>74</v>
      </c>
      <c r="L481" t="s">
        <v>74</v>
      </c>
      <c r="M481" t="s">
        <v>78</v>
      </c>
      <c r="N481" t="s">
        <v>79</v>
      </c>
      <c r="O481" t="s">
        <v>74</v>
      </c>
      <c r="P481" t="s">
        <v>74</v>
      </c>
      <c r="Q481" t="s">
        <v>74</v>
      </c>
      <c r="R481" t="s">
        <v>74</v>
      </c>
      <c r="S481" t="s">
        <v>74</v>
      </c>
      <c r="T481" t="s">
        <v>9560</v>
      </c>
      <c r="U481" t="s">
        <v>9561</v>
      </c>
      <c r="V481" t="s">
        <v>9562</v>
      </c>
      <c r="W481" t="s">
        <v>9563</v>
      </c>
      <c r="X481" t="s">
        <v>9564</v>
      </c>
      <c r="Y481" t="s">
        <v>9565</v>
      </c>
      <c r="Z481" t="s">
        <v>9566</v>
      </c>
      <c r="AA481" t="s">
        <v>74</v>
      </c>
      <c r="AB481" t="s">
        <v>74</v>
      </c>
      <c r="AC481" t="s">
        <v>9567</v>
      </c>
      <c r="AD481" t="s">
        <v>9568</v>
      </c>
      <c r="AE481" t="s">
        <v>9569</v>
      </c>
      <c r="AF481" t="s">
        <v>74</v>
      </c>
      <c r="AG481">
        <v>56</v>
      </c>
      <c r="AH481">
        <v>4</v>
      </c>
      <c r="AI481">
        <v>4</v>
      </c>
      <c r="AJ481">
        <v>1</v>
      </c>
      <c r="AK481">
        <v>6</v>
      </c>
      <c r="AL481" t="s">
        <v>3992</v>
      </c>
      <c r="AM481" t="s">
        <v>252</v>
      </c>
      <c r="AN481" t="s">
        <v>3993</v>
      </c>
      <c r="AO481" t="s">
        <v>9570</v>
      </c>
      <c r="AP481" t="s">
        <v>9571</v>
      </c>
      <c r="AQ481" t="s">
        <v>74</v>
      </c>
      <c r="AR481" t="s">
        <v>9572</v>
      </c>
      <c r="AS481" t="s">
        <v>9573</v>
      </c>
      <c r="AT481" t="s">
        <v>8425</v>
      </c>
      <c r="AU481">
        <v>2013</v>
      </c>
      <c r="AV481">
        <v>435</v>
      </c>
      <c r="AW481">
        <v>3</v>
      </c>
      <c r="AX481" t="s">
        <v>74</v>
      </c>
      <c r="AY481" t="s">
        <v>74</v>
      </c>
      <c r="AZ481" t="s">
        <v>74</v>
      </c>
      <c r="BA481" t="s">
        <v>74</v>
      </c>
      <c r="BB481">
        <v>2141</v>
      </c>
      <c r="BC481">
        <v>2151</v>
      </c>
      <c r="BD481" t="s">
        <v>74</v>
      </c>
      <c r="BE481" t="s">
        <v>9574</v>
      </c>
      <c r="BF481" t="str">
        <f>HYPERLINK("http://dx.doi.org/10.1093/mnras/stt1432","http://dx.doi.org/10.1093/mnras/stt1432")</f>
        <v>http://dx.doi.org/10.1093/mnras/stt1432</v>
      </c>
      <c r="BG481" t="s">
        <v>74</v>
      </c>
      <c r="BH481" t="s">
        <v>74</v>
      </c>
      <c r="BI481">
        <v>11</v>
      </c>
      <c r="BJ481" t="s">
        <v>1705</v>
      </c>
      <c r="BK481" t="s">
        <v>99</v>
      </c>
      <c r="BL481" t="s">
        <v>1705</v>
      </c>
      <c r="BM481" t="s">
        <v>9575</v>
      </c>
      <c r="BN481" t="s">
        <v>74</v>
      </c>
      <c r="BO481" t="s">
        <v>2362</v>
      </c>
      <c r="BP481" t="s">
        <v>74</v>
      </c>
      <c r="BQ481" t="s">
        <v>74</v>
      </c>
      <c r="BR481" t="s">
        <v>103</v>
      </c>
      <c r="BS481" t="s">
        <v>9576</v>
      </c>
      <c r="BT481" t="str">
        <f>HYPERLINK("https%3A%2F%2Fwww.webofscience.com%2Fwos%2Fwoscc%2Ffull-record%2FWOS:000325773000025","View Full Record in Web of Science")</f>
        <v>View Full Record in Web of Science</v>
      </c>
    </row>
    <row r="482" spans="1:72" x14ac:dyDescent="0.15">
      <c r="A482" t="s">
        <v>72</v>
      </c>
      <c r="B482" t="s">
        <v>9577</v>
      </c>
      <c r="C482" t="s">
        <v>74</v>
      </c>
      <c r="D482" t="s">
        <v>74</v>
      </c>
      <c r="E482" t="s">
        <v>74</v>
      </c>
      <c r="F482" t="s">
        <v>9578</v>
      </c>
      <c r="G482" t="s">
        <v>74</v>
      </c>
      <c r="H482" t="s">
        <v>74</v>
      </c>
      <c r="I482" t="s">
        <v>9579</v>
      </c>
      <c r="J482" t="s">
        <v>9580</v>
      </c>
      <c r="K482" t="s">
        <v>74</v>
      </c>
      <c r="L482" t="s">
        <v>74</v>
      </c>
      <c r="M482" t="s">
        <v>78</v>
      </c>
      <c r="N482" t="s">
        <v>79</v>
      </c>
      <c r="O482" t="s">
        <v>74</v>
      </c>
      <c r="P482" t="s">
        <v>74</v>
      </c>
      <c r="Q482" t="s">
        <v>74</v>
      </c>
      <c r="R482" t="s">
        <v>74</v>
      </c>
      <c r="S482" t="s">
        <v>74</v>
      </c>
      <c r="T482" t="s">
        <v>9581</v>
      </c>
      <c r="U482" t="s">
        <v>9582</v>
      </c>
      <c r="V482" t="s">
        <v>9583</v>
      </c>
      <c r="W482" t="s">
        <v>9584</v>
      </c>
      <c r="X482" t="s">
        <v>9585</v>
      </c>
      <c r="Y482" t="s">
        <v>74</v>
      </c>
      <c r="Z482" t="s">
        <v>9586</v>
      </c>
      <c r="AA482" t="s">
        <v>74</v>
      </c>
      <c r="AB482" t="s">
        <v>9587</v>
      </c>
      <c r="AC482" t="s">
        <v>9588</v>
      </c>
      <c r="AD482" t="s">
        <v>9589</v>
      </c>
      <c r="AE482" t="s">
        <v>9590</v>
      </c>
      <c r="AF482" t="s">
        <v>74</v>
      </c>
      <c r="AG482">
        <v>32</v>
      </c>
      <c r="AH482">
        <v>29</v>
      </c>
      <c r="AI482">
        <v>31</v>
      </c>
      <c r="AJ482">
        <v>1</v>
      </c>
      <c r="AK482">
        <v>17</v>
      </c>
      <c r="AL482" t="s">
        <v>410</v>
      </c>
      <c r="AM482" t="s">
        <v>411</v>
      </c>
      <c r="AN482" t="s">
        <v>412</v>
      </c>
      <c r="AO482" t="s">
        <v>9591</v>
      </c>
      <c r="AP482" t="s">
        <v>9592</v>
      </c>
      <c r="AQ482" t="s">
        <v>74</v>
      </c>
      <c r="AR482" t="s">
        <v>9580</v>
      </c>
      <c r="AS482" t="s">
        <v>9593</v>
      </c>
      <c r="AT482" t="s">
        <v>8425</v>
      </c>
      <c r="AU482">
        <v>2013</v>
      </c>
      <c r="AV482">
        <v>30</v>
      </c>
      <c r="AW482">
        <v>11</v>
      </c>
      <c r="AX482" t="s">
        <v>74</v>
      </c>
      <c r="AY482" t="s">
        <v>74</v>
      </c>
      <c r="AZ482" t="s">
        <v>74</v>
      </c>
      <c r="BA482" t="s">
        <v>74</v>
      </c>
      <c r="BB482">
        <v>459</v>
      </c>
      <c r="BC482">
        <v>470</v>
      </c>
      <c r="BD482" t="s">
        <v>74</v>
      </c>
      <c r="BE482" t="s">
        <v>9594</v>
      </c>
      <c r="BF482" t="str">
        <f>HYPERLINK("http://dx.doi.org/10.1002/yea.2982","http://dx.doi.org/10.1002/yea.2982")</f>
        <v>http://dx.doi.org/10.1002/yea.2982</v>
      </c>
      <c r="BG482" t="s">
        <v>74</v>
      </c>
      <c r="BH482" t="s">
        <v>74</v>
      </c>
      <c r="BI482">
        <v>12</v>
      </c>
      <c r="BJ482" t="s">
        <v>9595</v>
      </c>
      <c r="BK482" t="s">
        <v>99</v>
      </c>
      <c r="BL482" t="s">
        <v>9595</v>
      </c>
      <c r="BM482" t="s">
        <v>9596</v>
      </c>
      <c r="BN482">
        <v>24298603</v>
      </c>
      <c r="BO482" t="s">
        <v>831</v>
      </c>
      <c r="BP482" t="s">
        <v>74</v>
      </c>
      <c r="BQ482" t="s">
        <v>74</v>
      </c>
      <c r="BR482" t="s">
        <v>103</v>
      </c>
      <c r="BS482" t="s">
        <v>9597</v>
      </c>
      <c r="BT482" t="str">
        <f>HYPERLINK("https%3A%2F%2Fwww.webofscience.com%2Fwos%2Fwoscc%2Ffull-record%2FWOS:000325823500004","View Full Record in Web of Science")</f>
        <v>View Full Record in Web of Science</v>
      </c>
    </row>
    <row r="483" spans="1:72" x14ac:dyDescent="0.15">
      <c r="A483" t="s">
        <v>72</v>
      </c>
      <c r="B483" t="s">
        <v>9598</v>
      </c>
      <c r="C483" t="s">
        <v>74</v>
      </c>
      <c r="D483" t="s">
        <v>74</v>
      </c>
      <c r="E483" t="s">
        <v>74</v>
      </c>
      <c r="F483" t="s">
        <v>9599</v>
      </c>
      <c r="G483" t="s">
        <v>74</v>
      </c>
      <c r="H483" t="s">
        <v>74</v>
      </c>
      <c r="I483" t="s">
        <v>9600</v>
      </c>
      <c r="J483" t="s">
        <v>7747</v>
      </c>
      <c r="K483" t="s">
        <v>74</v>
      </c>
      <c r="L483" t="s">
        <v>74</v>
      </c>
      <c r="M483" t="s">
        <v>78</v>
      </c>
      <c r="N483" t="s">
        <v>79</v>
      </c>
      <c r="O483" t="s">
        <v>74</v>
      </c>
      <c r="P483" t="s">
        <v>74</v>
      </c>
      <c r="Q483" t="s">
        <v>74</v>
      </c>
      <c r="R483" t="s">
        <v>74</v>
      </c>
      <c r="S483" t="s">
        <v>74</v>
      </c>
      <c r="T483" t="s">
        <v>74</v>
      </c>
      <c r="U483" t="s">
        <v>9601</v>
      </c>
      <c r="V483" t="s">
        <v>9602</v>
      </c>
      <c r="W483" t="s">
        <v>9603</v>
      </c>
      <c r="X483" t="s">
        <v>9604</v>
      </c>
      <c r="Y483" t="s">
        <v>9605</v>
      </c>
      <c r="Z483" t="s">
        <v>9606</v>
      </c>
      <c r="AA483" t="s">
        <v>74</v>
      </c>
      <c r="AB483" t="s">
        <v>9607</v>
      </c>
      <c r="AC483" t="s">
        <v>9608</v>
      </c>
      <c r="AD483" t="s">
        <v>5974</v>
      </c>
      <c r="AE483" t="s">
        <v>9609</v>
      </c>
      <c r="AF483" t="s">
        <v>74</v>
      </c>
      <c r="AG483">
        <v>31</v>
      </c>
      <c r="AH483">
        <v>8</v>
      </c>
      <c r="AI483">
        <v>13</v>
      </c>
      <c r="AJ483">
        <v>1</v>
      </c>
      <c r="AK483">
        <v>38</v>
      </c>
      <c r="AL483" t="s">
        <v>1067</v>
      </c>
      <c r="AM483" t="s">
        <v>921</v>
      </c>
      <c r="AN483" t="s">
        <v>2493</v>
      </c>
      <c r="AO483" t="s">
        <v>7760</v>
      </c>
      <c r="AP483" t="s">
        <v>7761</v>
      </c>
      <c r="AQ483" t="s">
        <v>74</v>
      </c>
      <c r="AR483" t="s">
        <v>7762</v>
      </c>
      <c r="AS483" t="s">
        <v>7763</v>
      </c>
      <c r="AT483" t="s">
        <v>8425</v>
      </c>
      <c r="AU483">
        <v>2013</v>
      </c>
      <c r="AV483">
        <v>67</v>
      </c>
      <c r="AW483">
        <v>5</v>
      </c>
      <c r="AX483" t="s">
        <v>74</v>
      </c>
      <c r="AY483" t="s">
        <v>74</v>
      </c>
      <c r="AZ483" t="s">
        <v>74</v>
      </c>
      <c r="BA483" t="s">
        <v>74</v>
      </c>
      <c r="BB483">
        <v>601</v>
      </c>
      <c r="BC483">
        <v>608</v>
      </c>
      <c r="BD483" t="s">
        <v>74</v>
      </c>
      <c r="BE483" t="s">
        <v>9610</v>
      </c>
      <c r="BF483" t="str">
        <f>HYPERLINK("http://dx.doi.org/10.1007/s00284-013-0409-3","http://dx.doi.org/10.1007/s00284-013-0409-3")</f>
        <v>http://dx.doi.org/10.1007/s00284-013-0409-3</v>
      </c>
      <c r="BG483" t="s">
        <v>74</v>
      </c>
      <c r="BH483" t="s">
        <v>74</v>
      </c>
      <c r="BI483">
        <v>8</v>
      </c>
      <c r="BJ483" t="s">
        <v>815</v>
      </c>
      <c r="BK483" t="s">
        <v>99</v>
      </c>
      <c r="BL483" t="s">
        <v>815</v>
      </c>
      <c r="BM483" t="s">
        <v>9611</v>
      </c>
      <c r="BN483">
        <v>23783560</v>
      </c>
      <c r="BO483" t="s">
        <v>74</v>
      </c>
      <c r="BP483" t="s">
        <v>74</v>
      </c>
      <c r="BQ483" t="s">
        <v>74</v>
      </c>
      <c r="BR483" t="s">
        <v>103</v>
      </c>
      <c r="BS483" t="s">
        <v>9612</v>
      </c>
      <c r="BT483" t="str">
        <f>HYPERLINK("https%3A%2F%2Fwww.webofscience.com%2Fwos%2Fwoscc%2Ffull-record%2FWOS:000325225300014","View Full Record in Web of Science")</f>
        <v>View Full Record in Web of Science</v>
      </c>
    </row>
    <row r="484" spans="1:72" x14ac:dyDescent="0.15">
      <c r="A484" t="s">
        <v>72</v>
      </c>
      <c r="B484" t="s">
        <v>9613</v>
      </c>
      <c r="C484" t="s">
        <v>74</v>
      </c>
      <c r="D484" t="s">
        <v>74</v>
      </c>
      <c r="E484" t="s">
        <v>74</v>
      </c>
      <c r="F484" t="s">
        <v>9614</v>
      </c>
      <c r="G484" t="s">
        <v>74</v>
      </c>
      <c r="H484" t="s">
        <v>74</v>
      </c>
      <c r="I484" t="s">
        <v>9615</v>
      </c>
      <c r="J484" t="s">
        <v>9616</v>
      </c>
      <c r="K484" t="s">
        <v>74</v>
      </c>
      <c r="L484" t="s">
        <v>74</v>
      </c>
      <c r="M484" t="s">
        <v>78</v>
      </c>
      <c r="N484" t="s">
        <v>213</v>
      </c>
      <c r="O484" t="s">
        <v>74</v>
      </c>
      <c r="P484" t="s">
        <v>74</v>
      </c>
      <c r="Q484" t="s">
        <v>74</v>
      </c>
      <c r="R484" t="s">
        <v>74</v>
      </c>
      <c r="S484" t="s">
        <v>74</v>
      </c>
      <c r="T484" t="s">
        <v>9617</v>
      </c>
      <c r="U484" t="s">
        <v>9618</v>
      </c>
      <c r="V484" t="s">
        <v>9619</v>
      </c>
      <c r="W484" t="s">
        <v>9620</v>
      </c>
      <c r="X484" t="s">
        <v>9621</v>
      </c>
      <c r="Y484" t="s">
        <v>9622</v>
      </c>
      <c r="Z484" t="s">
        <v>9623</v>
      </c>
      <c r="AA484" t="s">
        <v>9624</v>
      </c>
      <c r="AB484" t="s">
        <v>9625</v>
      </c>
      <c r="AC484" t="s">
        <v>9626</v>
      </c>
      <c r="AD484" t="s">
        <v>9626</v>
      </c>
      <c r="AE484" t="s">
        <v>9627</v>
      </c>
      <c r="AF484" t="s">
        <v>74</v>
      </c>
      <c r="AG484">
        <v>91</v>
      </c>
      <c r="AH484">
        <v>80</v>
      </c>
      <c r="AI484">
        <v>85</v>
      </c>
      <c r="AJ484">
        <v>1</v>
      </c>
      <c r="AK484">
        <v>47</v>
      </c>
      <c r="AL484" t="s">
        <v>304</v>
      </c>
      <c r="AM484" t="s">
        <v>305</v>
      </c>
      <c r="AN484" t="s">
        <v>306</v>
      </c>
      <c r="AO484" t="s">
        <v>9628</v>
      </c>
      <c r="AP484" t="s">
        <v>9629</v>
      </c>
      <c r="AQ484" t="s">
        <v>74</v>
      </c>
      <c r="AR484" t="s">
        <v>9630</v>
      </c>
      <c r="AS484" t="s">
        <v>9631</v>
      </c>
      <c r="AT484" t="s">
        <v>8425</v>
      </c>
      <c r="AU484">
        <v>2013</v>
      </c>
      <c r="AV484">
        <v>24</v>
      </c>
      <c r="AW484" t="s">
        <v>5856</v>
      </c>
      <c r="AX484" t="s">
        <v>74</v>
      </c>
      <c r="AY484" t="s">
        <v>74</v>
      </c>
      <c r="AZ484" t="s">
        <v>283</v>
      </c>
      <c r="BA484" t="s">
        <v>74</v>
      </c>
      <c r="BB484">
        <v>984</v>
      </c>
      <c r="BC484">
        <v>998</v>
      </c>
      <c r="BD484" t="s">
        <v>74</v>
      </c>
      <c r="BE484" t="s">
        <v>9632</v>
      </c>
      <c r="BF484" t="str">
        <f>HYPERLINK("http://dx.doi.org/10.1016/j.gr.2013.06.009","http://dx.doi.org/10.1016/j.gr.2013.06.009")</f>
        <v>http://dx.doi.org/10.1016/j.gr.2013.06.009</v>
      </c>
      <c r="BG484" t="s">
        <v>74</v>
      </c>
      <c r="BH484" t="s">
        <v>74</v>
      </c>
      <c r="BI484">
        <v>15</v>
      </c>
      <c r="BJ484" t="s">
        <v>337</v>
      </c>
      <c r="BK484" t="s">
        <v>99</v>
      </c>
      <c r="BL484" t="s">
        <v>338</v>
      </c>
      <c r="BM484" t="s">
        <v>9633</v>
      </c>
      <c r="BN484" t="s">
        <v>74</v>
      </c>
      <c r="BO484" t="s">
        <v>74</v>
      </c>
      <c r="BP484" t="s">
        <v>74</v>
      </c>
      <c r="BQ484" t="s">
        <v>74</v>
      </c>
      <c r="BR484" t="s">
        <v>103</v>
      </c>
      <c r="BS484" t="s">
        <v>9634</v>
      </c>
      <c r="BT484" t="str">
        <f>HYPERLINK("https%3A%2F%2Fwww.webofscience.com%2Fwos%2Fwoscc%2Ffull-record%2FWOS:000325233900013","View Full Record in Web of Science")</f>
        <v>View Full Record in Web of Science</v>
      </c>
    </row>
    <row r="485" spans="1:72" x14ac:dyDescent="0.15">
      <c r="A485" t="s">
        <v>72</v>
      </c>
      <c r="B485" t="s">
        <v>9635</v>
      </c>
      <c r="C485" t="s">
        <v>74</v>
      </c>
      <c r="D485" t="s">
        <v>74</v>
      </c>
      <c r="E485" t="s">
        <v>74</v>
      </c>
      <c r="F485" t="s">
        <v>9636</v>
      </c>
      <c r="G485" t="s">
        <v>74</v>
      </c>
      <c r="H485" t="s">
        <v>74</v>
      </c>
      <c r="I485" t="s">
        <v>9637</v>
      </c>
      <c r="J485" t="s">
        <v>861</v>
      </c>
      <c r="K485" t="s">
        <v>74</v>
      </c>
      <c r="L485" t="s">
        <v>74</v>
      </c>
      <c r="M485" t="s">
        <v>78</v>
      </c>
      <c r="N485" t="s">
        <v>79</v>
      </c>
      <c r="O485" t="s">
        <v>74</v>
      </c>
      <c r="P485" t="s">
        <v>74</v>
      </c>
      <c r="Q485" t="s">
        <v>74</v>
      </c>
      <c r="R485" t="s">
        <v>74</v>
      </c>
      <c r="S485" t="s">
        <v>74</v>
      </c>
      <c r="T485" t="s">
        <v>74</v>
      </c>
      <c r="U485" t="s">
        <v>9638</v>
      </c>
      <c r="V485" t="s">
        <v>9639</v>
      </c>
      <c r="W485" t="s">
        <v>9640</v>
      </c>
      <c r="X485" t="s">
        <v>9641</v>
      </c>
      <c r="Y485" t="s">
        <v>9642</v>
      </c>
      <c r="Z485" t="s">
        <v>9643</v>
      </c>
      <c r="AA485" t="s">
        <v>9644</v>
      </c>
      <c r="AB485" t="s">
        <v>9645</v>
      </c>
      <c r="AC485" t="s">
        <v>9646</v>
      </c>
      <c r="AD485" t="s">
        <v>9647</v>
      </c>
      <c r="AE485" t="s">
        <v>9648</v>
      </c>
      <c r="AF485" t="s">
        <v>74</v>
      </c>
      <c r="AG485">
        <v>51</v>
      </c>
      <c r="AH485">
        <v>13</v>
      </c>
      <c r="AI485">
        <v>15</v>
      </c>
      <c r="AJ485">
        <v>0</v>
      </c>
      <c r="AK485">
        <v>48</v>
      </c>
      <c r="AL485" t="s">
        <v>872</v>
      </c>
      <c r="AM485" t="s">
        <v>252</v>
      </c>
      <c r="AN485" t="s">
        <v>873</v>
      </c>
      <c r="AO485" t="s">
        <v>874</v>
      </c>
      <c r="AP485" t="s">
        <v>875</v>
      </c>
      <c r="AQ485" t="s">
        <v>74</v>
      </c>
      <c r="AR485" t="s">
        <v>876</v>
      </c>
      <c r="AS485" t="s">
        <v>877</v>
      </c>
      <c r="AT485" t="s">
        <v>8493</v>
      </c>
      <c r="AU485">
        <v>2013</v>
      </c>
      <c r="AV485">
        <v>120</v>
      </c>
      <c r="AW485" t="s">
        <v>74</v>
      </c>
      <c r="AX485" t="s">
        <v>74</v>
      </c>
      <c r="AY485" t="s">
        <v>74</v>
      </c>
      <c r="AZ485" t="s">
        <v>74</v>
      </c>
      <c r="BA485" t="s">
        <v>74</v>
      </c>
      <c r="BB485">
        <v>179</v>
      </c>
      <c r="BC485">
        <v>194</v>
      </c>
      <c r="BD485" t="s">
        <v>74</v>
      </c>
      <c r="BE485" t="s">
        <v>9649</v>
      </c>
      <c r="BF485" t="str">
        <f>HYPERLINK("http://dx.doi.org/10.1016/j.gca.2013.06.041","http://dx.doi.org/10.1016/j.gca.2013.06.041")</f>
        <v>http://dx.doi.org/10.1016/j.gca.2013.06.041</v>
      </c>
      <c r="BG485" t="s">
        <v>74</v>
      </c>
      <c r="BH485" t="s">
        <v>74</v>
      </c>
      <c r="BI485">
        <v>16</v>
      </c>
      <c r="BJ485" t="s">
        <v>313</v>
      </c>
      <c r="BK485" t="s">
        <v>99</v>
      </c>
      <c r="BL485" t="s">
        <v>313</v>
      </c>
      <c r="BM485" t="s">
        <v>9650</v>
      </c>
      <c r="BN485" t="s">
        <v>74</v>
      </c>
      <c r="BO485" t="s">
        <v>74</v>
      </c>
      <c r="BP485" t="s">
        <v>74</v>
      </c>
      <c r="BQ485" t="s">
        <v>74</v>
      </c>
      <c r="BR485" t="s">
        <v>103</v>
      </c>
      <c r="BS485" t="s">
        <v>9651</v>
      </c>
      <c r="BT485" t="str">
        <f>HYPERLINK("https%3A%2F%2Fwww.webofscience.com%2Fwos%2Fwoscc%2Ffull-record%2FWOS:000324809000011","View Full Record in Web of Science")</f>
        <v>View Full Record in Web of Science</v>
      </c>
    </row>
    <row r="486" spans="1:72" x14ac:dyDescent="0.15">
      <c r="A486" t="s">
        <v>72</v>
      </c>
      <c r="B486" t="s">
        <v>9652</v>
      </c>
      <c r="C486" t="s">
        <v>74</v>
      </c>
      <c r="D486" t="s">
        <v>74</v>
      </c>
      <c r="E486" t="s">
        <v>74</v>
      </c>
      <c r="F486" t="s">
        <v>9653</v>
      </c>
      <c r="G486" t="s">
        <v>74</v>
      </c>
      <c r="H486" t="s">
        <v>74</v>
      </c>
      <c r="I486" t="s">
        <v>9654</v>
      </c>
      <c r="J486" t="s">
        <v>9655</v>
      </c>
      <c r="K486" t="s">
        <v>74</v>
      </c>
      <c r="L486" t="s">
        <v>74</v>
      </c>
      <c r="M486" t="s">
        <v>78</v>
      </c>
      <c r="N486" t="s">
        <v>79</v>
      </c>
      <c r="O486" t="s">
        <v>74</v>
      </c>
      <c r="P486" t="s">
        <v>74</v>
      </c>
      <c r="Q486" t="s">
        <v>74</v>
      </c>
      <c r="R486" t="s">
        <v>74</v>
      </c>
      <c r="S486" t="s">
        <v>74</v>
      </c>
      <c r="T486" t="s">
        <v>9656</v>
      </c>
      <c r="U486" t="s">
        <v>9657</v>
      </c>
      <c r="V486" t="s">
        <v>9658</v>
      </c>
      <c r="W486" t="s">
        <v>9659</v>
      </c>
      <c r="X486" t="s">
        <v>9660</v>
      </c>
      <c r="Y486" t="s">
        <v>9661</v>
      </c>
      <c r="Z486" t="s">
        <v>9662</v>
      </c>
      <c r="AA486" t="s">
        <v>74</v>
      </c>
      <c r="AB486" t="s">
        <v>74</v>
      </c>
      <c r="AC486" t="s">
        <v>9663</v>
      </c>
      <c r="AD486" t="s">
        <v>9664</v>
      </c>
      <c r="AE486" t="s">
        <v>9665</v>
      </c>
      <c r="AF486" t="s">
        <v>74</v>
      </c>
      <c r="AG486">
        <v>43</v>
      </c>
      <c r="AH486">
        <v>7</v>
      </c>
      <c r="AI486">
        <v>8</v>
      </c>
      <c r="AJ486">
        <v>0</v>
      </c>
      <c r="AK486">
        <v>23</v>
      </c>
      <c r="AL486" t="s">
        <v>1067</v>
      </c>
      <c r="AM486" t="s">
        <v>921</v>
      </c>
      <c r="AN486" t="s">
        <v>2690</v>
      </c>
      <c r="AO486" t="s">
        <v>9666</v>
      </c>
      <c r="AP486" t="s">
        <v>9667</v>
      </c>
      <c r="AQ486" t="s">
        <v>74</v>
      </c>
      <c r="AR486" t="s">
        <v>9668</v>
      </c>
      <c r="AS486" t="s">
        <v>9669</v>
      </c>
      <c r="AT486" t="s">
        <v>8425</v>
      </c>
      <c r="AU486">
        <v>2013</v>
      </c>
      <c r="AV486">
        <v>32</v>
      </c>
      <c r="AW486">
        <v>11</v>
      </c>
      <c r="AX486" t="s">
        <v>74</v>
      </c>
      <c r="AY486" t="s">
        <v>74</v>
      </c>
      <c r="AZ486" t="s">
        <v>74</v>
      </c>
      <c r="BA486" t="s">
        <v>74</v>
      </c>
      <c r="BB486">
        <v>59</v>
      </c>
      <c r="BC486">
        <v>67</v>
      </c>
      <c r="BD486" t="s">
        <v>74</v>
      </c>
      <c r="BE486" t="s">
        <v>9670</v>
      </c>
      <c r="BF486" t="str">
        <f>HYPERLINK("http://dx.doi.org/10.1007/s13131-013-0378-1","http://dx.doi.org/10.1007/s13131-013-0378-1")</f>
        <v>http://dx.doi.org/10.1007/s13131-013-0378-1</v>
      </c>
      <c r="BG486" t="s">
        <v>74</v>
      </c>
      <c r="BH486" t="s">
        <v>74</v>
      </c>
      <c r="BI486">
        <v>9</v>
      </c>
      <c r="BJ486" t="s">
        <v>1613</v>
      </c>
      <c r="BK486" t="s">
        <v>99</v>
      </c>
      <c r="BL486" t="s">
        <v>1613</v>
      </c>
      <c r="BM486" t="s">
        <v>9671</v>
      </c>
      <c r="BN486" t="s">
        <v>74</v>
      </c>
      <c r="BO486" t="s">
        <v>74</v>
      </c>
      <c r="BP486" t="s">
        <v>74</v>
      </c>
      <c r="BQ486" t="s">
        <v>74</v>
      </c>
      <c r="BR486" t="s">
        <v>103</v>
      </c>
      <c r="BS486" t="s">
        <v>9672</v>
      </c>
      <c r="BT486" t="str">
        <f>HYPERLINK("https%3A%2F%2Fwww.webofscience.com%2Fwos%2Fwoscc%2Ffull-record%2FWOS:000327079700008","View Full Record in Web of Science")</f>
        <v>View Full Record in Web of Science</v>
      </c>
    </row>
    <row r="487" spans="1:72" x14ac:dyDescent="0.15">
      <c r="A487" t="s">
        <v>72</v>
      </c>
      <c r="B487" t="s">
        <v>9673</v>
      </c>
      <c r="C487" t="s">
        <v>74</v>
      </c>
      <c r="D487" t="s">
        <v>74</v>
      </c>
      <c r="E487" t="s">
        <v>74</v>
      </c>
      <c r="F487" t="s">
        <v>9674</v>
      </c>
      <c r="G487" t="s">
        <v>74</v>
      </c>
      <c r="H487" t="s">
        <v>74</v>
      </c>
      <c r="I487" t="s">
        <v>9675</v>
      </c>
      <c r="J487" t="s">
        <v>9676</v>
      </c>
      <c r="K487" t="s">
        <v>74</v>
      </c>
      <c r="L487" t="s">
        <v>74</v>
      </c>
      <c r="M487" t="s">
        <v>78</v>
      </c>
      <c r="N487" t="s">
        <v>79</v>
      </c>
      <c r="O487" t="s">
        <v>74</v>
      </c>
      <c r="P487" t="s">
        <v>74</v>
      </c>
      <c r="Q487" t="s">
        <v>74</v>
      </c>
      <c r="R487" t="s">
        <v>74</v>
      </c>
      <c r="S487" t="s">
        <v>74</v>
      </c>
      <c r="T487" t="s">
        <v>9677</v>
      </c>
      <c r="U487" t="s">
        <v>9678</v>
      </c>
      <c r="V487" t="s">
        <v>9679</v>
      </c>
      <c r="W487" t="s">
        <v>9680</v>
      </c>
      <c r="X487" t="s">
        <v>9681</v>
      </c>
      <c r="Y487" t="s">
        <v>9682</v>
      </c>
      <c r="Z487" t="s">
        <v>9683</v>
      </c>
      <c r="AA487" t="s">
        <v>9684</v>
      </c>
      <c r="AB487" t="s">
        <v>9685</v>
      </c>
      <c r="AC487" t="s">
        <v>9686</v>
      </c>
      <c r="AD487" t="s">
        <v>9687</v>
      </c>
      <c r="AE487" t="s">
        <v>9688</v>
      </c>
      <c r="AF487" t="s">
        <v>74</v>
      </c>
      <c r="AG487">
        <v>56</v>
      </c>
      <c r="AH487">
        <v>15</v>
      </c>
      <c r="AI487">
        <v>15</v>
      </c>
      <c r="AJ487">
        <v>1</v>
      </c>
      <c r="AK487">
        <v>49</v>
      </c>
      <c r="AL487" t="s">
        <v>9182</v>
      </c>
      <c r="AM487" t="s">
        <v>9183</v>
      </c>
      <c r="AN487" t="s">
        <v>9184</v>
      </c>
      <c r="AO487" t="s">
        <v>9689</v>
      </c>
      <c r="AP487" t="s">
        <v>9690</v>
      </c>
      <c r="AQ487" t="s">
        <v>74</v>
      </c>
      <c r="AR487" t="s">
        <v>9691</v>
      </c>
      <c r="AS487" t="s">
        <v>9692</v>
      </c>
      <c r="AT487" t="s">
        <v>8425</v>
      </c>
      <c r="AU487">
        <v>2013</v>
      </c>
      <c r="AV487">
        <v>30</v>
      </c>
      <c r="AW487">
        <v>6</v>
      </c>
      <c r="AX487" t="s">
        <v>74</v>
      </c>
      <c r="AY487" t="s">
        <v>74</v>
      </c>
      <c r="AZ487" t="s">
        <v>74</v>
      </c>
      <c r="BA487" t="s">
        <v>74</v>
      </c>
      <c r="BB487">
        <v>1725</v>
      </c>
      <c r="BC487">
        <v>1731</v>
      </c>
      <c r="BD487" t="s">
        <v>74</v>
      </c>
      <c r="BE487" t="s">
        <v>9693</v>
      </c>
      <c r="BF487" t="str">
        <f>HYPERLINK("http://dx.doi.org/10.1007/s00376-013-2289-7","http://dx.doi.org/10.1007/s00376-013-2289-7")</f>
        <v>http://dx.doi.org/10.1007/s00376-013-2289-7</v>
      </c>
      <c r="BG487" t="s">
        <v>74</v>
      </c>
      <c r="BH487" t="s">
        <v>74</v>
      </c>
      <c r="BI487">
        <v>7</v>
      </c>
      <c r="BJ487" t="s">
        <v>1503</v>
      </c>
      <c r="BK487" t="s">
        <v>99</v>
      </c>
      <c r="BL487" t="s">
        <v>1503</v>
      </c>
      <c r="BM487" t="s">
        <v>9694</v>
      </c>
      <c r="BN487" t="s">
        <v>74</v>
      </c>
      <c r="BO487" t="s">
        <v>74</v>
      </c>
      <c r="BP487" t="s">
        <v>74</v>
      </c>
      <c r="BQ487" t="s">
        <v>74</v>
      </c>
      <c r="BR487" t="s">
        <v>103</v>
      </c>
      <c r="BS487" t="s">
        <v>9695</v>
      </c>
      <c r="BT487" t="str">
        <f>HYPERLINK("https%3A%2F%2Fwww.webofscience.com%2Fwos%2Fwoscc%2Ffull-record%2FWOS:000325810700018","View Full Record in Web of Science")</f>
        <v>View Full Record in Web of Science</v>
      </c>
    </row>
    <row r="488" spans="1:72" x14ac:dyDescent="0.15">
      <c r="A488" t="s">
        <v>72</v>
      </c>
      <c r="B488" t="s">
        <v>9696</v>
      </c>
      <c r="C488" t="s">
        <v>74</v>
      </c>
      <c r="D488" t="s">
        <v>74</v>
      </c>
      <c r="E488" t="s">
        <v>74</v>
      </c>
      <c r="F488" t="s">
        <v>9697</v>
      </c>
      <c r="G488" t="s">
        <v>74</v>
      </c>
      <c r="H488" t="s">
        <v>74</v>
      </c>
      <c r="I488" t="s">
        <v>9698</v>
      </c>
      <c r="J488" t="s">
        <v>9699</v>
      </c>
      <c r="K488" t="s">
        <v>74</v>
      </c>
      <c r="L488" t="s">
        <v>74</v>
      </c>
      <c r="M488" t="s">
        <v>78</v>
      </c>
      <c r="N488" t="s">
        <v>79</v>
      </c>
      <c r="O488" t="s">
        <v>74</v>
      </c>
      <c r="P488" t="s">
        <v>74</v>
      </c>
      <c r="Q488" t="s">
        <v>74</v>
      </c>
      <c r="R488" t="s">
        <v>74</v>
      </c>
      <c r="S488" t="s">
        <v>74</v>
      </c>
      <c r="T488" t="s">
        <v>9700</v>
      </c>
      <c r="U488" t="s">
        <v>9701</v>
      </c>
      <c r="V488" t="s">
        <v>9702</v>
      </c>
      <c r="W488" t="s">
        <v>9703</v>
      </c>
      <c r="X488" t="s">
        <v>9704</v>
      </c>
      <c r="Y488" t="s">
        <v>9705</v>
      </c>
      <c r="Z488" t="s">
        <v>7154</v>
      </c>
      <c r="AA488" t="s">
        <v>7155</v>
      </c>
      <c r="AB488" t="s">
        <v>9706</v>
      </c>
      <c r="AC488" t="s">
        <v>9707</v>
      </c>
      <c r="AD488" t="s">
        <v>9708</v>
      </c>
      <c r="AE488" t="s">
        <v>9709</v>
      </c>
      <c r="AF488" t="s">
        <v>74</v>
      </c>
      <c r="AG488">
        <v>67</v>
      </c>
      <c r="AH488">
        <v>9</v>
      </c>
      <c r="AI488">
        <v>9</v>
      </c>
      <c r="AJ488">
        <v>0</v>
      </c>
      <c r="AK488">
        <v>0</v>
      </c>
      <c r="AL488" t="s">
        <v>783</v>
      </c>
      <c r="AM488" t="s">
        <v>252</v>
      </c>
      <c r="AN488" t="s">
        <v>784</v>
      </c>
      <c r="AO488" t="s">
        <v>9710</v>
      </c>
      <c r="AP488" t="s">
        <v>74</v>
      </c>
      <c r="AQ488" t="s">
        <v>74</v>
      </c>
      <c r="AR488" t="s">
        <v>9699</v>
      </c>
      <c r="AS488" t="s">
        <v>9711</v>
      </c>
      <c r="AT488" t="s">
        <v>8425</v>
      </c>
      <c r="AU488">
        <v>2013</v>
      </c>
      <c r="AV488">
        <v>3</v>
      </c>
      <c r="AW488" t="s">
        <v>74</v>
      </c>
      <c r="AX488" t="s">
        <v>74</v>
      </c>
      <c r="AY488" t="s">
        <v>74</v>
      </c>
      <c r="AZ488" t="s">
        <v>74</v>
      </c>
      <c r="BA488" t="s">
        <v>74</v>
      </c>
      <c r="BB488">
        <v>1</v>
      </c>
      <c r="BC488">
        <v>8</v>
      </c>
      <c r="BD488" t="s">
        <v>74</v>
      </c>
      <c r="BE488" t="s">
        <v>9712</v>
      </c>
      <c r="BF488" t="str">
        <f>HYPERLINK("http://dx.doi.org/10.1016/j.ancene.2014.01.001","http://dx.doi.org/10.1016/j.ancene.2014.01.001")</f>
        <v>http://dx.doi.org/10.1016/j.ancene.2014.01.001</v>
      </c>
      <c r="BG488" t="s">
        <v>74</v>
      </c>
      <c r="BH488" t="s">
        <v>74</v>
      </c>
      <c r="BI488">
        <v>8</v>
      </c>
      <c r="BJ488" t="s">
        <v>5652</v>
      </c>
      <c r="BK488" t="s">
        <v>494</v>
      </c>
      <c r="BL488" t="s">
        <v>5653</v>
      </c>
      <c r="BM488" t="s">
        <v>9713</v>
      </c>
      <c r="BN488" t="s">
        <v>74</v>
      </c>
      <c r="BO488" t="s">
        <v>450</v>
      </c>
      <c r="BP488" t="s">
        <v>74</v>
      </c>
      <c r="BQ488" t="s">
        <v>74</v>
      </c>
      <c r="BR488" t="s">
        <v>103</v>
      </c>
      <c r="BS488" t="s">
        <v>9714</v>
      </c>
      <c r="BT488" t="str">
        <f>HYPERLINK("https%3A%2F%2Fwww.webofscience.com%2Fwos%2Fwoscc%2Ffull-record%2FWOS:000217920300001","View Full Record in Web of Science")</f>
        <v>View Full Record in Web of Science</v>
      </c>
    </row>
    <row r="489" spans="1:72" x14ac:dyDescent="0.15">
      <c r="A489" t="s">
        <v>72</v>
      </c>
      <c r="B489" t="s">
        <v>9715</v>
      </c>
      <c r="C489" t="s">
        <v>74</v>
      </c>
      <c r="D489" t="s">
        <v>74</v>
      </c>
      <c r="E489" t="s">
        <v>74</v>
      </c>
      <c r="F489" t="s">
        <v>9716</v>
      </c>
      <c r="G489" t="s">
        <v>74</v>
      </c>
      <c r="H489" t="s">
        <v>74</v>
      </c>
      <c r="I489" t="s">
        <v>9717</v>
      </c>
      <c r="J489" t="s">
        <v>8500</v>
      </c>
      <c r="K489" t="s">
        <v>74</v>
      </c>
      <c r="L489" t="s">
        <v>74</v>
      </c>
      <c r="M489" t="s">
        <v>78</v>
      </c>
      <c r="N489" t="s">
        <v>79</v>
      </c>
      <c r="O489" t="s">
        <v>74</v>
      </c>
      <c r="P489" t="s">
        <v>74</v>
      </c>
      <c r="Q489" t="s">
        <v>74</v>
      </c>
      <c r="R489" t="s">
        <v>74</v>
      </c>
      <c r="S489" t="s">
        <v>74</v>
      </c>
      <c r="T489" t="s">
        <v>74</v>
      </c>
      <c r="U489" t="s">
        <v>9718</v>
      </c>
      <c r="V489" t="s">
        <v>9719</v>
      </c>
      <c r="W489" t="s">
        <v>9720</v>
      </c>
      <c r="X489" t="s">
        <v>9721</v>
      </c>
      <c r="Y489" t="s">
        <v>9722</v>
      </c>
      <c r="Z489" t="s">
        <v>9723</v>
      </c>
      <c r="AA489" t="s">
        <v>9724</v>
      </c>
      <c r="AB489" t="s">
        <v>9725</v>
      </c>
      <c r="AC489" t="s">
        <v>9726</v>
      </c>
      <c r="AD489" t="s">
        <v>9727</v>
      </c>
      <c r="AE489" t="s">
        <v>9728</v>
      </c>
      <c r="AF489" t="s">
        <v>74</v>
      </c>
      <c r="AG489">
        <v>75</v>
      </c>
      <c r="AH489">
        <v>62</v>
      </c>
      <c r="AI489">
        <v>72</v>
      </c>
      <c r="AJ489">
        <v>2</v>
      </c>
      <c r="AK489">
        <v>36</v>
      </c>
      <c r="AL489" t="s">
        <v>276</v>
      </c>
      <c r="AM489" t="s">
        <v>277</v>
      </c>
      <c r="AN489" t="s">
        <v>2752</v>
      </c>
      <c r="AO489" t="s">
        <v>8512</v>
      </c>
      <c r="AP489" t="s">
        <v>8513</v>
      </c>
      <c r="AQ489" t="s">
        <v>74</v>
      </c>
      <c r="AR489" t="s">
        <v>8514</v>
      </c>
      <c r="AS489" t="s">
        <v>8515</v>
      </c>
      <c r="AT489" t="s">
        <v>8425</v>
      </c>
      <c r="AU489">
        <v>2013</v>
      </c>
      <c r="AV489">
        <v>45</v>
      </c>
      <c r="AW489">
        <v>4</v>
      </c>
      <c r="AX489" t="s">
        <v>74</v>
      </c>
      <c r="AY489" t="s">
        <v>74</v>
      </c>
      <c r="AZ489" t="s">
        <v>74</v>
      </c>
      <c r="BA489" t="s">
        <v>74</v>
      </c>
      <c r="BB489">
        <v>440</v>
      </c>
      <c r="BC489">
        <v>454</v>
      </c>
      <c r="BD489" t="s">
        <v>74</v>
      </c>
      <c r="BE489" t="s">
        <v>9729</v>
      </c>
      <c r="BF489" t="str">
        <f>HYPERLINK("http://dx.doi.org/10.1657/1938-4246-45.4.440","http://dx.doi.org/10.1657/1938-4246-45.4.440")</f>
        <v>http://dx.doi.org/10.1657/1938-4246-45.4.440</v>
      </c>
      <c r="BG489" t="s">
        <v>74</v>
      </c>
      <c r="BH489" t="s">
        <v>74</v>
      </c>
      <c r="BI489">
        <v>15</v>
      </c>
      <c r="BJ489" t="s">
        <v>8517</v>
      </c>
      <c r="BK489" t="s">
        <v>99</v>
      </c>
      <c r="BL489" t="s">
        <v>6955</v>
      </c>
      <c r="BM489" t="s">
        <v>8518</v>
      </c>
      <c r="BN489" t="s">
        <v>74</v>
      </c>
      <c r="BO489" t="s">
        <v>1733</v>
      </c>
      <c r="BP489" t="s">
        <v>74</v>
      </c>
      <c r="BQ489" t="s">
        <v>74</v>
      </c>
      <c r="BR489" t="s">
        <v>103</v>
      </c>
      <c r="BS489" t="s">
        <v>9730</v>
      </c>
      <c r="BT489" t="str">
        <f>HYPERLINK("https%3A%2F%2Fwww.webofscience.com%2Fwos%2Fwoscc%2Ffull-record%2FWOS:000329533400002","View Full Record in Web of Science")</f>
        <v>View Full Record in Web of Science</v>
      </c>
    </row>
    <row r="490" spans="1:72" x14ac:dyDescent="0.15">
      <c r="A490" t="s">
        <v>72</v>
      </c>
      <c r="B490" t="s">
        <v>9731</v>
      </c>
      <c r="C490" t="s">
        <v>74</v>
      </c>
      <c r="D490" t="s">
        <v>74</v>
      </c>
      <c r="E490" t="s">
        <v>74</v>
      </c>
      <c r="F490" t="s">
        <v>9732</v>
      </c>
      <c r="G490" t="s">
        <v>74</v>
      </c>
      <c r="H490" t="s">
        <v>74</v>
      </c>
      <c r="I490" t="s">
        <v>9733</v>
      </c>
      <c r="J490" t="s">
        <v>8500</v>
      </c>
      <c r="K490" t="s">
        <v>74</v>
      </c>
      <c r="L490" t="s">
        <v>74</v>
      </c>
      <c r="M490" t="s">
        <v>78</v>
      </c>
      <c r="N490" t="s">
        <v>79</v>
      </c>
      <c r="O490" t="s">
        <v>74</v>
      </c>
      <c r="P490" t="s">
        <v>74</v>
      </c>
      <c r="Q490" t="s">
        <v>74</v>
      </c>
      <c r="R490" t="s">
        <v>74</v>
      </c>
      <c r="S490" t="s">
        <v>74</v>
      </c>
      <c r="T490" t="s">
        <v>74</v>
      </c>
      <c r="U490" t="s">
        <v>9734</v>
      </c>
      <c r="V490" t="s">
        <v>9735</v>
      </c>
      <c r="W490" t="s">
        <v>9736</v>
      </c>
      <c r="X490" t="s">
        <v>9737</v>
      </c>
      <c r="Y490" t="s">
        <v>9738</v>
      </c>
      <c r="Z490" t="s">
        <v>9739</v>
      </c>
      <c r="AA490" t="s">
        <v>9740</v>
      </c>
      <c r="AB490" t="s">
        <v>9741</v>
      </c>
      <c r="AC490" t="s">
        <v>9742</v>
      </c>
      <c r="AD490" t="s">
        <v>9742</v>
      </c>
      <c r="AE490" t="s">
        <v>9743</v>
      </c>
      <c r="AF490" t="s">
        <v>74</v>
      </c>
      <c r="AG490">
        <v>76</v>
      </c>
      <c r="AH490">
        <v>40</v>
      </c>
      <c r="AI490">
        <v>41</v>
      </c>
      <c r="AJ490">
        <v>2</v>
      </c>
      <c r="AK490">
        <v>37</v>
      </c>
      <c r="AL490" t="s">
        <v>276</v>
      </c>
      <c r="AM490" t="s">
        <v>277</v>
      </c>
      <c r="AN490" t="s">
        <v>2752</v>
      </c>
      <c r="AO490" t="s">
        <v>8512</v>
      </c>
      <c r="AP490" t="s">
        <v>8513</v>
      </c>
      <c r="AQ490" t="s">
        <v>74</v>
      </c>
      <c r="AR490" t="s">
        <v>8514</v>
      </c>
      <c r="AS490" t="s">
        <v>8515</v>
      </c>
      <c r="AT490" t="s">
        <v>8425</v>
      </c>
      <c r="AU490">
        <v>2013</v>
      </c>
      <c r="AV490">
        <v>45</v>
      </c>
      <c r="AW490">
        <v>4</v>
      </c>
      <c r="AX490" t="s">
        <v>74</v>
      </c>
      <c r="AY490" t="s">
        <v>74</v>
      </c>
      <c r="AZ490" t="s">
        <v>74</v>
      </c>
      <c r="BA490" t="s">
        <v>74</v>
      </c>
      <c r="BB490">
        <v>455</v>
      </c>
      <c r="BC490">
        <v>470</v>
      </c>
      <c r="BD490" t="s">
        <v>74</v>
      </c>
      <c r="BE490" t="s">
        <v>9744</v>
      </c>
      <c r="BF490" t="str">
        <f>HYPERLINK("http://dx.doi.org/10.1657/1938-4246-45.4.455","http://dx.doi.org/10.1657/1938-4246-45.4.455")</f>
        <v>http://dx.doi.org/10.1657/1938-4246-45.4.455</v>
      </c>
      <c r="BG490" t="s">
        <v>74</v>
      </c>
      <c r="BH490" t="s">
        <v>74</v>
      </c>
      <c r="BI490">
        <v>16</v>
      </c>
      <c r="BJ490" t="s">
        <v>8517</v>
      </c>
      <c r="BK490" t="s">
        <v>99</v>
      </c>
      <c r="BL490" t="s">
        <v>6955</v>
      </c>
      <c r="BM490" t="s">
        <v>8518</v>
      </c>
      <c r="BN490" t="s">
        <v>74</v>
      </c>
      <c r="BO490" t="s">
        <v>9745</v>
      </c>
      <c r="BP490" t="s">
        <v>74</v>
      </c>
      <c r="BQ490" t="s">
        <v>74</v>
      </c>
      <c r="BR490" t="s">
        <v>103</v>
      </c>
      <c r="BS490" t="s">
        <v>9746</v>
      </c>
      <c r="BT490" t="str">
        <f>HYPERLINK("https%3A%2F%2Fwww.webofscience.com%2Fwos%2Fwoscc%2Ffull-record%2FWOS:000329533400003","View Full Record in Web of Science")</f>
        <v>View Full Record in Web of Science</v>
      </c>
    </row>
    <row r="491" spans="1:72" x14ac:dyDescent="0.15">
      <c r="A491" t="s">
        <v>72</v>
      </c>
      <c r="B491" t="s">
        <v>9747</v>
      </c>
      <c r="C491" t="s">
        <v>74</v>
      </c>
      <c r="D491" t="s">
        <v>74</v>
      </c>
      <c r="E491" t="s">
        <v>74</v>
      </c>
      <c r="F491" t="s">
        <v>9748</v>
      </c>
      <c r="G491" t="s">
        <v>74</v>
      </c>
      <c r="H491" t="s">
        <v>74</v>
      </c>
      <c r="I491" t="s">
        <v>9749</v>
      </c>
      <c r="J491" t="s">
        <v>8500</v>
      </c>
      <c r="K491" t="s">
        <v>74</v>
      </c>
      <c r="L491" t="s">
        <v>74</v>
      </c>
      <c r="M491" t="s">
        <v>78</v>
      </c>
      <c r="N491" t="s">
        <v>79</v>
      </c>
      <c r="O491" t="s">
        <v>74</v>
      </c>
      <c r="P491" t="s">
        <v>74</v>
      </c>
      <c r="Q491" t="s">
        <v>74</v>
      </c>
      <c r="R491" t="s">
        <v>74</v>
      </c>
      <c r="S491" t="s">
        <v>74</v>
      </c>
      <c r="T491" t="s">
        <v>74</v>
      </c>
      <c r="U491" t="s">
        <v>9750</v>
      </c>
      <c r="V491" t="s">
        <v>9751</v>
      </c>
      <c r="W491" t="s">
        <v>9752</v>
      </c>
      <c r="X491" t="s">
        <v>9753</v>
      </c>
      <c r="Y491" t="s">
        <v>9754</v>
      </c>
      <c r="Z491" t="s">
        <v>9755</v>
      </c>
      <c r="AA491" t="s">
        <v>74</v>
      </c>
      <c r="AB491" t="s">
        <v>74</v>
      </c>
      <c r="AC491" t="s">
        <v>9204</v>
      </c>
      <c r="AD491" t="s">
        <v>9205</v>
      </c>
      <c r="AE491" t="s">
        <v>9756</v>
      </c>
      <c r="AF491" t="s">
        <v>74</v>
      </c>
      <c r="AG491">
        <v>44</v>
      </c>
      <c r="AH491">
        <v>10</v>
      </c>
      <c r="AI491">
        <v>10</v>
      </c>
      <c r="AJ491">
        <v>0</v>
      </c>
      <c r="AK491">
        <v>20</v>
      </c>
      <c r="AL491" t="s">
        <v>9757</v>
      </c>
      <c r="AM491" t="s">
        <v>947</v>
      </c>
      <c r="AN491" t="s">
        <v>9758</v>
      </c>
      <c r="AO491" t="s">
        <v>8512</v>
      </c>
      <c r="AP491" t="s">
        <v>8513</v>
      </c>
      <c r="AQ491" t="s">
        <v>74</v>
      </c>
      <c r="AR491" t="s">
        <v>8514</v>
      </c>
      <c r="AS491" t="s">
        <v>8515</v>
      </c>
      <c r="AT491" t="s">
        <v>8425</v>
      </c>
      <c r="AU491">
        <v>2013</v>
      </c>
      <c r="AV491">
        <v>45</v>
      </c>
      <c r="AW491">
        <v>4</v>
      </c>
      <c r="AX491" t="s">
        <v>74</v>
      </c>
      <c r="AY491" t="s">
        <v>74</v>
      </c>
      <c r="AZ491" t="s">
        <v>74</v>
      </c>
      <c r="BA491" t="s">
        <v>74</v>
      </c>
      <c r="BB491">
        <v>500</v>
      </c>
      <c r="BC491">
        <v>514</v>
      </c>
      <c r="BD491" t="s">
        <v>74</v>
      </c>
      <c r="BE491" t="s">
        <v>9759</v>
      </c>
      <c r="BF491" t="str">
        <f>HYPERLINK("http://dx.doi.org/10.1657/1938-4246-45.4.500","http://dx.doi.org/10.1657/1938-4246-45.4.500")</f>
        <v>http://dx.doi.org/10.1657/1938-4246-45.4.500</v>
      </c>
      <c r="BG491" t="s">
        <v>74</v>
      </c>
      <c r="BH491" t="s">
        <v>74</v>
      </c>
      <c r="BI491">
        <v>15</v>
      </c>
      <c r="BJ491" t="s">
        <v>8517</v>
      </c>
      <c r="BK491" t="s">
        <v>99</v>
      </c>
      <c r="BL491" t="s">
        <v>6955</v>
      </c>
      <c r="BM491" t="s">
        <v>8518</v>
      </c>
      <c r="BN491" t="s">
        <v>74</v>
      </c>
      <c r="BO491" t="s">
        <v>1733</v>
      </c>
      <c r="BP491" t="s">
        <v>74</v>
      </c>
      <c r="BQ491" t="s">
        <v>74</v>
      </c>
      <c r="BR491" t="s">
        <v>103</v>
      </c>
      <c r="BS491" t="s">
        <v>9760</v>
      </c>
      <c r="BT491" t="str">
        <f>HYPERLINK("https%3A%2F%2Fwww.webofscience.com%2Fwos%2Fwoscc%2Ffull-record%2FWOS:000329533400007","View Full Record in Web of Science")</f>
        <v>View Full Record in Web of Science</v>
      </c>
    </row>
    <row r="492" spans="1:72" x14ac:dyDescent="0.15">
      <c r="A492" t="s">
        <v>72</v>
      </c>
      <c r="B492" t="s">
        <v>9761</v>
      </c>
      <c r="C492" t="s">
        <v>74</v>
      </c>
      <c r="D492" t="s">
        <v>74</v>
      </c>
      <c r="E492" t="s">
        <v>74</v>
      </c>
      <c r="F492" t="s">
        <v>9762</v>
      </c>
      <c r="G492" t="s">
        <v>74</v>
      </c>
      <c r="H492" t="s">
        <v>74</v>
      </c>
      <c r="I492" t="s">
        <v>9763</v>
      </c>
      <c r="J492" t="s">
        <v>8500</v>
      </c>
      <c r="K492" t="s">
        <v>74</v>
      </c>
      <c r="L492" t="s">
        <v>74</v>
      </c>
      <c r="M492" t="s">
        <v>78</v>
      </c>
      <c r="N492" t="s">
        <v>79</v>
      </c>
      <c r="O492" t="s">
        <v>74</v>
      </c>
      <c r="P492" t="s">
        <v>74</v>
      </c>
      <c r="Q492" t="s">
        <v>74</v>
      </c>
      <c r="R492" t="s">
        <v>74</v>
      </c>
      <c r="S492" t="s">
        <v>74</v>
      </c>
      <c r="T492" t="s">
        <v>74</v>
      </c>
      <c r="U492" t="s">
        <v>9764</v>
      </c>
      <c r="V492" t="s">
        <v>9765</v>
      </c>
      <c r="W492" t="s">
        <v>9766</v>
      </c>
      <c r="X492" t="s">
        <v>9767</v>
      </c>
      <c r="Y492" t="s">
        <v>9768</v>
      </c>
      <c r="Z492" t="s">
        <v>9769</v>
      </c>
      <c r="AA492" t="s">
        <v>9770</v>
      </c>
      <c r="AB492" t="s">
        <v>9771</v>
      </c>
      <c r="AC492" t="s">
        <v>9772</v>
      </c>
      <c r="AD492" t="s">
        <v>9773</v>
      </c>
      <c r="AE492" t="s">
        <v>9774</v>
      </c>
      <c r="AF492" t="s">
        <v>74</v>
      </c>
      <c r="AG492">
        <v>44</v>
      </c>
      <c r="AH492">
        <v>37</v>
      </c>
      <c r="AI492">
        <v>42</v>
      </c>
      <c r="AJ492">
        <v>4</v>
      </c>
      <c r="AK492">
        <v>44</v>
      </c>
      <c r="AL492" t="s">
        <v>276</v>
      </c>
      <c r="AM492" t="s">
        <v>277</v>
      </c>
      <c r="AN492" t="s">
        <v>2752</v>
      </c>
      <c r="AO492" t="s">
        <v>8512</v>
      </c>
      <c r="AP492" t="s">
        <v>8513</v>
      </c>
      <c r="AQ492" t="s">
        <v>74</v>
      </c>
      <c r="AR492" t="s">
        <v>8514</v>
      </c>
      <c r="AS492" t="s">
        <v>8515</v>
      </c>
      <c r="AT492" t="s">
        <v>8425</v>
      </c>
      <c r="AU492">
        <v>2013</v>
      </c>
      <c r="AV492">
        <v>45</v>
      </c>
      <c r="AW492">
        <v>4</v>
      </c>
      <c r="AX492" t="s">
        <v>74</v>
      </c>
      <c r="AY492" t="s">
        <v>74</v>
      </c>
      <c r="AZ492" t="s">
        <v>74</v>
      </c>
      <c r="BA492" t="s">
        <v>74</v>
      </c>
      <c r="BB492">
        <v>526</v>
      </c>
      <c r="BC492">
        <v>537</v>
      </c>
      <c r="BD492" t="s">
        <v>74</v>
      </c>
      <c r="BE492" t="s">
        <v>9775</v>
      </c>
      <c r="BF492" t="str">
        <f>HYPERLINK("http://dx.doi.org/10.1657/1938-4246-45.4.526","http://dx.doi.org/10.1657/1938-4246-45.4.526")</f>
        <v>http://dx.doi.org/10.1657/1938-4246-45.4.526</v>
      </c>
      <c r="BG492" t="s">
        <v>74</v>
      </c>
      <c r="BH492" t="s">
        <v>74</v>
      </c>
      <c r="BI492">
        <v>12</v>
      </c>
      <c r="BJ492" t="s">
        <v>8517</v>
      </c>
      <c r="BK492" t="s">
        <v>99</v>
      </c>
      <c r="BL492" t="s">
        <v>6955</v>
      </c>
      <c r="BM492" t="s">
        <v>8518</v>
      </c>
      <c r="BN492" t="s">
        <v>74</v>
      </c>
      <c r="BO492" t="s">
        <v>1145</v>
      </c>
      <c r="BP492" t="s">
        <v>74</v>
      </c>
      <c r="BQ492" t="s">
        <v>74</v>
      </c>
      <c r="BR492" t="s">
        <v>103</v>
      </c>
      <c r="BS492" t="s">
        <v>9776</v>
      </c>
      <c r="BT492" t="str">
        <f>HYPERLINK("https%3A%2F%2Fwww.webofscience.com%2Fwos%2Fwoscc%2Ffull-record%2FWOS:000329533400009","View Full Record in Web of Science")</f>
        <v>View Full Record in Web of Science</v>
      </c>
    </row>
    <row r="493" spans="1:72" x14ac:dyDescent="0.15">
      <c r="A493" t="s">
        <v>72</v>
      </c>
      <c r="B493" t="s">
        <v>9777</v>
      </c>
      <c r="C493" t="s">
        <v>74</v>
      </c>
      <c r="D493" t="s">
        <v>74</v>
      </c>
      <c r="E493" t="s">
        <v>74</v>
      </c>
      <c r="F493" t="s">
        <v>9778</v>
      </c>
      <c r="G493" t="s">
        <v>74</v>
      </c>
      <c r="H493" t="s">
        <v>74</v>
      </c>
      <c r="I493" t="s">
        <v>9779</v>
      </c>
      <c r="J493" t="s">
        <v>8500</v>
      </c>
      <c r="K493" t="s">
        <v>74</v>
      </c>
      <c r="L493" t="s">
        <v>74</v>
      </c>
      <c r="M493" t="s">
        <v>78</v>
      </c>
      <c r="N493" t="s">
        <v>79</v>
      </c>
      <c r="O493" t="s">
        <v>74</v>
      </c>
      <c r="P493" t="s">
        <v>74</v>
      </c>
      <c r="Q493" t="s">
        <v>74</v>
      </c>
      <c r="R493" t="s">
        <v>74</v>
      </c>
      <c r="S493" t="s">
        <v>74</v>
      </c>
      <c r="T493" t="s">
        <v>74</v>
      </c>
      <c r="U493" t="s">
        <v>9780</v>
      </c>
      <c r="V493" t="s">
        <v>9781</v>
      </c>
      <c r="W493" t="s">
        <v>9782</v>
      </c>
      <c r="X493" t="s">
        <v>9783</v>
      </c>
      <c r="Y493" t="s">
        <v>9784</v>
      </c>
      <c r="Z493" t="s">
        <v>9785</v>
      </c>
      <c r="AA493" t="s">
        <v>9786</v>
      </c>
      <c r="AB493" t="s">
        <v>9787</v>
      </c>
      <c r="AC493" t="s">
        <v>9788</v>
      </c>
      <c r="AD493" t="s">
        <v>9789</v>
      </c>
      <c r="AE493" t="s">
        <v>9790</v>
      </c>
      <c r="AF493" t="s">
        <v>74</v>
      </c>
      <c r="AG493">
        <v>52</v>
      </c>
      <c r="AH493">
        <v>7</v>
      </c>
      <c r="AI493">
        <v>9</v>
      </c>
      <c r="AJ493">
        <v>1</v>
      </c>
      <c r="AK493">
        <v>38</v>
      </c>
      <c r="AL493" t="s">
        <v>9757</v>
      </c>
      <c r="AM493" t="s">
        <v>947</v>
      </c>
      <c r="AN493" t="s">
        <v>9758</v>
      </c>
      <c r="AO493" t="s">
        <v>8512</v>
      </c>
      <c r="AP493" t="s">
        <v>8513</v>
      </c>
      <c r="AQ493" t="s">
        <v>74</v>
      </c>
      <c r="AR493" t="s">
        <v>8514</v>
      </c>
      <c r="AS493" t="s">
        <v>8515</v>
      </c>
      <c r="AT493" t="s">
        <v>8425</v>
      </c>
      <c r="AU493">
        <v>2013</v>
      </c>
      <c r="AV493">
        <v>45</v>
      </c>
      <c r="AW493">
        <v>4</v>
      </c>
      <c r="AX493" t="s">
        <v>74</v>
      </c>
      <c r="AY493" t="s">
        <v>74</v>
      </c>
      <c r="AZ493" t="s">
        <v>74</v>
      </c>
      <c r="BA493" t="s">
        <v>74</v>
      </c>
      <c r="BB493">
        <v>538</v>
      </c>
      <c r="BC493">
        <v>551</v>
      </c>
      <c r="BD493" t="s">
        <v>74</v>
      </c>
      <c r="BE493" t="s">
        <v>9791</v>
      </c>
      <c r="BF493" t="str">
        <f>HYPERLINK("http://dx.doi.org/10.1657/1938-4246-45.4.538","http://dx.doi.org/10.1657/1938-4246-45.4.538")</f>
        <v>http://dx.doi.org/10.1657/1938-4246-45.4.538</v>
      </c>
      <c r="BG493" t="s">
        <v>74</v>
      </c>
      <c r="BH493" t="s">
        <v>74</v>
      </c>
      <c r="BI493">
        <v>14</v>
      </c>
      <c r="BJ493" t="s">
        <v>8517</v>
      </c>
      <c r="BK493" t="s">
        <v>99</v>
      </c>
      <c r="BL493" t="s">
        <v>6955</v>
      </c>
      <c r="BM493" t="s">
        <v>8518</v>
      </c>
      <c r="BN493" t="s">
        <v>74</v>
      </c>
      <c r="BO493" t="s">
        <v>1145</v>
      </c>
      <c r="BP493" t="s">
        <v>74</v>
      </c>
      <c r="BQ493" t="s">
        <v>74</v>
      </c>
      <c r="BR493" t="s">
        <v>103</v>
      </c>
      <c r="BS493" t="s">
        <v>9792</v>
      </c>
      <c r="BT493" t="str">
        <f>HYPERLINK("https%3A%2F%2Fwww.webofscience.com%2Fwos%2Fwoscc%2Ffull-record%2FWOS:000329533400010","View Full Record in Web of Science")</f>
        <v>View Full Record in Web of Science</v>
      </c>
    </row>
    <row r="494" spans="1:72" x14ac:dyDescent="0.15">
      <c r="A494" t="s">
        <v>72</v>
      </c>
      <c r="B494" t="s">
        <v>9793</v>
      </c>
      <c r="C494" t="s">
        <v>74</v>
      </c>
      <c r="D494" t="s">
        <v>74</v>
      </c>
      <c r="E494" t="s">
        <v>74</v>
      </c>
      <c r="F494" t="s">
        <v>9794</v>
      </c>
      <c r="G494" t="s">
        <v>74</v>
      </c>
      <c r="H494" t="s">
        <v>74</v>
      </c>
      <c r="I494" t="s">
        <v>9795</v>
      </c>
      <c r="J494" t="s">
        <v>8500</v>
      </c>
      <c r="K494" t="s">
        <v>74</v>
      </c>
      <c r="L494" t="s">
        <v>74</v>
      </c>
      <c r="M494" t="s">
        <v>78</v>
      </c>
      <c r="N494" t="s">
        <v>79</v>
      </c>
      <c r="O494" t="s">
        <v>74</v>
      </c>
      <c r="P494" t="s">
        <v>74</v>
      </c>
      <c r="Q494" t="s">
        <v>74</v>
      </c>
      <c r="R494" t="s">
        <v>74</v>
      </c>
      <c r="S494" t="s">
        <v>74</v>
      </c>
      <c r="T494" t="s">
        <v>74</v>
      </c>
      <c r="U494" t="s">
        <v>9796</v>
      </c>
      <c r="V494" t="s">
        <v>9797</v>
      </c>
      <c r="W494" t="s">
        <v>9798</v>
      </c>
      <c r="X494" t="s">
        <v>9799</v>
      </c>
      <c r="Y494" t="s">
        <v>9800</v>
      </c>
      <c r="Z494" t="s">
        <v>9801</v>
      </c>
      <c r="AA494" t="s">
        <v>9802</v>
      </c>
      <c r="AB494" t="s">
        <v>74</v>
      </c>
      <c r="AC494" t="s">
        <v>9803</v>
      </c>
      <c r="AD494" t="s">
        <v>9804</v>
      </c>
      <c r="AE494" t="s">
        <v>9805</v>
      </c>
      <c r="AF494" t="s">
        <v>74</v>
      </c>
      <c r="AG494">
        <v>71</v>
      </c>
      <c r="AH494">
        <v>8</v>
      </c>
      <c r="AI494">
        <v>9</v>
      </c>
      <c r="AJ494">
        <v>1</v>
      </c>
      <c r="AK494">
        <v>30</v>
      </c>
      <c r="AL494" t="s">
        <v>276</v>
      </c>
      <c r="AM494" t="s">
        <v>277</v>
      </c>
      <c r="AN494" t="s">
        <v>2752</v>
      </c>
      <c r="AO494" t="s">
        <v>8512</v>
      </c>
      <c r="AP494" t="s">
        <v>8513</v>
      </c>
      <c r="AQ494" t="s">
        <v>74</v>
      </c>
      <c r="AR494" t="s">
        <v>8514</v>
      </c>
      <c r="AS494" t="s">
        <v>8515</v>
      </c>
      <c r="AT494" t="s">
        <v>8425</v>
      </c>
      <c r="AU494">
        <v>2013</v>
      </c>
      <c r="AV494">
        <v>45</v>
      </c>
      <c r="AW494">
        <v>4</v>
      </c>
      <c r="AX494" t="s">
        <v>74</v>
      </c>
      <c r="AY494" t="s">
        <v>74</v>
      </c>
      <c r="AZ494" t="s">
        <v>74</v>
      </c>
      <c r="BA494" t="s">
        <v>74</v>
      </c>
      <c r="BB494">
        <v>563</v>
      </c>
      <c r="BC494">
        <v>574</v>
      </c>
      <c r="BD494" t="s">
        <v>74</v>
      </c>
      <c r="BE494" t="s">
        <v>9806</v>
      </c>
      <c r="BF494" t="str">
        <f>HYPERLINK("http://dx.doi.org/10.1657/1938-4246-45.4.563","http://dx.doi.org/10.1657/1938-4246-45.4.563")</f>
        <v>http://dx.doi.org/10.1657/1938-4246-45.4.563</v>
      </c>
      <c r="BG494" t="s">
        <v>74</v>
      </c>
      <c r="BH494" t="s">
        <v>74</v>
      </c>
      <c r="BI494">
        <v>12</v>
      </c>
      <c r="BJ494" t="s">
        <v>8517</v>
      </c>
      <c r="BK494" t="s">
        <v>99</v>
      </c>
      <c r="BL494" t="s">
        <v>6955</v>
      </c>
      <c r="BM494" t="s">
        <v>8518</v>
      </c>
      <c r="BN494" t="s">
        <v>74</v>
      </c>
      <c r="BO494" t="s">
        <v>475</v>
      </c>
      <c r="BP494" t="s">
        <v>74</v>
      </c>
      <c r="BQ494" t="s">
        <v>74</v>
      </c>
      <c r="BR494" t="s">
        <v>103</v>
      </c>
      <c r="BS494" t="s">
        <v>9807</v>
      </c>
      <c r="BT494" t="str">
        <f>HYPERLINK("https%3A%2F%2Fwww.webofscience.com%2Fwos%2Fwoscc%2Ffull-record%2FWOS:000329533400012","View Full Record in Web of Science")</f>
        <v>View Full Record in Web of Science</v>
      </c>
    </row>
    <row r="495" spans="1:72" x14ac:dyDescent="0.15">
      <c r="A495" t="s">
        <v>72</v>
      </c>
      <c r="B495" t="s">
        <v>9808</v>
      </c>
      <c r="C495" t="s">
        <v>74</v>
      </c>
      <c r="D495" t="s">
        <v>74</v>
      </c>
      <c r="E495" t="s">
        <v>74</v>
      </c>
      <c r="F495" t="s">
        <v>9809</v>
      </c>
      <c r="G495" t="s">
        <v>74</v>
      </c>
      <c r="H495" t="s">
        <v>74</v>
      </c>
      <c r="I495" t="s">
        <v>9810</v>
      </c>
      <c r="J495" t="s">
        <v>6631</v>
      </c>
      <c r="K495" t="s">
        <v>74</v>
      </c>
      <c r="L495" t="s">
        <v>74</v>
      </c>
      <c r="M495" t="s">
        <v>78</v>
      </c>
      <c r="N495" t="s">
        <v>79</v>
      </c>
      <c r="O495" t="s">
        <v>74</v>
      </c>
      <c r="P495" t="s">
        <v>74</v>
      </c>
      <c r="Q495" t="s">
        <v>74</v>
      </c>
      <c r="R495" t="s">
        <v>74</v>
      </c>
      <c r="S495" t="s">
        <v>74</v>
      </c>
      <c r="T495" t="s">
        <v>74</v>
      </c>
      <c r="U495" t="s">
        <v>9811</v>
      </c>
      <c r="V495" t="s">
        <v>9812</v>
      </c>
      <c r="W495" t="s">
        <v>9813</v>
      </c>
      <c r="X495" t="s">
        <v>9814</v>
      </c>
      <c r="Y495" t="s">
        <v>9815</v>
      </c>
      <c r="Z495" t="s">
        <v>9816</v>
      </c>
      <c r="AA495" t="s">
        <v>9817</v>
      </c>
      <c r="AB495" t="s">
        <v>9818</v>
      </c>
      <c r="AC495" t="s">
        <v>9819</v>
      </c>
      <c r="AD495" t="s">
        <v>9820</v>
      </c>
      <c r="AE495" t="s">
        <v>9821</v>
      </c>
      <c r="AF495" t="s">
        <v>74</v>
      </c>
      <c r="AG495">
        <v>24</v>
      </c>
      <c r="AH495">
        <v>17</v>
      </c>
      <c r="AI495">
        <v>19</v>
      </c>
      <c r="AJ495">
        <v>0</v>
      </c>
      <c r="AK495">
        <v>17</v>
      </c>
      <c r="AL495" t="s">
        <v>1495</v>
      </c>
      <c r="AM495" t="s">
        <v>1496</v>
      </c>
      <c r="AN495" t="s">
        <v>1497</v>
      </c>
      <c r="AO495" t="s">
        <v>6642</v>
      </c>
      <c r="AP495" t="s">
        <v>6643</v>
      </c>
      <c r="AQ495" t="s">
        <v>74</v>
      </c>
      <c r="AR495" t="s">
        <v>6644</v>
      </c>
      <c r="AS495" t="s">
        <v>6645</v>
      </c>
      <c r="AT495" t="s">
        <v>8425</v>
      </c>
      <c r="AU495">
        <v>2013</v>
      </c>
      <c r="AV495">
        <v>94</v>
      </c>
      <c r="AW495">
        <v>11</v>
      </c>
      <c r="AX495" t="s">
        <v>74</v>
      </c>
      <c r="AY495" t="s">
        <v>74</v>
      </c>
      <c r="AZ495" t="s">
        <v>74</v>
      </c>
      <c r="BA495" t="s">
        <v>74</v>
      </c>
      <c r="BB495">
        <v>1661</v>
      </c>
      <c r="BC495">
        <v>1674</v>
      </c>
      <c r="BD495" t="s">
        <v>74</v>
      </c>
      <c r="BE495" t="s">
        <v>9822</v>
      </c>
      <c r="BF495" t="str">
        <f>HYPERLINK("http://dx.doi.org/10.1175/BAMS-D-12-00075.1","http://dx.doi.org/10.1175/BAMS-D-12-00075.1")</f>
        <v>http://dx.doi.org/10.1175/BAMS-D-12-00075.1</v>
      </c>
      <c r="BG495" t="s">
        <v>74</v>
      </c>
      <c r="BH495" t="s">
        <v>74</v>
      </c>
      <c r="BI495">
        <v>14</v>
      </c>
      <c r="BJ495" t="s">
        <v>1503</v>
      </c>
      <c r="BK495" t="s">
        <v>99</v>
      </c>
      <c r="BL495" t="s">
        <v>1503</v>
      </c>
      <c r="BM495" t="s">
        <v>9823</v>
      </c>
      <c r="BN495" t="s">
        <v>74</v>
      </c>
      <c r="BO495" t="s">
        <v>4419</v>
      </c>
      <c r="BP495" t="s">
        <v>74</v>
      </c>
      <c r="BQ495" t="s">
        <v>74</v>
      </c>
      <c r="BR495" t="s">
        <v>103</v>
      </c>
      <c r="BS495" t="s">
        <v>9824</v>
      </c>
      <c r="BT495" t="str">
        <f>HYPERLINK("https%3A%2F%2Fwww.webofscience.com%2Fwos%2Fwoscc%2Ffull-record%2FWOS:000327926700005","View Full Record in Web of Science")</f>
        <v>View Full Record in Web of Science</v>
      </c>
    </row>
    <row r="496" spans="1:72" x14ac:dyDescent="0.15">
      <c r="A496" t="s">
        <v>72</v>
      </c>
      <c r="B496" t="s">
        <v>9825</v>
      </c>
      <c r="C496" t="s">
        <v>74</v>
      </c>
      <c r="D496" t="s">
        <v>74</v>
      </c>
      <c r="E496" t="s">
        <v>74</v>
      </c>
      <c r="F496" t="s">
        <v>9826</v>
      </c>
      <c r="G496" t="s">
        <v>74</v>
      </c>
      <c r="H496" t="s">
        <v>74</v>
      </c>
      <c r="I496" t="s">
        <v>9827</v>
      </c>
      <c r="J496" t="s">
        <v>9828</v>
      </c>
      <c r="K496" t="s">
        <v>74</v>
      </c>
      <c r="L496" t="s">
        <v>74</v>
      </c>
      <c r="M496" t="s">
        <v>78</v>
      </c>
      <c r="N496" t="s">
        <v>79</v>
      </c>
      <c r="O496" t="s">
        <v>74</v>
      </c>
      <c r="P496" t="s">
        <v>74</v>
      </c>
      <c r="Q496" t="s">
        <v>74</v>
      </c>
      <c r="R496" t="s">
        <v>74</v>
      </c>
      <c r="S496" t="s">
        <v>74</v>
      </c>
      <c r="T496" t="s">
        <v>9829</v>
      </c>
      <c r="U496" t="s">
        <v>9830</v>
      </c>
      <c r="V496" t="s">
        <v>9831</v>
      </c>
      <c r="W496" t="s">
        <v>9832</v>
      </c>
      <c r="X496" t="s">
        <v>6115</v>
      </c>
      <c r="Y496" t="s">
        <v>9833</v>
      </c>
      <c r="Z496" t="s">
        <v>9834</v>
      </c>
      <c r="AA496" t="s">
        <v>9835</v>
      </c>
      <c r="AB496" t="s">
        <v>9836</v>
      </c>
      <c r="AC496" t="s">
        <v>9837</v>
      </c>
      <c r="AD496" t="s">
        <v>9838</v>
      </c>
      <c r="AE496" t="s">
        <v>9839</v>
      </c>
      <c r="AF496" t="s">
        <v>74</v>
      </c>
      <c r="AG496">
        <v>49</v>
      </c>
      <c r="AH496">
        <v>39</v>
      </c>
      <c r="AI496">
        <v>41</v>
      </c>
      <c r="AJ496">
        <v>0</v>
      </c>
      <c r="AK496">
        <v>48</v>
      </c>
      <c r="AL496" t="s">
        <v>872</v>
      </c>
      <c r="AM496" t="s">
        <v>252</v>
      </c>
      <c r="AN496" t="s">
        <v>873</v>
      </c>
      <c r="AO496" t="s">
        <v>9840</v>
      </c>
      <c r="AP496" t="s">
        <v>9841</v>
      </c>
      <c r="AQ496" t="s">
        <v>74</v>
      </c>
      <c r="AR496" t="s">
        <v>9828</v>
      </c>
      <c r="AS496" t="s">
        <v>9842</v>
      </c>
      <c r="AT496" t="s">
        <v>8425</v>
      </c>
      <c r="AU496">
        <v>2013</v>
      </c>
      <c r="AV496">
        <v>93</v>
      </c>
      <c r="AW496">
        <v>10</v>
      </c>
      <c r="AX496" t="s">
        <v>74</v>
      </c>
      <c r="AY496" t="s">
        <v>74</v>
      </c>
      <c r="AZ496" t="s">
        <v>74</v>
      </c>
      <c r="BA496" t="s">
        <v>74</v>
      </c>
      <c r="BB496">
        <v>2499</v>
      </c>
      <c r="BC496">
        <v>2506</v>
      </c>
      <c r="BD496" t="s">
        <v>74</v>
      </c>
      <c r="BE496" t="s">
        <v>9843</v>
      </c>
      <c r="BF496" t="str">
        <f>HYPERLINK("http://dx.doi.org/10.1016/j.chemosphere.2013.08.100","http://dx.doi.org/10.1016/j.chemosphere.2013.08.100")</f>
        <v>http://dx.doi.org/10.1016/j.chemosphere.2013.08.100</v>
      </c>
      <c r="BG496" t="s">
        <v>74</v>
      </c>
      <c r="BH496" t="s">
        <v>74</v>
      </c>
      <c r="BI496">
        <v>8</v>
      </c>
      <c r="BJ496" t="s">
        <v>9250</v>
      </c>
      <c r="BK496" t="s">
        <v>99</v>
      </c>
      <c r="BL496" t="s">
        <v>420</v>
      </c>
      <c r="BM496" t="s">
        <v>9844</v>
      </c>
      <c r="BN496">
        <v>24080008</v>
      </c>
      <c r="BO496" t="s">
        <v>74</v>
      </c>
      <c r="BP496" t="s">
        <v>74</v>
      </c>
      <c r="BQ496" t="s">
        <v>74</v>
      </c>
      <c r="BR496" t="s">
        <v>103</v>
      </c>
      <c r="BS496" t="s">
        <v>9845</v>
      </c>
      <c r="BT496" t="str">
        <f>HYPERLINK("https%3A%2F%2Fwww.webofscience.com%2Fwos%2Fwoscc%2Ffull-record%2FWOS:000327566600039","View Full Record in Web of Science")</f>
        <v>View Full Record in Web of Science</v>
      </c>
    </row>
    <row r="497" spans="1:72" x14ac:dyDescent="0.15">
      <c r="A497" t="s">
        <v>72</v>
      </c>
      <c r="B497" t="s">
        <v>9846</v>
      </c>
      <c r="C497" t="s">
        <v>74</v>
      </c>
      <c r="D497" t="s">
        <v>74</v>
      </c>
      <c r="E497" t="s">
        <v>74</v>
      </c>
      <c r="F497" t="s">
        <v>9847</v>
      </c>
      <c r="G497" t="s">
        <v>74</v>
      </c>
      <c r="H497" t="s">
        <v>74</v>
      </c>
      <c r="I497" t="s">
        <v>9848</v>
      </c>
      <c r="J497" t="s">
        <v>6355</v>
      </c>
      <c r="K497" t="s">
        <v>74</v>
      </c>
      <c r="L497" t="s">
        <v>74</v>
      </c>
      <c r="M497" t="s">
        <v>78</v>
      </c>
      <c r="N497" t="s">
        <v>79</v>
      </c>
      <c r="O497" t="s">
        <v>74</v>
      </c>
      <c r="P497" t="s">
        <v>74</v>
      </c>
      <c r="Q497" t="s">
        <v>74</v>
      </c>
      <c r="R497" t="s">
        <v>74</v>
      </c>
      <c r="S497" t="s">
        <v>74</v>
      </c>
      <c r="T497" t="s">
        <v>9849</v>
      </c>
      <c r="U497" t="s">
        <v>9850</v>
      </c>
      <c r="V497" t="s">
        <v>9851</v>
      </c>
      <c r="W497" t="s">
        <v>9852</v>
      </c>
      <c r="X497" t="s">
        <v>9853</v>
      </c>
      <c r="Y497" t="s">
        <v>9854</v>
      </c>
      <c r="Z497" t="s">
        <v>9855</v>
      </c>
      <c r="AA497" t="s">
        <v>9856</v>
      </c>
      <c r="AB497" t="s">
        <v>9857</v>
      </c>
      <c r="AC497" t="s">
        <v>9858</v>
      </c>
      <c r="AD497" t="s">
        <v>9859</v>
      </c>
      <c r="AE497" t="s">
        <v>9860</v>
      </c>
      <c r="AF497" t="s">
        <v>74</v>
      </c>
      <c r="AG497">
        <v>81</v>
      </c>
      <c r="AH497">
        <v>8</v>
      </c>
      <c r="AI497">
        <v>9</v>
      </c>
      <c r="AJ497">
        <v>4</v>
      </c>
      <c r="AK497">
        <v>42</v>
      </c>
      <c r="AL497" t="s">
        <v>872</v>
      </c>
      <c r="AM497" t="s">
        <v>252</v>
      </c>
      <c r="AN497" t="s">
        <v>873</v>
      </c>
      <c r="AO497" t="s">
        <v>6366</v>
      </c>
      <c r="AP497" t="s">
        <v>6367</v>
      </c>
      <c r="AQ497" t="s">
        <v>74</v>
      </c>
      <c r="AR497" t="s">
        <v>6368</v>
      </c>
      <c r="AS497" t="s">
        <v>6369</v>
      </c>
      <c r="AT497" t="s">
        <v>8425</v>
      </c>
      <c r="AU497">
        <v>2013</v>
      </c>
      <c r="AV497">
        <v>81</v>
      </c>
      <c r="AW497" t="s">
        <v>74</v>
      </c>
      <c r="AX497" t="s">
        <v>74</v>
      </c>
      <c r="AY497" t="s">
        <v>74</v>
      </c>
      <c r="AZ497" t="s">
        <v>74</v>
      </c>
      <c r="BA497" t="s">
        <v>74</v>
      </c>
      <c r="BB497">
        <v>14</v>
      </c>
      <c r="BC497">
        <v>24</v>
      </c>
      <c r="BD497" t="s">
        <v>74</v>
      </c>
      <c r="BE497" t="s">
        <v>9861</v>
      </c>
      <c r="BF497" t="str">
        <f>HYPERLINK("http://dx.doi.org/10.1016/j.dsr.2013.07.006","http://dx.doi.org/10.1016/j.dsr.2013.07.006")</f>
        <v>http://dx.doi.org/10.1016/j.dsr.2013.07.006</v>
      </c>
      <c r="BG497" t="s">
        <v>74</v>
      </c>
      <c r="BH497" t="s">
        <v>74</v>
      </c>
      <c r="BI497">
        <v>11</v>
      </c>
      <c r="BJ497" t="s">
        <v>1613</v>
      </c>
      <c r="BK497" t="s">
        <v>99</v>
      </c>
      <c r="BL497" t="s">
        <v>1613</v>
      </c>
      <c r="BM497" t="s">
        <v>9862</v>
      </c>
      <c r="BN497" t="s">
        <v>74</v>
      </c>
      <c r="BO497" t="s">
        <v>74</v>
      </c>
      <c r="BP497" t="s">
        <v>74</v>
      </c>
      <c r="BQ497" t="s">
        <v>74</v>
      </c>
      <c r="BR497" t="s">
        <v>103</v>
      </c>
      <c r="BS497" t="s">
        <v>9863</v>
      </c>
      <c r="BT497" t="str">
        <f>HYPERLINK("https%3A%2F%2Fwww.webofscience.com%2Fwos%2Fwoscc%2Ffull-record%2FWOS:000325738100002","View Full Record in Web of Science")</f>
        <v>View Full Record in Web of Science</v>
      </c>
    </row>
    <row r="498" spans="1:72" x14ac:dyDescent="0.15">
      <c r="A498" t="s">
        <v>72</v>
      </c>
      <c r="B498" t="s">
        <v>9864</v>
      </c>
      <c r="C498" t="s">
        <v>74</v>
      </c>
      <c r="D498" t="s">
        <v>74</v>
      </c>
      <c r="E498" t="s">
        <v>74</v>
      </c>
      <c r="F498" t="s">
        <v>9865</v>
      </c>
      <c r="G498" t="s">
        <v>74</v>
      </c>
      <c r="H498" t="s">
        <v>74</v>
      </c>
      <c r="I498" t="s">
        <v>9866</v>
      </c>
      <c r="J498" t="s">
        <v>6355</v>
      </c>
      <c r="K498" t="s">
        <v>74</v>
      </c>
      <c r="L498" t="s">
        <v>74</v>
      </c>
      <c r="M498" t="s">
        <v>78</v>
      </c>
      <c r="N498" t="s">
        <v>79</v>
      </c>
      <c r="O498" t="s">
        <v>74</v>
      </c>
      <c r="P498" t="s">
        <v>74</v>
      </c>
      <c r="Q498" t="s">
        <v>74</v>
      </c>
      <c r="R498" t="s">
        <v>74</v>
      </c>
      <c r="S498" t="s">
        <v>74</v>
      </c>
      <c r="T498" t="s">
        <v>9867</v>
      </c>
      <c r="U498" t="s">
        <v>9868</v>
      </c>
      <c r="V498" t="s">
        <v>9869</v>
      </c>
      <c r="W498" t="s">
        <v>9870</v>
      </c>
      <c r="X498" t="s">
        <v>709</v>
      </c>
      <c r="Y498" t="s">
        <v>9871</v>
      </c>
      <c r="Z498" t="s">
        <v>9872</v>
      </c>
      <c r="AA498" t="s">
        <v>9873</v>
      </c>
      <c r="AB498" t="s">
        <v>3396</v>
      </c>
      <c r="AC498" t="s">
        <v>9874</v>
      </c>
      <c r="AD498" t="s">
        <v>9875</v>
      </c>
      <c r="AE498" t="s">
        <v>9876</v>
      </c>
      <c r="AF498" t="s">
        <v>74</v>
      </c>
      <c r="AG498">
        <v>79</v>
      </c>
      <c r="AH498">
        <v>21</v>
      </c>
      <c r="AI498">
        <v>22</v>
      </c>
      <c r="AJ498">
        <v>0</v>
      </c>
      <c r="AK498">
        <v>36</v>
      </c>
      <c r="AL498" t="s">
        <v>872</v>
      </c>
      <c r="AM498" t="s">
        <v>252</v>
      </c>
      <c r="AN498" t="s">
        <v>873</v>
      </c>
      <c r="AO498" t="s">
        <v>6366</v>
      </c>
      <c r="AP498" t="s">
        <v>6367</v>
      </c>
      <c r="AQ498" t="s">
        <v>74</v>
      </c>
      <c r="AR498" t="s">
        <v>6368</v>
      </c>
      <c r="AS498" t="s">
        <v>6369</v>
      </c>
      <c r="AT498" t="s">
        <v>8425</v>
      </c>
      <c r="AU498">
        <v>2013</v>
      </c>
      <c r="AV498">
        <v>81</v>
      </c>
      <c r="AW498" t="s">
        <v>74</v>
      </c>
      <c r="AX498" t="s">
        <v>74</v>
      </c>
      <c r="AY498" t="s">
        <v>74</v>
      </c>
      <c r="AZ498" t="s">
        <v>74</v>
      </c>
      <c r="BA498" t="s">
        <v>74</v>
      </c>
      <c r="BB498">
        <v>62</v>
      </c>
      <c r="BC498">
        <v>77</v>
      </c>
      <c r="BD498" t="s">
        <v>74</v>
      </c>
      <c r="BE498" t="s">
        <v>9877</v>
      </c>
      <c r="BF498" t="str">
        <f>HYPERLINK("http://dx.doi.org/10.1016/j.dsr.2013.07.007","http://dx.doi.org/10.1016/j.dsr.2013.07.007")</f>
        <v>http://dx.doi.org/10.1016/j.dsr.2013.07.007</v>
      </c>
      <c r="BG498" t="s">
        <v>74</v>
      </c>
      <c r="BH498" t="s">
        <v>74</v>
      </c>
      <c r="BI498">
        <v>16</v>
      </c>
      <c r="BJ498" t="s">
        <v>1613</v>
      </c>
      <c r="BK498" t="s">
        <v>99</v>
      </c>
      <c r="BL498" t="s">
        <v>1613</v>
      </c>
      <c r="BM498" t="s">
        <v>9862</v>
      </c>
      <c r="BN498" t="s">
        <v>74</v>
      </c>
      <c r="BO498" t="s">
        <v>450</v>
      </c>
      <c r="BP498" t="s">
        <v>74</v>
      </c>
      <c r="BQ498" t="s">
        <v>74</v>
      </c>
      <c r="BR498" t="s">
        <v>103</v>
      </c>
      <c r="BS498" t="s">
        <v>9878</v>
      </c>
      <c r="BT498" t="str">
        <f>HYPERLINK("https%3A%2F%2Fwww.webofscience.com%2Fwos%2Fwoscc%2Ffull-record%2FWOS:000325738100006","View Full Record in Web of Science")</f>
        <v>View Full Record in Web of Science</v>
      </c>
    </row>
    <row r="499" spans="1:72" x14ac:dyDescent="0.15">
      <c r="A499" t="s">
        <v>72</v>
      </c>
      <c r="B499" t="s">
        <v>9879</v>
      </c>
      <c r="C499" t="s">
        <v>74</v>
      </c>
      <c r="D499" t="s">
        <v>74</v>
      </c>
      <c r="E499" t="s">
        <v>74</v>
      </c>
      <c r="F499" t="s">
        <v>9880</v>
      </c>
      <c r="G499" t="s">
        <v>74</v>
      </c>
      <c r="H499" t="s">
        <v>74</v>
      </c>
      <c r="I499" t="s">
        <v>9881</v>
      </c>
      <c r="J499" t="s">
        <v>9882</v>
      </c>
      <c r="K499" t="s">
        <v>74</v>
      </c>
      <c r="L499" t="s">
        <v>74</v>
      </c>
      <c r="M499" t="s">
        <v>78</v>
      </c>
      <c r="N499" t="s">
        <v>79</v>
      </c>
      <c r="O499" t="s">
        <v>74</v>
      </c>
      <c r="P499" t="s">
        <v>74</v>
      </c>
      <c r="Q499" t="s">
        <v>74</v>
      </c>
      <c r="R499" t="s">
        <v>74</v>
      </c>
      <c r="S499" t="s">
        <v>74</v>
      </c>
      <c r="T499" t="s">
        <v>9883</v>
      </c>
      <c r="U499" t="s">
        <v>9884</v>
      </c>
      <c r="V499" t="s">
        <v>9885</v>
      </c>
      <c r="W499" t="s">
        <v>9886</v>
      </c>
      <c r="X499" t="s">
        <v>9887</v>
      </c>
      <c r="Y499" t="s">
        <v>9888</v>
      </c>
      <c r="Z499" t="s">
        <v>9889</v>
      </c>
      <c r="AA499" t="s">
        <v>9890</v>
      </c>
      <c r="AB499" t="s">
        <v>9891</v>
      </c>
      <c r="AC499" t="s">
        <v>9892</v>
      </c>
      <c r="AD499" t="s">
        <v>9893</v>
      </c>
      <c r="AE499" t="s">
        <v>9894</v>
      </c>
      <c r="AF499" t="s">
        <v>74</v>
      </c>
      <c r="AG499">
        <v>100</v>
      </c>
      <c r="AH499">
        <v>37</v>
      </c>
      <c r="AI499">
        <v>45</v>
      </c>
      <c r="AJ499">
        <v>1</v>
      </c>
      <c r="AK499">
        <v>93</v>
      </c>
      <c r="AL499" t="s">
        <v>582</v>
      </c>
      <c r="AM499" t="s">
        <v>305</v>
      </c>
      <c r="AN499" t="s">
        <v>583</v>
      </c>
      <c r="AO499" t="s">
        <v>9895</v>
      </c>
      <c r="AP499" t="s">
        <v>9896</v>
      </c>
      <c r="AQ499" t="s">
        <v>74</v>
      </c>
      <c r="AR499" t="s">
        <v>9897</v>
      </c>
      <c r="AS499" t="s">
        <v>9898</v>
      </c>
      <c r="AT499" t="s">
        <v>8425</v>
      </c>
      <c r="AU499">
        <v>2013</v>
      </c>
      <c r="AV499">
        <v>126</v>
      </c>
      <c r="AW499" t="s">
        <v>74</v>
      </c>
      <c r="AX499" t="s">
        <v>74</v>
      </c>
      <c r="AY499" t="s">
        <v>74</v>
      </c>
      <c r="AZ499" t="s">
        <v>74</v>
      </c>
      <c r="BA499" t="s">
        <v>74</v>
      </c>
      <c r="BB499">
        <v>147</v>
      </c>
      <c r="BC499">
        <v>155</v>
      </c>
      <c r="BD499" t="s">
        <v>74</v>
      </c>
      <c r="BE499" t="s">
        <v>9899</v>
      </c>
      <c r="BF499" t="str">
        <f>HYPERLINK("http://dx.doi.org/10.1016/j.earscirev.2013.08.004","http://dx.doi.org/10.1016/j.earscirev.2013.08.004")</f>
        <v>http://dx.doi.org/10.1016/j.earscirev.2013.08.004</v>
      </c>
      <c r="BG499" t="s">
        <v>74</v>
      </c>
      <c r="BH499" t="s">
        <v>74</v>
      </c>
      <c r="BI499">
        <v>9</v>
      </c>
      <c r="BJ499" t="s">
        <v>337</v>
      </c>
      <c r="BK499" t="s">
        <v>99</v>
      </c>
      <c r="BL499" t="s">
        <v>338</v>
      </c>
      <c r="BM499" t="s">
        <v>9900</v>
      </c>
      <c r="BN499" t="s">
        <v>74</v>
      </c>
      <c r="BO499" t="s">
        <v>1707</v>
      </c>
      <c r="BP499" t="s">
        <v>74</v>
      </c>
      <c r="BQ499" t="s">
        <v>74</v>
      </c>
      <c r="BR499" t="s">
        <v>103</v>
      </c>
      <c r="BS499" t="s">
        <v>9901</v>
      </c>
      <c r="BT499" t="str">
        <f>HYPERLINK("https%3A%2F%2Fwww.webofscience.com%2Fwos%2Fwoscc%2Ffull-record%2FWOS:000328924800008","View Full Record in Web of Science")</f>
        <v>View Full Record in Web of Science</v>
      </c>
    </row>
    <row r="500" spans="1:72" x14ac:dyDescent="0.15">
      <c r="A500" t="s">
        <v>72</v>
      </c>
      <c r="B500" t="s">
        <v>9902</v>
      </c>
      <c r="C500" t="s">
        <v>74</v>
      </c>
      <c r="D500" t="s">
        <v>74</v>
      </c>
      <c r="E500" t="s">
        <v>74</v>
      </c>
      <c r="F500" t="s">
        <v>9903</v>
      </c>
      <c r="G500" t="s">
        <v>74</v>
      </c>
      <c r="H500" t="s">
        <v>74</v>
      </c>
      <c r="I500" t="s">
        <v>9904</v>
      </c>
      <c r="J500" t="s">
        <v>9905</v>
      </c>
      <c r="K500" t="s">
        <v>74</v>
      </c>
      <c r="L500" t="s">
        <v>74</v>
      </c>
      <c r="M500" t="s">
        <v>78</v>
      </c>
      <c r="N500" t="s">
        <v>79</v>
      </c>
      <c r="O500" t="s">
        <v>74</v>
      </c>
      <c r="P500" t="s">
        <v>74</v>
      </c>
      <c r="Q500" t="s">
        <v>74</v>
      </c>
      <c r="R500" t="s">
        <v>74</v>
      </c>
      <c r="S500" t="s">
        <v>74</v>
      </c>
      <c r="T500" t="s">
        <v>9906</v>
      </c>
      <c r="U500" t="s">
        <v>9907</v>
      </c>
      <c r="V500" t="s">
        <v>9908</v>
      </c>
      <c r="W500" t="s">
        <v>9909</v>
      </c>
      <c r="X500" t="s">
        <v>9910</v>
      </c>
      <c r="Y500" t="s">
        <v>9911</v>
      </c>
      <c r="Z500" t="s">
        <v>9912</v>
      </c>
      <c r="AA500" t="s">
        <v>9913</v>
      </c>
      <c r="AB500" t="s">
        <v>9914</v>
      </c>
      <c r="AC500" t="s">
        <v>9915</v>
      </c>
      <c r="AD500" t="s">
        <v>9916</v>
      </c>
      <c r="AE500" t="s">
        <v>9917</v>
      </c>
      <c r="AF500" t="s">
        <v>74</v>
      </c>
      <c r="AG500">
        <v>103</v>
      </c>
      <c r="AH500">
        <v>32</v>
      </c>
      <c r="AI500">
        <v>36</v>
      </c>
      <c r="AJ500">
        <v>3</v>
      </c>
      <c r="AK500">
        <v>64</v>
      </c>
      <c r="AL500" t="s">
        <v>410</v>
      </c>
      <c r="AM500" t="s">
        <v>411</v>
      </c>
      <c r="AN500" t="s">
        <v>412</v>
      </c>
      <c r="AO500" t="s">
        <v>9918</v>
      </c>
      <c r="AP500" t="s">
        <v>74</v>
      </c>
      <c r="AQ500" t="s">
        <v>74</v>
      </c>
      <c r="AR500" t="s">
        <v>9905</v>
      </c>
      <c r="AS500" t="s">
        <v>9919</v>
      </c>
      <c r="AT500" t="s">
        <v>8425</v>
      </c>
      <c r="AU500">
        <v>2013</v>
      </c>
      <c r="AV500">
        <v>4</v>
      </c>
      <c r="AW500">
        <v>11</v>
      </c>
      <c r="AX500" t="s">
        <v>74</v>
      </c>
      <c r="AY500" t="s">
        <v>74</v>
      </c>
      <c r="AZ500" t="s">
        <v>74</v>
      </c>
      <c r="BA500" t="s">
        <v>74</v>
      </c>
      <c r="BB500" t="s">
        <v>74</v>
      </c>
      <c r="BC500" t="s">
        <v>74</v>
      </c>
      <c r="BD500">
        <v>136</v>
      </c>
      <c r="BE500" t="s">
        <v>9920</v>
      </c>
      <c r="BF500" t="str">
        <f>HYPERLINK("http://dx.doi.org/10.1890/ES13-00136.1","http://dx.doi.org/10.1890/ES13-00136.1")</f>
        <v>http://dx.doi.org/10.1890/ES13-00136.1</v>
      </c>
      <c r="BG500" t="s">
        <v>74</v>
      </c>
      <c r="BH500" t="s">
        <v>74</v>
      </c>
      <c r="BI500">
        <v>24</v>
      </c>
      <c r="BJ500" t="s">
        <v>419</v>
      </c>
      <c r="BK500" t="s">
        <v>99</v>
      </c>
      <c r="BL500" t="s">
        <v>420</v>
      </c>
      <c r="BM500" t="s">
        <v>9921</v>
      </c>
      <c r="BN500" t="s">
        <v>74</v>
      </c>
      <c r="BO500" t="s">
        <v>3000</v>
      </c>
      <c r="BP500" t="s">
        <v>74</v>
      </c>
      <c r="BQ500" t="s">
        <v>74</v>
      </c>
      <c r="BR500" t="s">
        <v>103</v>
      </c>
      <c r="BS500" t="s">
        <v>9922</v>
      </c>
      <c r="BT500" t="str">
        <f>HYPERLINK("https%3A%2F%2Fwww.webofscience.com%2Fwos%2Fwoscc%2Ffull-record%2FWOS:000327380900004","View Full Record in Web of Science")</f>
        <v>View Full Record in Web of Science</v>
      </c>
    </row>
    <row r="501" spans="1:72" x14ac:dyDescent="0.15">
      <c r="A501" t="s">
        <v>72</v>
      </c>
      <c r="B501" t="s">
        <v>9923</v>
      </c>
      <c r="C501" t="s">
        <v>74</v>
      </c>
      <c r="D501" t="s">
        <v>74</v>
      </c>
      <c r="E501" t="s">
        <v>74</v>
      </c>
      <c r="F501" t="s">
        <v>9924</v>
      </c>
      <c r="G501" t="s">
        <v>74</v>
      </c>
      <c r="H501" t="s">
        <v>74</v>
      </c>
      <c r="I501" t="s">
        <v>9925</v>
      </c>
      <c r="J501" t="s">
        <v>9926</v>
      </c>
      <c r="K501" t="s">
        <v>74</v>
      </c>
      <c r="L501" t="s">
        <v>74</v>
      </c>
      <c r="M501" t="s">
        <v>78</v>
      </c>
      <c r="N501" t="s">
        <v>79</v>
      </c>
      <c r="O501" t="s">
        <v>74</v>
      </c>
      <c r="P501" t="s">
        <v>74</v>
      </c>
      <c r="Q501" t="s">
        <v>74</v>
      </c>
      <c r="R501" t="s">
        <v>74</v>
      </c>
      <c r="S501" t="s">
        <v>74</v>
      </c>
      <c r="T501" t="s">
        <v>9927</v>
      </c>
      <c r="U501" t="s">
        <v>74</v>
      </c>
      <c r="V501" t="s">
        <v>9928</v>
      </c>
      <c r="W501" t="s">
        <v>9929</v>
      </c>
      <c r="X501" t="s">
        <v>9930</v>
      </c>
      <c r="Y501" t="s">
        <v>9931</v>
      </c>
      <c r="Z501" t="s">
        <v>9932</v>
      </c>
      <c r="AA501" t="s">
        <v>9933</v>
      </c>
      <c r="AB501" t="s">
        <v>9934</v>
      </c>
      <c r="AC501" t="s">
        <v>9935</v>
      </c>
      <c r="AD501" t="s">
        <v>9936</v>
      </c>
      <c r="AE501" t="s">
        <v>9937</v>
      </c>
      <c r="AF501" t="s">
        <v>74</v>
      </c>
      <c r="AG501">
        <v>25</v>
      </c>
      <c r="AH501">
        <v>24</v>
      </c>
      <c r="AI501">
        <v>25</v>
      </c>
      <c r="AJ501">
        <v>0</v>
      </c>
      <c r="AK501">
        <v>37</v>
      </c>
      <c r="AL501" t="s">
        <v>410</v>
      </c>
      <c r="AM501" t="s">
        <v>411</v>
      </c>
      <c r="AN501" t="s">
        <v>412</v>
      </c>
      <c r="AO501" t="s">
        <v>9938</v>
      </c>
      <c r="AP501" t="s">
        <v>9939</v>
      </c>
      <c r="AQ501" t="s">
        <v>74</v>
      </c>
      <c r="AR501" t="s">
        <v>9926</v>
      </c>
      <c r="AS501" t="s">
        <v>9940</v>
      </c>
      <c r="AT501" t="s">
        <v>8425</v>
      </c>
      <c r="AU501">
        <v>2013</v>
      </c>
      <c r="AV501">
        <v>24</v>
      </c>
      <c r="AW501">
        <v>7</v>
      </c>
      <c r="AX501" t="s">
        <v>74</v>
      </c>
      <c r="AY501" t="s">
        <v>74</v>
      </c>
      <c r="AZ501" t="s">
        <v>74</v>
      </c>
      <c r="BA501" t="s">
        <v>74</v>
      </c>
      <c r="BB501">
        <v>489</v>
      </c>
      <c r="BC501">
        <v>499</v>
      </c>
      <c r="BD501" t="s">
        <v>74</v>
      </c>
      <c r="BE501" t="s">
        <v>9941</v>
      </c>
      <c r="BF501" t="str">
        <f>HYPERLINK("http://dx.doi.org/10.1002/env.2245","http://dx.doi.org/10.1002/env.2245")</f>
        <v>http://dx.doi.org/10.1002/env.2245</v>
      </c>
      <c r="BG501" t="s">
        <v>74</v>
      </c>
      <c r="BH501" t="s">
        <v>74</v>
      </c>
      <c r="BI501">
        <v>11</v>
      </c>
      <c r="BJ501" t="s">
        <v>9942</v>
      </c>
      <c r="BK501" t="s">
        <v>99</v>
      </c>
      <c r="BL501" t="s">
        <v>9943</v>
      </c>
      <c r="BM501" t="s">
        <v>9944</v>
      </c>
      <c r="BN501" t="s">
        <v>74</v>
      </c>
      <c r="BO501" t="s">
        <v>74</v>
      </c>
      <c r="BP501" t="s">
        <v>74</v>
      </c>
      <c r="BQ501" t="s">
        <v>74</v>
      </c>
      <c r="BR501" t="s">
        <v>103</v>
      </c>
      <c r="BS501" t="s">
        <v>9945</v>
      </c>
      <c r="BT501" t="str">
        <f>HYPERLINK("https%3A%2F%2Fwww.webofscience.com%2Fwos%2Fwoscc%2Ffull-record%2FWOS:000327247100006","View Full Record in Web of Science")</f>
        <v>View Full Record in Web of Science</v>
      </c>
    </row>
    <row r="502" spans="1:72" x14ac:dyDescent="0.15">
      <c r="A502" t="s">
        <v>72</v>
      </c>
      <c r="B502" t="s">
        <v>9946</v>
      </c>
      <c r="C502" t="s">
        <v>74</v>
      </c>
      <c r="D502" t="s">
        <v>74</v>
      </c>
      <c r="E502" t="s">
        <v>74</v>
      </c>
      <c r="F502" t="s">
        <v>9947</v>
      </c>
      <c r="G502" t="s">
        <v>74</v>
      </c>
      <c r="H502" t="s">
        <v>74</v>
      </c>
      <c r="I502" t="s">
        <v>9948</v>
      </c>
      <c r="J502" t="s">
        <v>529</v>
      </c>
      <c r="K502" t="s">
        <v>74</v>
      </c>
      <c r="L502" t="s">
        <v>74</v>
      </c>
      <c r="M502" t="s">
        <v>78</v>
      </c>
      <c r="N502" t="s">
        <v>79</v>
      </c>
      <c r="O502" t="s">
        <v>74</v>
      </c>
      <c r="P502" t="s">
        <v>74</v>
      </c>
      <c r="Q502" t="s">
        <v>74</v>
      </c>
      <c r="R502" t="s">
        <v>74</v>
      </c>
      <c r="S502" t="s">
        <v>74</v>
      </c>
      <c r="T502" t="s">
        <v>9949</v>
      </c>
      <c r="U502" t="s">
        <v>9950</v>
      </c>
      <c r="V502" t="s">
        <v>9951</v>
      </c>
      <c r="W502" t="s">
        <v>9952</v>
      </c>
      <c r="X502" t="s">
        <v>9953</v>
      </c>
      <c r="Y502" t="s">
        <v>9954</v>
      </c>
      <c r="Z502" t="s">
        <v>9955</v>
      </c>
      <c r="AA502" t="s">
        <v>9956</v>
      </c>
      <c r="AB502" t="s">
        <v>9957</v>
      </c>
      <c r="AC502" t="s">
        <v>9958</v>
      </c>
      <c r="AD502" t="s">
        <v>9959</v>
      </c>
      <c r="AE502" t="s">
        <v>9960</v>
      </c>
      <c r="AF502" t="s">
        <v>74</v>
      </c>
      <c r="AG502">
        <v>55</v>
      </c>
      <c r="AH502">
        <v>84</v>
      </c>
      <c r="AI502">
        <v>91</v>
      </c>
      <c r="AJ502">
        <v>0</v>
      </c>
      <c r="AK502">
        <v>60</v>
      </c>
      <c r="AL502" t="s">
        <v>539</v>
      </c>
      <c r="AM502" t="s">
        <v>540</v>
      </c>
      <c r="AN502" t="s">
        <v>564</v>
      </c>
      <c r="AO502" t="s">
        <v>542</v>
      </c>
      <c r="AP502" t="s">
        <v>543</v>
      </c>
      <c r="AQ502" t="s">
        <v>74</v>
      </c>
      <c r="AR502" t="s">
        <v>529</v>
      </c>
      <c r="AS502" t="s">
        <v>544</v>
      </c>
      <c r="AT502" t="s">
        <v>8425</v>
      </c>
      <c r="AU502">
        <v>2013</v>
      </c>
      <c r="AV502">
        <v>17</v>
      </c>
      <c r="AW502">
        <v>6</v>
      </c>
      <c r="AX502" t="s">
        <v>74</v>
      </c>
      <c r="AY502" t="s">
        <v>74</v>
      </c>
      <c r="AZ502" t="s">
        <v>74</v>
      </c>
      <c r="BA502" t="s">
        <v>74</v>
      </c>
      <c r="BB502">
        <v>1023</v>
      </c>
      <c r="BC502">
        <v>1035</v>
      </c>
      <c r="BD502" t="s">
        <v>74</v>
      </c>
      <c r="BE502" t="s">
        <v>9961</v>
      </c>
      <c r="BF502" t="str">
        <f>HYPERLINK("http://dx.doi.org/10.1007/s00792-013-0584-y","http://dx.doi.org/10.1007/s00792-013-0584-y")</f>
        <v>http://dx.doi.org/10.1007/s00792-013-0584-y</v>
      </c>
      <c r="BG502" t="s">
        <v>74</v>
      </c>
      <c r="BH502" t="s">
        <v>74</v>
      </c>
      <c r="BI502">
        <v>13</v>
      </c>
      <c r="BJ502" t="s">
        <v>546</v>
      </c>
      <c r="BK502" t="s">
        <v>99</v>
      </c>
      <c r="BL502" t="s">
        <v>546</v>
      </c>
      <c r="BM502" t="s">
        <v>9404</v>
      </c>
      <c r="BN502">
        <v>24114281</v>
      </c>
      <c r="BO502" t="s">
        <v>74</v>
      </c>
      <c r="BP502" t="s">
        <v>74</v>
      </c>
      <c r="BQ502" t="s">
        <v>74</v>
      </c>
      <c r="BR502" t="s">
        <v>103</v>
      </c>
      <c r="BS502" t="s">
        <v>9962</v>
      </c>
      <c r="BT502" t="str">
        <f>HYPERLINK("https%3A%2F%2Fwww.webofscience.com%2Fwos%2Fwoscc%2Ffull-record%2FWOS:000326046200014","View Full Record in Web of Science")</f>
        <v>View Full Record in Web of Science</v>
      </c>
    </row>
    <row r="503" spans="1:72" x14ac:dyDescent="0.15">
      <c r="A503" t="s">
        <v>72</v>
      </c>
      <c r="B503" t="s">
        <v>9963</v>
      </c>
      <c r="C503" t="s">
        <v>74</v>
      </c>
      <c r="D503" t="s">
        <v>74</v>
      </c>
      <c r="E503" t="s">
        <v>74</v>
      </c>
      <c r="F503" t="s">
        <v>9964</v>
      </c>
      <c r="G503" t="s">
        <v>74</v>
      </c>
      <c r="H503" t="s">
        <v>74</v>
      </c>
      <c r="I503" t="s">
        <v>9965</v>
      </c>
      <c r="J503" t="s">
        <v>9966</v>
      </c>
      <c r="K503" t="s">
        <v>74</v>
      </c>
      <c r="L503" t="s">
        <v>74</v>
      </c>
      <c r="M503" t="s">
        <v>78</v>
      </c>
      <c r="N503" t="s">
        <v>79</v>
      </c>
      <c r="O503" t="s">
        <v>74</v>
      </c>
      <c r="P503" t="s">
        <v>74</v>
      </c>
      <c r="Q503" t="s">
        <v>74</v>
      </c>
      <c r="R503" t="s">
        <v>74</v>
      </c>
      <c r="S503" t="s">
        <v>74</v>
      </c>
      <c r="T503" t="s">
        <v>9967</v>
      </c>
      <c r="U503" t="s">
        <v>9968</v>
      </c>
      <c r="V503" t="s">
        <v>9969</v>
      </c>
      <c r="W503" t="s">
        <v>9970</v>
      </c>
      <c r="X503" t="s">
        <v>9971</v>
      </c>
      <c r="Y503" t="s">
        <v>9972</v>
      </c>
      <c r="Z503" t="s">
        <v>9973</v>
      </c>
      <c r="AA503" t="s">
        <v>9974</v>
      </c>
      <c r="AB503" t="s">
        <v>9975</v>
      </c>
      <c r="AC503" t="s">
        <v>9976</v>
      </c>
      <c r="AD503" t="s">
        <v>9977</v>
      </c>
      <c r="AE503" t="s">
        <v>9978</v>
      </c>
      <c r="AF503" t="s">
        <v>74</v>
      </c>
      <c r="AG503">
        <v>63</v>
      </c>
      <c r="AH503">
        <v>10</v>
      </c>
      <c r="AI503">
        <v>10</v>
      </c>
      <c r="AJ503">
        <v>0</v>
      </c>
      <c r="AK503">
        <v>3</v>
      </c>
      <c r="AL503" t="s">
        <v>6098</v>
      </c>
      <c r="AM503" t="s">
        <v>6099</v>
      </c>
      <c r="AN503" t="s">
        <v>6100</v>
      </c>
      <c r="AO503" t="s">
        <v>9979</v>
      </c>
      <c r="AP503" t="s">
        <v>9980</v>
      </c>
      <c r="AQ503" t="s">
        <v>74</v>
      </c>
      <c r="AR503" t="s">
        <v>9981</v>
      </c>
      <c r="AS503" t="s">
        <v>9982</v>
      </c>
      <c r="AT503" t="s">
        <v>8425</v>
      </c>
      <c r="AU503">
        <v>2013</v>
      </c>
      <c r="AV503">
        <v>4</v>
      </c>
      <c r="AW503">
        <v>2</v>
      </c>
      <c r="AX503" t="s">
        <v>74</v>
      </c>
      <c r="AY503" t="s">
        <v>74</v>
      </c>
      <c r="AZ503" t="s">
        <v>74</v>
      </c>
      <c r="BA503" t="s">
        <v>74</v>
      </c>
      <c r="BB503">
        <v>227</v>
      </c>
      <c r="BC503">
        <v>297</v>
      </c>
      <c r="BD503" t="s">
        <v>74</v>
      </c>
      <c r="BE503" t="s">
        <v>9983</v>
      </c>
      <c r="BF503" t="str">
        <f>HYPERLINK("http://dx.doi.org/10.1007/s13137-012-0040-7","http://dx.doi.org/10.1007/s13137-012-0040-7")</f>
        <v>http://dx.doi.org/10.1007/s13137-012-0040-7</v>
      </c>
      <c r="BG503" t="s">
        <v>74</v>
      </c>
      <c r="BH503" t="s">
        <v>74</v>
      </c>
      <c r="BI503">
        <v>71</v>
      </c>
      <c r="BJ503" t="s">
        <v>9984</v>
      </c>
      <c r="BK503" t="s">
        <v>494</v>
      </c>
      <c r="BL503" t="s">
        <v>2124</v>
      </c>
      <c r="BM503" t="s">
        <v>9985</v>
      </c>
      <c r="BN503" t="s">
        <v>74</v>
      </c>
      <c r="BO503" t="s">
        <v>74</v>
      </c>
      <c r="BP503" t="s">
        <v>74</v>
      </c>
      <c r="BQ503" t="s">
        <v>74</v>
      </c>
      <c r="BR503" t="s">
        <v>103</v>
      </c>
      <c r="BS503" t="s">
        <v>9986</v>
      </c>
      <c r="BT503" t="str">
        <f>HYPERLINK("https%3A%2F%2Fwww.webofscience.com%2Fwos%2Fwoscc%2Ffull-record%2FWOS:000214113300006","View Full Record in Web of Science")</f>
        <v>View Full Record in Web of Science</v>
      </c>
    </row>
    <row r="504" spans="1:72" x14ac:dyDescent="0.15">
      <c r="A504" t="s">
        <v>72</v>
      </c>
      <c r="B504" t="s">
        <v>9987</v>
      </c>
      <c r="C504" t="s">
        <v>74</v>
      </c>
      <c r="D504" t="s">
        <v>74</v>
      </c>
      <c r="E504" t="s">
        <v>74</v>
      </c>
      <c r="F504" t="s">
        <v>9988</v>
      </c>
      <c r="G504" t="s">
        <v>74</v>
      </c>
      <c r="H504" t="s">
        <v>74</v>
      </c>
      <c r="I504" t="s">
        <v>9989</v>
      </c>
      <c r="J504" t="s">
        <v>9990</v>
      </c>
      <c r="K504" t="s">
        <v>74</v>
      </c>
      <c r="L504" t="s">
        <v>74</v>
      </c>
      <c r="M504" t="s">
        <v>78</v>
      </c>
      <c r="N504" t="s">
        <v>79</v>
      </c>
      <c r="O504" t="s">
        <v>74</v>
      </c>
      <c r="P504" t="s">
        <v>74</v>
      </c>
      <c r="Q504" t="s">
        <v>74</v>
      </c>
      <c r="R504" t="s">
        <v>74</v>
      </c>
      <c r="S504" t="s">
        <v>74</v>
      </c>
      <c r="T504" t="s">
        <v>9991</v>
      </c>
      <c r="U504" t="s">
        <v>9992</v>
      </c>
      <c r="V504" t="s">
        <v>9993</v>
      </c>
      <c r="W504" t="s">
        <v>9994</v>
      </c>
      <c r="X504" t="s">
        <v>9995</v>
      </c>
      <c r="Y504" t="s">
        <v>9996</v>
      </c>
      <c r="Z504" t="s">
        <v>2426</v>
      </c>
      <c r="AA504" t="s">
        <v>9997</v>
      </c>
      <c r="AB504" t="s">
        <v>9998</v>
      </c>
      <c r="AC504" t="s">
        <v>9999</v>
      </c>
      <c r="AD504" t="s">
        <v>10000</v>
      </c>
      <c r="AE504" t="s">
        <v>10001</v>
      </c>
      <c r="AF504" t="s">
        <v>74</v>
      </c>
      <c r="AG504">
        <v>51</v>
      </c>
      <c r="AH504">
        <v>40</v>
      </c>
      <c r="AI504">
        <v>52</v>
      </c>
      <c r="AJ504">
        <v>0</v>
      </c>
      <c r="AK504">
        <v>105</v>
      </c>
      <c r="AL504" t="s">
        <v>2588</v>
      </c>
      <c r="AM504" t="s">
        <v>2470</v>
      </c>
      <c r="AN504" t="s">
        <v>2589</v>
      </c>
      <c r="AO504" t="s">
        <v>10002</v>
      </c>
      <c r="AP504" t="s">
        <v>10003</v>
      </c>
      <c r="AQ504" t="s">
        <v>74</v>
      </c>
      <c r="AR504" t="s">
        <v>10004</v>
      </c>
      <c r="AS504" t="s">
        <v>10005</v>
      </c>
      <c r="AT504" t="s">
        <v>8493</v>
      </c>
      <c r="AU504">
        <v>2013</v>
      </c>
      <c r="AV504">
        <v>193</v>
      </c>
      <c r="AW504" t="s">
        <v>74</v>
      </c>
      <c r="AX504" t="s">
        <v>74</v>
      </c>
      <c r="AY504" t="s">
        <v>74</v>
      </c>
      <c r="AZ504" t="s">
        <v>74</v>
      </c>
      <c r="BA504" t="s">
        <v>74</v>
      </c>
      <c r="BB504">
        <v>112</v>
      </c>
      <c r="BC504">
        <v>120</v>
      </c>
      <c r="BD504" t="s">
        <v>74</v>
      </c>
      <c r="BE504" t="s">
        <v>10006</v>
      </c>
      <c r="BF504" t="str">
        <f>HYPERLINK("http://dx.doi.org/10.1016/j.ygcen.2013.07.011","http://dx.doi.org/10.1016/j.ygcen.2013.07.011")</f>
        <v>http://dx.doi.org/10.1016/j.ygcen.2013.07.011</v>
      </c>
      <c r="BG504" t="s">
        <v>74</v>
      </c>
      <c r="BH504" t="s">
        <v>74</v>
      </c>
      <c r="BI504">
        <v>9</v>
      </c>
      <c r="BJ504" t="s">
        <v>10007</v>
      </c>
      <c r="BK504" t="s">
        <v>99</v>
      </c>
      <c r="BL504" t="s">
        <v>10007</v>
      </c>
      <c r="BM504" t="s">
        <v>10008</v>
      </c>
      <c r="BN504">
        <v>23891657</v>
      </c>
      <c r="BO504" t="s">
        <v>10009</v>
      </c>
      <c r="BP504" t="s">
        <v>74</v>
      </c>
      <c r="BQ504" t="s">
        <v>74</v>
      </c>
      <c r="BR504" t="s">
        <v>103</v>
      </c>
      <c r="BS504" t="s">
        <v>10010</v>
      </c>
      <c r="BT504" t="str">
        <f>HYPERLINK("https%3A%2F%2Fwww.webofscience.com%2Fwos%2Fwoscc%2Ffull-record%2FWOS:000326427200014","View Full Record in Web of Science")</f>
        <v>View Full Record in Web of Science</v>
      </c>
    </row>
    <row r="505" spans="1:72" x14ac:dyDescent="0.15">
      <c r="A505" t="s">
        <v>72</v>
      </c>
      <c r="B505" t="s">
        <v>10011</v>
      </c>
      <c r="C505" t="s">
        <v>74</v>
      </c>
      <c r="D505" t="s">
        <v>74</v>
      </c>
      <c r="E505" t="s">
        <v>74</v>
      </c>
      <c r="F505" t="s">
        <v>10012</v>
      </c>
      <c r="G505" t="s">
        <v>74</v>
      </c>
      <c r="H505" t="s">
        <v>74</v>
      </c>
      <c r="I505" t="s">
        <v>10013</v>
      </c>
      <c r="J505" t="s">
        <v>796</v>
      </c>
      <c r="K505" t="s">
        <v>74</v>
      </c>
      <c r="L505" t="s">
        <v>74</v>
      </c>
      <c r="M505" t="s">
        <v>78</v>
      </c>
      <c r="N505" t="s">
        <v>79</v>
      </c>
      <c r="O505" t="s">
        <v>74</v>
      </c>
      <c r="P505" t="s">
        <v>74</v>
      </c>
      <c r="Q505" t="s">
        <v>74</v>
      </c>
      <c r="R505" t="s">
        <v>74</v>
      </c>
      <c r="S505" t="s">
        <v>74</v>
      </c>
      <c r="T505" t="s">
        <v>74</v>
      </c>
      <c r="U505" t="s">
        <v>74</v>
      </c>
      <c r="V505" t="s">
        <v>10014</v>
      </c>
      <c r="W505" t="s">
        <v>10015</v>
      </c>
      <c r="X505" t="s">
        <v>10016</v>
      </c>
      <c r="Y505" t="s">
        <v>10017</v>
      </c>
      <c r="Z505" t="s">
        <v>10018</v>
      </c>
      <c r="AA505" t="s">
        <v>10019</v>
      </c>
      <c r="AB505" t="s">
        <v>10020</v>
      </c>
      <c r="AC505" t="s">
        <v>10021</v>
      </c>
      <c r="AD505" t="s">
        <v>10022</v>
      </c>
      <c r="AE505" t="s">
        <v>10023</v>
      </c>
      <c r="AF505" t="s">
        <v>74</v>
      </c>
      <c r="AG505">
        <v>12</v>
      </c>
      <c r="AH505">
        <v>8</v>
      </c>
      <c r="AI505">
        <v>11</v>
      </c>
      <c r="AJ505">
        <v>0</v>
      </c>
      <c r="AK505">
        <v>1</v>
      </c>
      <c r="AL505" t="s">
        <v>807</v>
      </c>
      <c r="AM505" t="s">
        <v>808</v>
      </c>
      <c r="AN505" t="s">
        <v>809</v>
      </c>
      <c r="AO505" t="s">
        <v>74</v>
      </c>
      <c r="AP505" t="s">
        <v>810</v>
      </c>
      <c r="AQ505" t="s">
        <v>74</v>
      </c>
      <c r="AR505" t="s">
        <v>796</v>
      </c>
      <c r="AS505" t="s">
        <v>811</v>
      </c>
      <c r="AT505" t="s">
        <v>9126</v>
      </c>
      <c r="AU505">
        <v>2013</v>
      </c>
      <c r="AV505">
        <v>1</v>
      </c>
      <c r="AW505">
        <v>6</v>
      </c>
      <c r="AX505" t="s">
        <v>74</v>
      </c>
      <c r="AY505" t="s">
        <v>74</v>
      </c>
      <c r="AZ505" t="s">
        <v>74</v>
      </c>
      <c r="BA505" t="s">
        <v>74</v>
      </c>
      <c r="BB505" t="s">
        <v>74</v>
      </c>
      <c r="BC505" t="s">
        <v>74</v>
      </c>
      <c r="BD505" t="s">
        <v>10024</v>
      </c>
      <c r="BE505" t="s">
        <v>10025</v>
      </c>
      <c r="BF505" t="str">
        <f>HYPERLINK("http://dx.doi.org/10.1128/genomeA.00960-13","http://dx.doi.org/10.1128/genomeA.00960-13")</f>
        <v>http://dx.doi.org/10.1128/genomeA.00960-13</v>
      </c>
      <c r="BG505" t="s">
        <v>74</v>
      </c>
      <c r="BH505" t="s">
        <v>74</v>
      </c>
      <c r="BI505">
        <v>2</v>
      </c>
      <c r="BJ505" t="s">
        <v>815</v>
      </c>
      <c r="BK505" t="s">
        <v>494</v>
      </c>
      <c r="BL505" t="s">
        <v>815</v>
      </c>
      <c r="BM505" t="s">
        <v>10026</v>
      </c>
      <c r="BN505">
        <v>24265494</v>
      </c>
      <c r="BO505" t="s">
        <v>10027</v>
      </c>
      <c r="BP505" t="s">
        <v>74</v>
      </c>
      <c r="BQ505" t="s">
        <v>74</v>
      </c>
      <c r="BR505" t="s">
        <v>103</v>
      </c>
      <c r="BS505" t="s">
        <v>10028</v>
      </c>
      <c r="BT505" t="str">
        <f>HYPERLINK("https%3A%2F%2Fwww.webofscience.com%2Fwos%2Fwoscc%2Ffull-record%2FWOS:000460360100075","View Full Record in Web of Science")</f>
        <v>View Full Record in Web of Science</v>
      </c>
    </row>
    <row r="506" spans="1:72" x14ac:dyDescent="0.15">
      <c r="A506" t="s">
        <v>72</v>
      </c>
      <c r="B506" t="s">
        <v>10029</v>
      </c>
      <c r="C506" t="s">
        <v>74</v>
      </c>
      <c r="D506" t="s">
        <v>74</v>
      </c>
      <c r="E506" t="s">
        <v>74</v>
      </c>
      <c r="F506" t="s">
        <v>10030</v>
      </c>
      <c r="G506" t="s">
        <v>74</v>
      </c>
      <c r="H506" t="s">
        <v>74</v>
      </c>
      <c r="I506" t="s">
        <v>10031</v>
      </c>
      <c r="J506" t="s">
        <v>10032</v>
      </c>
      <c r="K506" t="s">
        <v>74</v>
      </c>
      <c r="L506" t="s">
        <v>74</v>
      </c>
      <c r="M506" t="s">
        <v>78</v>
      </c>
      <c r="N506" t="s">
        <v>79</v>
      </c>
      <c r="O506" t="s">
        <v>74</v>
      </c>
      <c r="P506" t="s">
        <v>74</v>
      </c>
      <c r="Q506" t="s">
        <v>74</v>
      </c>
      <c r="R506" t="s">
        <v>74</v>
      </c>
      <c r="S506" t="s">
        <v>74</v>
      </c>
      <c r="T506" t="s">
        <v>10033</v>
      </c>
      <c r="U506" t="s">
        <v>10034</v>
      </c>
      <c r="V506" t="s">
        <v>10035</v>
      </c>
      <c r="W506" t="s">
        <v>10036</v>
      </c>
      <c r="X506" t="s">
        <v>10037</v>
      </c>
      <c r="Y506" t="s">
        <v>10038</v>
      </c>
      <c r="Z506" t="s">
        <v>10039</v>
      </c>
      <c r="AA506" t="s">
        <v>10040</v>
      </c>
      <c r="AB506" t="s">
        <v>10041</v>
      </c>
      <c r="AC506" t="s">
        <v>10042</v>
      </c>
      <c r="AD506" t="s">
        <v>10043</v>
      </c>
      <c r="AE506" t="s">
        <v>10044</v>
      </c>
      <c r="AF506" t="s">
        <v>74</v>
      </c>
      <c r="AG506">
        <v>46</v>
      </c>
      <c r="AH506">
        <v>41</v>
      </c>
      <c r="AI506">
        <v>44</v>
      </c>
      <c r="AJ506">
        <v>0</v>
      </c>
      <c r="AK506">
        <v>70</v>
      </c>
      <c r="AL506" t="s">
        <v>582</v>
      </c>
      <c r="AM506" t="s">
        <v>305</v>
      </c>
      <c r="AN506" t="s">
        <v>583</v>
      </c>
      <c r="AO506" t="s">
        <v>10045</v>
      </c>
      <c r="AP506" t="s">
        <v>74</v>
      </c>
      <c r="AQ506" t="s">
        <v>74</v>
      </c>
      <c r="AR506" t="s">
        <v>10032</v>
      </c>
      <c r="AS506" t="s">
        <v>10046</v>
      </c>
      <c r="AT506" t="s">
        <v>8425</v>
      </c>
      <c r="AU506">
        <v>2013</v>
      </c>
      <c r="AV506">
        <v>209</v>
      </c>
      <c r="AW506" t="s">
        <v>74</v>
      </c>
      <c r="AX506" t="s">
        <v>74</v>
      </c>
      <c r="AY506" t="s">
        <v>74</v>
      </c>
      <c r="AZ506" t="s">
        <v>74</v>
      </c>
      <c r="BA506" t="s">
        <v>74</v>
      </c>
      <c r="BB506">
        <v>98</v>
      </c>
      <c r="BC506">
        <v>109</v>
      </c>
      <c r="BD506" t="s">
        <v>74</v>
      </c>
      <c r="BE506" t="s">
        <v>10047</v>
      </c>
      <c r="BF506" t="str">
        <f>HYPERLINK("http://dx.doi.org/10.1016/j.geoderma.2013.06.012","http://dx.doi.org/10.1016/j.geoderma.2013.06.012")</f>
        <v>http://dx.doi.org/10.1016/j.geoderma.2013.06.012</v>
      </c>
      <c r="BG506" t="s">
        <v>74</v>
      </c>
      <c r="BH506" t="s">
        <v>74</v>
      </c>
      <c r="BI506">
        <v>12</v>
      </c>
      <c r="BJ506" t="s">
        <v>3675</v>
      </c>
      <c r="BK506" t="s">
        <v>99</v>
      </c>
      <c r="BL506" t="s">
        <v>3676</v>
      </c>
      <c r="BM506" t="s">
        <v>10048</v>
      </c>
      <c r="BN506" t="s">
        <v>74</v>
      </c>
      <c r="BO506" t="s">
        <v>74</v>
      </c>
      <c r="BP506" t="s">
        <v>74</v>
      </c>
      <c r="BQ506" t="s">
        <v>74</v>
      </c>
      <c r="BR506" t="s">
        <v>103</v>
      </c>
      <c r="BS506" t="s">
        <v>10049</v>
      </c>
      <c r="BT506" t="str">
        <f>HYPERLINK("https%3A%2F%2Fwww.webofscience.com%2Fwos%2Fwoscc%2Ffull-record%2FWOS:000324014400011","View Full Record in Web of Science")</f>
        <v>View Full Record in Web of Science</v>
      </c>
    </row>
    <row r="507" spans="1:72" x14ac:dyDescent="0.15">
      <c r="A507" t="s">
        <v>72</v>
      </c>
      <c r="B507" t="s">
        <v>10050</v>
      </c>
      <c r="C507" t="s">
        <v>74</v>
      </c>
      <c r="D507" t="s">
        <v>74</v>
      </c>
      <c r="E507" t="s">
        <v>74</v>
      </c>
      <c r="F507" t="s">
        <v>10051</v>
      </c>
      <c r="G507" t="s">
        <v>74</v>
      </c>
      <c r="H507" t="s">
        <v>74</v>
      </c>
      <c r="I507" t="s">
        <v>10052</v>
      </c>
      <c r="J507" t="s">
        <v>10053</v>
      </c>
      <c r="K507" t="s">
        <v>74</v>
      </c>
      <c r="L507" t="s">
        <v>74</v>
      </c>
      <c r="M507" t="s">
        <v>78</v>
      </c>
      <c r="N507" t="s">
        <v>79</v>
      </c>
      <c r="O507" t="s">
        <v>74</v>
      </c>
      <c r="P507" t="s">
        <v>74</v>
      </c>
      <c r="Q507" t="s">
        <v>74</v>
      </c>
      <c r="R507" t="s">
        <v>74</v>
      </c>
      <c r="S507" t="s">
        <v>74</v>
      </c>
      <c r="T507" t="s">
        <v>10054</v>
      </c>
      <c r="U507" t="s">
        <v>10055</v>
      </c>
      <c r="V507" t="s">
        <v>10056</v>
      </c>
      <c r="W507" t="s">
        <v>10057</v>
      </c>
      <c r="X507" t="s">
        <v>10058</v>
      </c>
      <c r="Y507" t="s">
        <v>10059</v>
      </c>
      <c r="Z507" t="s">
        <v>10060</v>
      </c>
      <c r="AA507" t="s">
        <v>10061</v>
      </c>
      <c r="AB507" t="s">
        <v>10062</v>
      </c>
      <c r="AC507" t="s">
        <v>10063</v>
      </c>
      <c r="AD507" t="s">
        <v>10064</v>
      </c>
      <c r="AE507" t="s">
        <v>10065</v>
      </c>
      <c r="AF507" t="s">
        <v>74</v>
      </c>
      <c r="AG507">
        <v>60</v>
      </c>
      <c r="AH507">
        <v>80</v>
      </c>
      <c r="AI507">
        <v>89</v>
      </c>
      <c r="AJ507">
        <v>3</v>
      </c>
      <c r="AK507">
        <v>77</v>
      </c>
      <c r="AL507" t="s">
        <v>304</v>
      </c>
      <c r="AM507" t="s">
        <v>305</v>
      </c>
      <c r="AN507" t="s">
        <v>306</v>
      </c>
      <c r="AO507" t="s">
        <v>10066</v>
      </c>
      <c r="AP507" t="s">
        <v>10067</v>
      </c>
      <c r="AQ507" t="s">
        <v>74</v>
      </c>
      <c r="AR507" t="s">
        <v>10053</v>
      </c>
      <c r="AS507" t="s">
        <v>10068</v>
      </c>
      <c r="AT507" t="s">
        <v>8493</v>
      </c>
      <c r="AU507">
        <v>2013</v>
      </c>
      <c r="AV507">
        <v>201</v>
      </c>
      <c r="AW507" t="s">
        <v>74</v>
      </c>
      <c r="AX507" t="s">
        <v>74</v>
      </c>
      <c r="AY507" t="s">
        <v>74</v>
      </c>
      <c r="AZ507" t="s">
        <v>74</v>
      </c>
      <c r="BA507" t="s">
        <v>74</v>
      </c>
      <c r="BB507">
        <v>363</v>
      </c>
      <c r="BC507">
        <v>379</v>
      </c>
      <c r="BD507" t="s">
        <v>74</v>
      </c>
      <c r="BE507" t="s">
        <v>10069</v>
      </c>
      <c r="BF507" t="str">
        <f>HYPERLINK("http://dx.doi.org/10.1016/j.geomorph.2013.07.011","http://dx.doi.org/10.1016/j.geomorph.2013.07.011")</f>
        <v>http://dx.doi.org/10.1016/j.geomorph.2013.07.011</v>
      </c>
      <c r="BG507" t="s">
        <v>74</v>
      </c>
      <c r="BH507" t="s">
        <v>74</v>
      </c>
      <c r="BI507">
        <v>17</v>
      </c>
      <c r="BJ507" t="s">
        <v>98</v>
      </c>
      <c r="BK507" t="s">
        <v>99</v>
      </c>
      <c r="BL507" t="s">
        <v>100</v>
      </c>
      <c r="BM507" t="s">
        <v>10070</v>
      </c>
      <c r="BN507" t="s">
        <v>74</v>
      </c>
      <c r="BO507" t="s">
        <v>74</v>
      </c>
      <c r="BP507" t="s">
        <v>74</v>
      </c>
      <c r="BQ507" t="s">
        <v>74</v>
      </c>
      <c r="BR507" t="s">
        <v>103</v>
      </c>
      <c r="BS507" t="s">
        <v>10071</v>
      </c>
      <c r="BT507" t="str">
        <f>HYPERLINK("https%3A%2F%2Fwww.webofscience.com%2Fwos%2Fwoscc%2Ffull-record%2FWOS:000326766500030","View Full Record in Web of Science")</f>
        <v>View Full Record in Web of Science</v>
      </c>
    </row>
    <row r="508" spans="1:72" x14ac:dyDescent="0.15">
      <c r="A508" t="s">
        <v>72</v>
      </c>
      <c r="B508" t="s">
        <v>10072</v>
      </c>
      <c r="C508" t="s">
        <v>74</v>
      </c>
      <c r="D508" t="s">
        <v>74</v>
      </c>
      <c r="E508" t="s">
        <v>74</v>
      </c>
      <c r="F508" t="s">
        <v>10073</v>
      </c>
      <c r="G508" t="s">
        <v>74</v>
      </c>
      <c r="H508" t="s">
        <v>74</v>
      </c>
      <c r="I508" t="s">
        <v>10074</v>
      </c>
      <c r="J508" t="s">
        <v>10053</v>
      </c>
      <c r="K508" t="s">
        <v>74</v>
      </c>
      <c r="L508" t="s">
        <v>74</v>
      </c>
      <c r="M508" t="s">
        <v>78</v>
      </c>
      <c r="N508" t="s">
        <v>79</v>
      </c>
      <c r="O508" t="s">
        <v>74</v>
      </c>
      <c r="P508" t="s">
        <v>74</v>
      </c>
      <c r="Q508" t="s">
        <v>74</v>
      </c>
      <c r="R508" t="s">
        <v>74</v>
      </c>
      <c r="S508" t="s">
        <v>74</v>
      </c>
      <c r="T508" t="s">
        <v>10075</v>
      </c>
      <c r="U508" t="s">
        <v>10076</v>
      </c>
      <c r="V508" t="s">
        <v>10077</v>
      </c>
      <c r="W508" t="s">
        <v>10078</v>
      </c>
      <c r="X508" t="s">
        <v>10079</v>
      </c>
      <c r="Y508" t="s">
        <v>10080</v>
      </c>
      <c r="Z508" t="s">
        <v>10081</v>
      </c>
      <c r="AA508" t="s">
        <v>74</v>
      </c>
      <c r="AB508" t="s">
        <v>10082</v>
      </c>
      <c r="AC508" t="s">
        <v>10083</v>
      </c>
      <c r="AD508" t="s">
        <v>10084</v>
      </c>
      <c r="AE508" t="s">
        <v>10085</v>
      </c>
      <c r="AF508" t="s">
        <v>74</v>
      </c>
      <c r="AG508">
        <v>133</v>
      </c>
      <c r="AH508">
        <v>33</v>
      </c>
      <c r="AI508">
        <v>37</v>
      </c>
      <c r="AJ508">
        <v>1</v>
      </c>
      <c r="AK508">
        <v>19</v>
      </c>
      <c r="AL508" t="s">
        <v>304</v>
      </c>
      <c r="AM508" t="s">
        <v>305</v>
      </c>
      <c r="AN508" t="s">
        <v>306</v>
      </c>
      <c r="AO508" t="s">
        <v>10066</v>
      </c>
      <c r="AP508" t="s">
        <v>10067</v>
      </c>
      <c r="AQ508" t="s">
        <v>74</v>
      </c>
      <c r="AR508" t="s">
        <v>10053</v>
      </c>
      <c r="AS508" t="s">
        <v>10068</v>
      </c>
      <c r="AT508" t="s">
        <v>8493</v>
      </c>
      <c r="AU508">
        <v>2013</v>
      </c>
      <c r="AV508">
        <v>201</v>
      </c>
      <c r="AW508" t="s">
        <v>74</v>
      </c>
      <c r="AX508" t="s">
        <v>74</v>
      </c>
      <c r="AY508" t="s">
        <v>74</v>
      </c>
      <c r="AZ508" t="s">
        <v>74</v>
      </c>
      <c r="BA508" t="s">
        <v>74</v>
      </c>
      <c r="BB508">
        <v>449</v>
      </c>
      <c r="BC508">
        <v>461</v>
      </c>
      <c r="BD508" t="s">
        <v>74</v>
      </c>
      <c r="BE508" t="s">
        <v>10086</v>
      </c>
      <c r="BF508" t="str">
        <f>HYPERLINK("http://dx.doi.org/10.1016/j.geomorph.2013.07.018","http://dx.doi.org/10.1016/j.geomorph.2013.07.018")</f>
        <v>http://dx.doi.org/10.1016/j.geomorph.2013.07.018</v>
      </c>
      <c r="BG508" t="s">
        <v>74</v>
      </c>
      <c r="BH508" t="s">
        <v>74</v>
      </c>
      <c r="BI508">
        <v>13</v>
      </c>
      <c r="BJ508" t="s">
        <v>98</v>
      </c>
      <c r="BK508" t="s">
        <v>99</v>
      </c>
      <c r="BL508" t="s">
        <v>100</v>
      </c>
      <c r="BM508" t="s">
        <v>10070</v>
      </c>
      <c r="BN508" t="s">
        <v>74</v>
      </c>
      <c r="BO508" t="s">
        <v>450</v>
      </c>
      <c r="BP508" t="s">
        <v>74</v>
      </c>
      <c r="BQ508" t="s">
        <v>74</v>
      </c>
      <c r="BR508" t="s">
        <v>103</v>
      </c>
      <c r="BS508" t="s">
        <v>10087</v>
      </c>
      <c r="BT508" t="str">
        <f>HYPERLINK("https%3A%2F%2Fwww.webofscience.com%2Fwos%2Fwoscc%2Ffull-record%2FWOS:000326766500035","View Full Record in Web of Science")</f>
        <v>View Full Record in Web of Science</v>
      </c>
    </row>
    <row r="509" spans="1:72" x14ac:dyDescent="0.15">
      <c r="A509" t="s">
        <v>72</v>
      </c>
      <c r="B509" t="s">
        <v>10088</v>
      </c>
      <c r="C509" t="s">
        <v>74</v>
      </c>
      <c r="D509" t="s">
        <v>74</v>
      </c>
      <c r="E509" t="s">
        <v>74</v>
      </c>
      <c r="F509" t="s">
        <v>10089</v>
      </c>
      <c r="G509" t="s">
        <v>74</v>
      </c>
      <c r="H509" t="s">
        <v>74</v>
      </c>
      <c r="I509" t="s">
        <v>10090</v>
      </c>
      <c r="J509" t="s">
        <v>10091</v>
      </c>
      <c r="K509" t="s">
        <v>74</v>
      </c>
      <c r="L509" t="s">
        <v>74</v>
      </c>
      <c r="M509" t="s">
        <v>78</v>
      </c>
      <c r="N509" t="s">
        <v>79</v>
      </c>
      <c r="O509" t="s">
        <v>74</v>
      </c>
      <c r="P509" t="s">
        <v>74</v>
      </c>
      <c r="Q509" t="s">
        <v>74</v>
      </c>
      <c r="R509" t="s">
        <v>74</v>
      </c>
      <c r="S509" t="s">
        <v>74</v>
      </c>
      <c r="T509" t="s">
        <v>74</v>
      </c>
      <c r="U509" t="s">
        <v>74</v>
      </c>
      <c r="V509" t="s">
        <v>10092</v>
      </c>
      <c r="W509" t="s">
        <v>10093</v>
      </c>
      <c r="X509" t="s">
        <v>10094</v>
      </c>
      <c r="Y509" t="s">
        <v>10095</v>
      </c>
      <c r="Z509" t="s">
        <v>10096</v>
      </c>
      <c r="AA509" t="s">
        <v>74</v>
      </c>
      <c r="AB509" t="s">
        <v>74</v>
      </c>
      <c r="AC509" t="s">
        <v>10097</v>
      </c>
      <c r="AD509" t="s">
        <v>10098</v>
      </c>
      <c r="AE509" t="s">
        <v>74</v>
      </c>
      <c r="AF509" t="s">
        <v>74</v>
      </c>
      <c r="AG509">
        <v>0</v>
      </c>
      <c r="AH509">
        <v>7</v>
      </c>
      <c r="AI509">
        <v>11</v>
      </c>
      <c r="AJ509">
        <v>1</v>
      </c>
      <c r="AK509">
        <v>5</v>
      </c>
      <c r="AL509" t="s">
        <v>10099</v>
      </c>
      <c r="AM509" t="s">
        <v>10100</v>
      </c>
      <c r="AN509" t="s">
        <v>10101</v>
      </c>
      <c r="AO509" t="s">
        <v>10102</v>
      </c>
      <c r="AP509" t="s">
        <v>74</v>
      </c>
      <c r="AQ509" t="s">
        <v>74</v>
      </c>
      <c r="AR509" t="s">
        <v>10103</v>
      </c>
      <c r="AS509" t="s">
        <v>10104</v>
      </c>
      <c r="AT509" t="s">
        <v>8425</v>
      </c>
      <c r="AU509">
        <v>2013</v>
      </c>
      <c r="AV509">
        <v>4</v>
      </c>
      <c r="AW509">
        <v>6</v>
      </c>
      <c r="AX509" t="s">
        <v>74</v>
      </c>
      <c r="AY509" t="s">
        <v>74</v>
      </c>
      <c r="AZ509" t="s">
        <v>74</v>
      </c>
      <c r="BA509" t="s">
        <v>74</v>
      </c>
      <c r="BB509">
        <v>623</v>
      </c>
      <c r="BC509">
        <v>632</v>
      </c>
      <c r="BD509" t="s">
        <v>74</v>
      </c>
      <c r="BE509" t="s">
        <v>10105</v>
      </c>
      <c r="BF509" t="str">
        <f>HYPERLINK("http://dx.doi.org/10.1016/j.gsf.2012.11.004","http://dx.doi.org/10.1016/j.gsf.2012.11.004")</f>
        <v>http://dx.doi.org/10.1016/j.gsf.2012.11.004</v>
      </c>
      <c r="BG509" t="s">
        <v>74</v>
      </c>
      <c r="BH509" t="s">
        <v>74</v>
      </c>
      <c r="BI509">
        <v>10</v>
      </c>
      <c r="BJ509" t="s">
        <v>337</v>
      </c>
      <c r="BK509" t="s">
        <v>99</v>
      </c>
      <c r="BL509" t="s">
        <v>338</v>
      </c>
      <c r="BM509" t="s">
        <v>10106</v>
      </c>
      <c r="BN509" t="s">
        <v>74</v>
      </c>
      <c r="BO509" t="s">
        <v>657</v>
      </c>
      <c r="BP509" t="s">
        <v>74</v>
      </c>
      <c r="BQ509" t="s">
        <v>74</v>
      </c>
      <c r="BR509" t="s">
        <v>103</v>
      </c>
      <c r="BS509" t="s">
        <v>10107</v>
      </c>
      <c r="BT509" t="str">
        <f>HYPERLINK("https%3A%2F%2Fwww.webofscience.com%2Fwos%2Fwoscc%2Ffull-record%2FWOS:000327577400002","View Full Record in Web of Science")</f>
        <v>View Full Record in Web of Science</v>
      </c>
    </row>
    <row r="510" spans="1:72" x14ac:dyDescent="0.15">
      <c r="A510" t="s">
        <v>72</v>
      </c>
      <c r="B510" t="s">
        <v>10108</v>
      </c>
      <c r="C510" t="s">
        <v>74</v>
      </c>
      <c r="D510" t="s">
        <v>74</v>
      </c>
      <c r="E510" t="s">
        <v>74</v>
      </c>
      <c r="F510" t="s">
        <v>10109</v>
      </c>
      <c r="G510" t="s">
        <v>74</v>
      </c>
      <c r="H510" t="s">
        <v>74</v>
      </c>
      <c r="I510" t="s">
        <v>10110</v>
      </c>
      <c r="J510" t="s">
        <v>10091</v>
      </c>
      <c r="K510" t="s">
        <v>74</v>
      </c>
      <c r="L510" t="s">
        <v>74</v>
      </c>
      <c r="M510" t="s">
        <v>78</v>
      </c>
      <c r="N510" t="s">
        <v>79</v>
      </c>
      <c r="O510" t="s">
        <v>74</v>
      </c>
      <c r="P510" t="s">
        <v>74</v>
      </c>
      <c r="Q510" t="s">
        <v>74</v>
      </c>
      <c r="R510" t="s">
        <v>74</v>
      </c>
      <c r="S510" t="s">
        <v>74</v>
      </c>
      <c r="T510" t="s">
        <v>74</v>
      </c>
      <c r="U510" t="s">
        <v>74</v>
      </c>
      <c r="V510" t="s">
        <v>10111</v>
      </c>
      <c r="W510" t="s">
        <v>10112</v>
      </c>
      <c r="X510" t="s">
        <v>10113</v>
      </c>
      <c r="Y510" t="s">
        <v>10114</v>
      </c>
      <c r="Z510" t="s">
        <v>10115</v>
      </c>
      <c r="AA510" t="s">
        <v>10116</v>
      </c>
      <c r="AB510" t="s">
        <v>10117</v>
      </c>
      <c r="AC510" t="s">
        <v>10118</v>
      </c>
      <c r="AD510" t="s">
        <v>10098</v>
      </c>
      <c r="AE510" t="s">
        <v>74</v>
      </c>
      <c r="AF510" t="s">
        <v>74</v>
      </c>
      <c r="AG510">
        <v>0</v>
      </c>
      <c r="AH510">
        <v>10</v>
      </c>
      <c r="AI510">
        <v>12</v>
      </c>
      <c r="AJ510">
        <v>0</v>
      </c>
      <c r="AK510">
        <v>12</v>
      </c>
      <c r="AL510" t="s">
        <v>10099</v>
      </c>
      <c r="AM510" t="s">
        <v>10100</v>
      </c>
      <c r="AN510" t="s">
        <v>10101</v>
      </c>
      <c r="AO510" t="s">
        <v>10102</v>
      </c>
      <c r="AP510" t="s">
        <v>74</v>
      </c>
      <c r="AQ510" t="s">
        <v>74</v>
      </c>
      <c r="AR510" t="s">
        <v>10103</v>
      </c>
      <c r="AS510" t="s">
        <v>10104</v>
      </c>
      <c r="AT510" t="s">
        <v>8425</v>
      </c>
      <c r="AU510">
        <v>2013</v>
      </c>
      <c r="AV510">
        <v>4</v>
      </c>
      <c r="AW510">
        <v>6</v>
      </c>
      <c r="AX510" t="s">
        <v>74</v>
      </c>
      <c r="AY510" t="s">
        <v>74</v>
      </c>
      <c r="AZ510" t="s">
        <v>74</v>
      </c>
      <c r="BA510" t="s">
        <v>74</v>
      </c>
      <c r="BB510">
        <v>633</v>
      </c>
      <c r="BC510">
        <v>646</v>
      </c>
      <c r="BD510" t="s">
        <v>74</v>
      </c>
      <c r="BE510" t="s">
        <v>10119</v>
      </c>
      <c r="BF510" t="str">
        <f>HYPERLINK("http://dx.doi.org/10.1016/j.gsf.2012.11.002","http://dx.doi.org/10.1016/j.gsf.2012.11.002")</f>
        <v>http://dx.doi.org/10.1016/j.gsf.2012.11.002</v>
      </c>
      <c r="BG510" t="s">
        <v>74</v>
      </c>
      <c r="BH510" t="s">
        <v>74</v>
      </c>
      <c r="BI510">
        <v>14</v>
      </c>
      <c r="BJ510" t="s">
        <v>337</v>
      </c>
      <c r="BK510" t="s">
        <v>99</v>
      </c>
      <c r="BL510" t="s">
        <v>338</v>
      </c>
      <c r="BM510" t="s">
        <v>10106</v>
      </c>
      <c r="BN510" t="s">
        <v>74</v>
      </c>
      <c r="BO510" t="s">
        <v>657</v>
      </c>
      <c r="BP510" t="s">
        <v>74</v>
      </c>
      <c r="BQ510" t="s">
        <v>74</v>
      </c>
      <c r="BR510" t="s">
        <v>103</v>
      </c>
      <c r="BS510" t="s">
        <v>10120</v>
      </c>
      <c r="BT510" t="str">
        <f>HYPERLINK("https%3A%2F%2Fwww.webofscience.com%2Fwos%2Fwoscc%2Ffull-record%2FWOS:000327577400003","View Full Record in Web of Science")</f>
        <v>View Full Record in Web of Science</v>
      </c>
    </row>
    <row r="511" spans="1:72" x14ac:dyDescent="0.15">
      <c r="A511" t="s">
        <v>72</v>
      </c>
      <c r="B511" t="s">
        <v>10121</v>
      </c>
      <c r="C511" t="s">
        <v>74</v>
      </c>
      <c r="D511" t="s">
        <v>74</v>
      </c>
      <c r="E511" t="s">
        <v>74</v>
      </c>
      <c r="F511" t="s">
        <v>10122</v>
      </c>
      <c r="G511" t="s">
        <v>74</v>
      </c>
      <c r="H511" t="s">
        <v>74</v>
      </c>
      <c r="I511" t="s">
        <v>10123</v>
      </c>
      <c r="J511" t="s">
        <v>10124</v>
      </c>
      <c r="K511" t="s">
        <v>74</v>
      </c>
      <c r="L511" t="s">
        <v>74</v>
      </c>
      <c r="M511" t="s">
        <v>78</v>
      </c>
      <c r="N511" t="s">
        <v>79</v>
      </c>
      <c r="O511" t="s">
        <v>74</v>
      </c>
      <c r="P511" t="s">
        <v>74</v>
      </c>
      <c r="Q511" t="s">
        <v>74</v>
      </c>
      <c r="R511" t="s">
        <v>74</v>
      </c>
      <c r="S511" t="s">
        <v>74</v>
      </c>
      <c r="T511" t="s">
        <v>10125</v>
      </c>
      <c r="U511" t="s">
        <v>10126</v>
      </c>
      <c r="V511" t="s">
        <v>10127</v>
      </c>
      <c r="W511" t="s">
        <v>10128</v>
      </c>
      <c r="X511" t="s">
        <v>10129</v>
      </c>
      <c r="Y511" t="s">
        <v>10130</v>
      </c>
      <c r="Z511" t="s">
        <v>10131</v>
      </c>
      <c r="AA511" t="s">
        <v>10132</v>
      </c>
      <c r="AB511" t="s">
        <v>10133</v>
      </c>
      <c r="AC511" t="s">
        <v>10134</v>
      </c>
      <c r="AD511" t="s">
        <v>10135</v>
      </c>
      <c r="AE511" t="s">
        <v>10136</v>
      </c>
      <c r="AF511" t="s">
        <v>74</v>
      </c>
      <c r="AG511">
        <v>49</v>
      </c>
      <c r="AH511">
        <v>10</v>
      </c>
      <c r="AI511">
        <v>11</v>
      </c>
      <c r="AJ511">
        <v>1</v>
      </c>
      <c r="AK511">
        <v>44</v>
      </c>
      <c r="AL511" t="s">
        <v>3992</v>
      </c>
      <c r="AM511" t="s">
        <v>252</v>
      </c>
      <c r="AN511" t="s">
        <v>3993</v>
      </c>
      <c r="AO511" t="s">
        <v>10137</v>
      </c>
      <c r="AP511" t="s">
        <v>10138</v>
      </c>
      <c r="AQ511" t="s">
        <v>74</v>
      </c>
      <c r="AR511" t="s">
        <v>10139</v>
      </c>
      <c r="AS511" t="s">
        <v>10140</v>
      </c>
      <c r="AT511" t="s">
        <v>8425</v>
      </c>
      <c r="AU511">
        <v>2013</v>
      </c>
      <c r="AV511">
        <v>70</v>
      </c>
      <c r="AW511">
        <v>7</v>
      </c>
      <c r="AX511" t="s">
        <v>74</v>
      </c>
      <c r="AY511" t="s">
        <v>74</v>
      </c>
      <c r="AZ511" t="s">
        <v>74</v>
      </c>
      <c r="BA511" t="s">
        <v>74</v>
      </c>
      <c r="BB511">
        <v>1499</v>
      </c>
      <c r="BC511">
        <v>1505</v>
      </c>
      <c r="BD511" t="s">
        <v>74</v>
      </c>
      <c r="BE511" t="s">
        <v>10141</v>
      </c>
      <c r="BF511" t="str">
        <f>HYPERLINK("http://dx.doi.org/10.1093/icesjms/fst100","http://dx.doi.org/10.1093/icesjms/fst100")</f>
        <v>http://dx.doi.org/10.1093/icesjms/fst100</v>
      </c>
      <c r="BG511" t="s">
        <v>74</v>
      </c>
      <c r="BH511" t="s">
        <v>74</v>
      </c>
      <c r="BI511">
        <v>7</v>
      </c>
      <c r="BJ511" t="s">
        <v>10142</v>
      </c>
      <c r="BK511" t="s">
        <v>99</v>
      </c>
      <c r="BL511" t="s">
        <v>10142</v>
      </c>
      <c r="BM511" t="s">
        <v>10143</v>
      </c>
      <c r="BN511" t="s">
        <v>74</v>
      </c>
      <c r="BO511" t="s">
        <v>475</v>
      </c>
      <c r="BP511" t="s">
        <v>74</v>
      </c>
      <c r="BQ511" t="s">
        <v>74</v>
      </c>
      <c r="BR511" t="s">
        <v>103</v>
      </c>
      <c r="BS511" t="s">
        <v>10144</v>
      </c>
      <c r="BT511" t="str">
        <f>HYPERLINK("https%3A%2F%2Fwww.webofscience.com%2Fwos%2Fwoscc%2Ffull-record%2FWOS:000326042000022","View Full Record in Web of Science")</f>
        <v>View Full Record in Web of Science</v>
      </c>
    </row>
    <row r="512" spans="1:72" x14ac:dyDescent="0.15">
      <c r="A512" t="s">
        <v>72</v>
      </c>
      <c r="B512" t="s">
        <v>10145</v>
      </c>
      <c r="C512" t="s">
        <v>74</v>
      </c>
      <c r="D512" t="s">
        <v>74</v>
      </c>
      <c r="E512" t="s">
        <v>74</v>
      </c>
      <c r="F512" t="s">
        <v>10146</v>
      </c>
      <c r="G512" t="s">
        <v>74</v>
      </c>
      <c r="H512" t="s">
        <v>74</v>
      </c>
      <c r="I512" t="s">
        <v>10147</v>
      </c>
      <c r="J512" t="s">
        <v>8780</v>
      </c>
      <c r="K512" t="s">
        <v>74</v>
      </c>
      <c r="L512" t="s">
        <v>74</v>
      </c>
      <c r="M512" t="s">
        <v>78</v>
      </c>
      <c r="N512" t="s">
        <v>79</v>
      </c>
      <c r="O512" t="s">
        <v>74</v>
      </c>
      <c r="P512" t="s">
        <v>74</v>
      </c>
      <c r="Q512" t="s">
        <v>74</v>
      </c>
      <c r="R512" t="s">
        <v>74</v>
      </c>
      <c r="S512" t="s">
        <v>74</v>
      </c>
      <c r="T512" t="s">
        <v>74</v>
      </c>
      <c r="U512" t="s">
        <v>10148</v>
      </c>
      <c r="V512" t="s">
        <v>10149</v>
      </c>
      <c r="W512" t="s">
        <v>10150</v>
      </c>
      <c r="X512" t="s">
        <v>10151</v>
      </c>
      <c r="Y512" t="s">
        <v>10152</v>
      </c>
      <c r="Z512" t="s">
        <v>10153</v>
      </c>
      <c r="AA512" t="s">
        <v>10154</v>
      </c>
      <c r="AB512" t="s">
        <v>10155</v>
      </c>
      <c r="AC512" t="s">
        <v>10156</v>
      </c>
      <c r="AD512" t="s">
        <v>10157</v>
      </c>
      <c r="AE512" t="s">
        <v>10158</v>
      </c>
      <c r="AF512" t="s">
        <v>74</v>
      </c>
      <c r="AG512">
        <v>56</v>
      </c>
      <c r="AH512">
        <v>38</v>
      </c>
      <c r="AI512">
        <v>42</v>
      </c>
      <c r="AJ512">
        <v>1</v>
      </c>
      <c r="AK512">
        <v>23</v>
      </c>
      <c r="AL512" t="s">
        <v>10159</v>
      </c>
      <c r="AM512" t="s">
        <v>10160</v>
      </c>
      <c r="AN512" t="s">
        <v>10161</v>
      </c>
      <c r="AO512" t="s">
        <v>8794</v>
      </c>
      <c r="AP512" t="s">
        <v>8795</v>
      </c>
      <c r="AQ512" t="s">
        <v>74</v>
      </c>
      <c r="AR512" t="s">
        <v>8796</v>
      </c>
      <c r="AS512" t="s">
        <v>8797</v>
      </c>
      <c r="AT512" t="s">
        <v>8425</v>
      </c>
      <c r="AU512">
        <v>2013</v>
      </c>
      <c r="AV512">
        <v>63</v>
      </c>
      <c r="AW512" t="s">
        <v>74</v>
      </c>
      <c r="AX512">
        <v>11</v>
      </c>
      <c r="AY512" t="s">
        <v>74</v>
      </c>
      <c r="AZ512" t="s">
        <v>74</v>
      </c>
      <c r="BA512" t="s">
        <v>74</v>
      </c>
      <c r="BB512">
        <v>4207</v>
      </c>
      <c r="BC512">
        <v>4217</v>
      </c>
      <c r="BD512" t="s">
        <v>74</v>
      </c>
      <c r="BE512" t="s">
        <v>10162</v>
      </c>
      <c r="BF512" t="str">
        <f>HYPERLINK("http://dx.doi.org/10.1099/ijs.0.053249-0","http://dx.doi.org/10.1099/ijs.0.053249-0")</f>
        <v>http://dx.doi.org/10.1099/ijs.0.053249-0</v>
      </c>
      <c r="BG512" t="s">
        <v>74</v>
      </c>
      <c r="BH512" t="s">
        <v>74</v>
      </c>
      <c r="BI512">
        <v>11</v>
      </c>
      <c r="BJ512" t="s">
        <v>815</v>
      </c>
      <c r="BK512" t="s">
        <v>99</v>
      </c>
      <c r="BL512" t="s">
        <v>815</v>
      </c>
      <c r="BM512" t="s">
        <v>8799</v>
      </c>
      <c r="BN512">
        <v>23793856</v>
      </c>
      <c r="BO512" t="s">
        <v>74</v>
      </c>
      <c r="BP512" t="s">
        <v>74</v>
      </c>
      <c r="BQ512" t="s">
        <v>74</v>
      </c>
      <c r="BR512" t="s">
        <v>103</v>
      </c>
      <c r="BS512" t="s">
        <v>10163</v>
      </c>
      <c r="BT512" t="str">
        <f>HYPERLINK("https%3A%2F%2Fwww.webofscience.com%2Fwos%2Fwoscc%2Ffull-record%2FWOS:000328666600044","View Full Record in Web of Science")</f>
        <v>View Full Record in Web of Science</v>
      </c>
    </row>
    <row r="513" spans="1:72" x14ac:dyDescent="0.15">
      <c r="A513" t="s">
        <v>72</v>
      </c>
      <c r="B513" t="s">
        <v>10164</v>
      </c>
      <c r="C513" t="s">
        <v>74</v>
      </c>
      <c r="D513" t="s">
        <v>74</v>
      </c>
      <c r="E513" t="s">
        <v>74</v>
      </c>
      <c r="F513" t="s">
        <v>10165</v>
      </c>
      <c r="G513" t="s">
        <v>74</v>
      </c>
      <c r="H513" t="s">
        <v>74</v>
      </c>
      <c r="I513" t="s">
        <v>10166</v>
      </c>
      <c r="J513" t="s">
        <v>1358</v>
      </c>
      <c r="K513" t="s">
        <v>74</v>
      </c>
      <c r="L513" t="s">
        <v>74</v>
      </c>
      <c r="M513" t="s">
        <v>78</v>
      </c>
      <c r="N513" t="s">
        <v>79</v>
      </c>
      <c r="O513" t="s">
        <v>74</v>
      </c>
      <c r="P513" t="s">
        <v>74</v>
      </c>
      <c r="Q513" t="s">
        <v>74</v>
      </c>
      <c r="R513" t="s">
        <v>74</v>
      </c>
      <c r="S513" t="s">
        <v>74</v>
      </c>
      <c r="T513" t="s">
        <v>10167</v>
      </c>
      <c r="U513" t="s">
        <v>10168</v>
      </c>
      <c r="V513" t="s">
        <v>10169</v>
      </c>
      <c r="W513" t="s">
        <v>10170</v>
      </c>
      <c r="X513" t="s">
        <v>10171</v>
      </c>
      <c r="Y513" t="s">
        <v>10172</v>
      </c>
      <c r="Z513" t="s">
        <v>10173</v>
      </c>
      <c r="AA513" t="s">
        <v>10174</v>
      </c>
      <c r="AB513" t="s">
        <v>10175</v>
      </c>
      <c r="AC513" t="s">
        <v>10176</v>
      </c>
      <c r="AD513" t="s">
        <v>10177</v>
      </c>
      <c r="AE513" t="s">
        <v>10178</v>
      </c>
      <c r="AF513" t="s">
        <v>74</v>
      </c>
      <c r="AG513">
        <v>65</v>
      </c>
      <c r="AH513">
        <v>57</v>
      </c>
      <c r="AI513">
        <v>65</v>
      </c>
      <c r="AJ513">
        <v>2</v>
      </c>
      <c r="AK513">
        <v>82</v>
      </c>
      <c r="AL513" t="s">
        <v>10179</v>
      </c>
      <c r="AM513" t="s">
        <v>849</v>
      </c>
      <c r="AN513" t="s">
        <v>3329</v>
      </c>
      <c r="AO513" t="s">
        <v>1373</v>
      </c>
      <c r="AP513" t="s">
        <v>1374</v>
      </c>
      <c r="AQ513" t="s">
        <v>74</v>
      </c>
      <c r="AR513" t="s">
        <v>1375</v>
      </c>
      <c r="AS513" t="s">
        <v>1376</v>
      </c>
      <c r="AT513" t="s">
        <v>8425</v>
      </c>
      <c r="AU513">
        <v>2013</v>
      </c>
      <c r="AV513">
        <v>7</v>
      </c>
      <c r="AW513">
        <v>11</v>
      </c>
      <c r="AX513" t="s">
        <v>74</v>
      </c>
      <c r="AY513" t="s">
        <v>74</v>
      </c>
      <c r="AZ513" t="s">
        <v>74</v>
      </c>
      <c r="BA513" t="s">
        <v>74</v>
      </c>
      <c r="BB513">
        <v>2080</v>
      </c>
      <c r="BC513">
        <v>2090</v>
      </c>
      <c r="BD513" t="s">
        <v>74</v>
      </c>
      <c r="BE513" t="s">
        <v>10180</v>
      </c>
      <c r="BF513" t="str">
        <f>HYPERLINK("http://dx.doi.org/10.1038/ismej.2013.94","http://dx.doi.org/10.1038/ismej.2013.94")</f>
        <v>http://dx.doi.org/10.1038/ismej.2013.94</v>
      </c>
      <c r="BG513" t="s">
        <v>74</v>
      </c>
      <c r="BH513" t="s">
        <v>74</v>
      </c>
      <c r="BI513">
        <v>11</v>
      </c>
      <c r="BJ513" t="s">
        <v>1378</v>
      </c>
      <c r="BK513" t="s">
        <v>99</v>
      </c>
      <c r="BL513" t="s">
        <v>1379</v>
      </c>
      <c r="BM513" t="s">
        <v>10181</v>
      </c>
      <c r="BN513">
        <v>23765099</v>
      </c>
      <c r="BO513" t="s">
        <v>10182</v>
      </c>
      <c r="BP513" t="s">
        <v>74</v>
      </c>
      <c r="BQ513" t="s">
        <v>74</v>
      </c>
      <c r="BR513" t="s">
        <v>103</v>
      </c>
      <c r="BS513" t="s">
        <v>10183</v>
      </c>
      <c r="BT513" t="str">
        <f>HYPERLINK("https%3A%2F%2Fwww.webofscience.com%2Fwos%2Fwoscc%2Ffull-record%2FWOS:000326090800003","View Full Record in Web of Science")</f>
        <v>View Full Record in Web of Science</v>
      </c>
    </row>
    <row r="514" spans="1:72" x14ac:dyDescent="0.15">
      <c r="A514" t="s">
        <v>72</v>
      </c>
      <c r="B514" t="s">
        <v>10184</v>
      </c>
      <c r="C514" t="s">
        <v>74</v>
      </c>
      <c r="D514" t="s">
        <v>74</v>
      </c>
      <c r="E514" t="s">
        <v>74</v>
      </c>
      <c r="F514" t="s">
        <v>10185</v>
      </c>
      <c r="G514" t="s">
        <v>74</v>
      </c>
      <c r="H514" t="s">
        <v>74</v>
      </c>
      <c r="I514" t="s">
        <v>10186</v>
      </c>
      <c r="J514" t="s">
        <v>1358</v>
      </c>
      <c r="K514" t="s">
        <v>74</v>
      </c>
      <c r="L514" t="s">
        <v>74</v>
      </c>
      <c r="M514" t="s">
        <v>78</v>
      </c>
      <c r="N514" t="s">
        <v>79</v>
      </c>
      <c r="O514" t="s">
        <v>74</v>
      </c>
      <c r="P514" t="s">
        <v>74</v>
      </c>
      <c r="Q514" t="s">
        <v>74</v>
      </c>
      <c r="R514" t="s">
        <v>74</v>
      </c>
      <c r="S514" t="s">
        <v>74</v>
      </c>
      <c r="T514" t="s">
        <v>10187</v>
      </c>
      <c r="U514" t="s">
        <v>10188</v>
      </c>
      <c r="V514" t="s">
        <v>10189</v>
      </c>
      <c r="W514" t="s">
        <v>10190</v>
      </c>
      <c r="X514" t="s">
        <v>4910</v>
      </c>
      <c r="Y514" t="s">
        <v>10191</v>
      </c>
      <c r="Z514" t="s">
        <v>10192</v>
      </c>
      <c r="AA514" t="s">
        <v>10193</v>
      </c>
      <c r="AB514" t="s">
        <v>10194</v>
      </c>
      <c r="AC514" t="s">
        <v>10195</v>
      </c>
      <c r="AD514" t="s">
        <v>7631</v>
      </c>
      <c r="AE514" t="s">
        <v>10196</v>
      </c>
      <c r="AF514" t="s">
        <v>74</v>
      </c>
      <c r="AG514">
        <v>42</v>
      </c>
      <c r="AH514">
        <v>44</v>
      </c>
      <c r="AI514">
        <v>48</v>
      </c>
      <c r="AJ514">
        <v>0</v>
      </c>
      <c r="AK514">
        <v>30</v>
      </c>
      <c r="AL514" t="s">
        <v>1371</v>
      </c>
      <c r="AM514" t="s">
        <v>849</v>
      </c>
      <c r="AN514" t="s">
        <v>1372</v>
      </c>
      <c r="AO514" t="s">
        <v>1373</v>
      </c>
      <c r="AP514" t="s">
        <v>1374</v>
      </c>
      <c r="AQ514" t="s">
        <v>74</v>
      </c>
      <c r="AR514" t="s">
        <v>1375</v>
      </c>
      <c r="AS514" t="s">
        <v>1376</v>
      </c>
      <c r="AT514" t="s">
        <v>8425</v>
      </c>
      <c r="AU514">
        <v>2013</v>
      </c>
      <c r="AV514">
        <v>7</v>
      </c>
      <c r="AW514">
        <v>11</v>
      </c>
      <c r="AX514" t="s">
        <v>74</v>
      </c>
      <c r="AY514" t="s">
        <v>74</v>
      </c>
      <c r="AZ514" t="s">
        <v>74</v>
      </c>
      <c r="BA514" t="s">
        <v>74</v>
      </c>
      <c r="BB514">
        <v>2206</v>
      </c>
      <c r="BC514">
        <v>2213</v>
      </c>
      <c r="BD514" t="s">
        <v>74</v>
      </c>
      <c r="BE514" t="s">
        <v>10197</v>
      </c>
      <c r="BF514" t="str">
        <f>HYPERLINK("http://dx.doi.org/10.1038/ismej.2013.97","http://dx.doi.org/10.1038/ismej.2013.97")</f>
        <v>http://dx.doi.org/10.1038/ismej.2013.97</v>
      </c>
      <c r="BG514" t="s">
        <v>74</v>
      </c>
      <c r="BH514" t="s">
        <v>74</v>
      </c>
      <c r="BI514">
        <v>8</v>
      </c>
      <c r="BJ514" t="s">
        <v>1378</v>
      </c>
      <c r="BK514" t="s">
        <v>99</v>
      </c>
      <c r="BL514" t="s">
        <v>1379</v>
      </c>
      <c r="BM514" t="s">
        <v>10181</v>
      </c>
      <c r="BN514">
        <v>23788334</v>
      </c>
      <c r="BO514" t="s">
        <v>4262</v>
      </c>
      <c r="BP514" t="s">
        <v>74</v>
      </c>
      <c r="BQ514" t="s">
        <v>74</v>
      </c>
      <c r="BR514" t="s">
        <v>103</v>
      </c>
      <c r="BS514" t="s">
        <v>10198</v>
      </c>
      <c r="BT514" t="str">
        <f>HYPERLINK("https%3A%2F%2Fwww.webofscience.com%2Fwos%2Fwoscc%2Ffull-record%2FWOS:000326090800014","View Full Record in Web of Science")</f>
        <v>View Full Record in Web of Science</v>
      </c>
    </row>
    <row r="515" spans="1:72" x14ac:dyDescent="0.15">
      <c r="A515" t="s">
        <v>72</v>
      </c>
      <c r="B515" t="s">
        <v>10199</v>
      </c>
      <c r="C515" t="s">
        <v>74</v>
      </c>
      <c r="D515" t="s">
        <v>74</v>
      </c>
      <c r="E515" t="s">
        <v>74</v>
      </c>
      <c r="F515" t="s">
        <v>10200</v>
      </c>
      <c r="G515" t="s">
        <v>74</v>
      </c>
      <c r="H515" t="s">
        <v>74</v>
      </c>
      <c r="I515" t="s">
        <v>10201</v>
      </c>
      <c r="J515" t="s">
        <v>6876</v>
      </c>
      <c r="K515" t="s">
        <v>74</v>
      </c>
      <c r="L515" t="s">
        <v>74</v>
      </c>
      <c r="M515" t="s">
        <v>78</v>
      </c>
      <c r="N515" t="s">
        <v>79</v>
      </c>
      <c r="O515" t="s">
        <v>74</v>
      </c>
      <c r="P515" t="s">
        <v>74</v>
      </c>
      <c r="Q515" t="s">
        <v>74</v>
      </c>
      <c r="R515" t="s">
        <v>74</v>
      </c>
      <c r="S515" t="s">
        <v>74</v>
      </c>
      <c r="T515" t="s">
        <v>10202</v>
      </c>
      <c r="U515" t="s">
        <v>10203</v>
      </c>
      <c r="V515" t="s">
        <v>10204</v>
      </c>
      <c r="W515" t="s">
        <v>10205</v>
      </c>
      <c r="X515" t="s">
        <v>10206</v>
      </c>
      <c r="Y515" t="s">
        <v>10207</v>
      </c>
      <c r="Z515" t="s">
        <v>10208</v>
      </c>
      <c r="AA515" t="s">
        <v>10209</v>
      </c>
      <c r="AB515" t="s">
        <v>10210</v>
      </c>
      <c r="AC515" t="s">
        <v>10211</v>
      </c>
      <c r="AD515" t="s">
        <v>10212</v>
      </c>
      <c r="AE515" t="s">
        <v>10213</v>
      </c>
      <c r="AF515" t="s">
        <v>74</v>
      </c>
      <c r="AG515">
        <v>54</v>
      </c>
      <c r="AH515">
        <v>82</v>
      </c>
      <c r="AI515">
        <v>85</v>
      </c>
      <c r="AJ515">
        <v>0</v>
      </c>
      <c r="AK515">
        <v>74</v>
      </c>
      <c r="AL515" t="s">
        <v>4163</v>
      </c>
      <c r="AM515" t="s">
        <v>849</v>
      </c>
      <c r="AN515" t="s">
        <v>4164</v>
      </c>
      <c r="AO515" t="s">
        <v>6889</v>
      </c>
      <c r="AP515" t="s">
        <v>6890</v>
      </c>
      <c r="AQ515" t="s">
        <v>74</v>
      </c>
      <c r="AR515" t="s">
        <v>6891</v>
      </c>
      <c r="AS515" t="s">
        <v>6892</v>
      </c>
      <c r="AT515" t="s">
        <v>8425</v>
      </c>
      <c r="AU515">
        <v>2013</v>
      </c>
      <c r="AV515">
        <v>40</v>
      </c>
      <c r="AW515">
        <v>11</v>
      </c>
      <c r="AX515" t="s">
        <v>74</v>
      </c>
      <c r="AY515" t="s">
        <v>74</v>
      </c>
      <c r="AZ515" t="s">
        <v>74</v>
      </c>
      <c r="BA515" t="s">
        <v>74</v>
      </c>
      <c r="BB515">
        <v>3963</v>
      </c>
      <c r="BC515">
        <v>3976</v>
      </c>
      <c r="BD515" t="s">
        <v>74</v>
      </c>
      <c r="BE515" t="s">
        <v>10214</v>
      </c>
      <c r="BF515" t="str">
        <f>HYPERLINK("http://dx.doi.org/10.1016/j.jas.2013.05.023","http://dx.doi.org/10.1016/j.jas.2013.05.023")</f>
        <v>http://dx.doi.org/10.1016/j.jas.2013.05.023</v>
      </c>
      <c r="BG515" t="s">
        <v>74</v>
      </c>
      <c r="BH515" t="s">
        <v>74</v>
      </c>
      <c r="BI515">
        <v>14</v>
      </c>
      <c r="BJ515" t="s">
        <v>6894</v>
      </c>
      <c r="BK515" t="s">
        <v>6895</v>
      </c>
      <c r="BL515" t="s">
        <v>6896</v>
      </c>
      <c r="BM515" t="s">
        <v>10215</v>
      </c>
      <c r="BN515" t="s">
        <v>74</v>
      </c>
      <c r="BO515" t="s">
        <v>8305</v>
      </c>
      <c r="BP515" t="s">
        <v>74</v>
      </c>
      <c r="BQ515" t="s">
        <v>74</v>
      </c>
      <c r="BR515" t="s">
        <v>103</v>
      </c>
      <c r="BS515" t="s">
        <v>10216</v>
      </c>
      <c r="BT515" t="str">
        <f>HYPERLINK("https%3A%2F%2Fwww.webofscience.com%2Fwos%2Fwoscc%2Ffull-record%2FWOS:000324358400014","View Full Record in Web of Science")</f>
        <v>View Full Record in Web of Science</v>
      </c>
    </row>
    <row r="516" spans="1:72" x14ac:dyDescent="0.15">
      <c r="A516" t="s">
        <v>72</v>
      </c>
      <c r="B516" t="s">
        <v>10217</v>
      </c>
      <c r="C516" t="s">
        <v>74</v>
      </c>
      <c r="D516" t="s">
        <v>74</v>
      </c>
      <c r="E516" t="s">
        <v>74</v>
      </c>
      <c r="F516" t="s">
        <v>10218</v>
      </c>
      <c r="G516" t="s">
        <v>74</v>
      </c>
      <c r="H516" t="s">
        <v>74</v>
      </c>
      <c r="I516" t="s">
        <v>10219</v>
      </c>
      <c r="J516" t="s">
        <v>10220</v>
      </c>
      <c r="K516" t="s">
        <v>74</v>
      </c>
      <c r="L516" t="s">
        <v>74</v>
      </c>
      <c r="M516" t="s">
        <v>78</v>
      </c>
      <c r="N516" t="s">
        <v>79</v>
      </c>
      <c r="O516" t="s">
        <v>74</v>
      </c>
      <c r="P516" t="s">
        <v>74</v>
      </c>
      <c r="Q516" t="s">
        <v>74</v>
      </c>
      <c r="R516" t="s">
        <v>74</v>
      </c>
      <c r="S516" t="s">
        <v>74</v>
      </c>
      <c r="T516" t="s">
        <v>10221</v>
      </c>
      <c r="U516" t="s">
        <v>10222</v>
      </c>
      <c r="V516" t="s">
        <v>10223</v>
      </c>
      <c r="W516" t="s">
        <v>10224</v>
      </c>
      <c r="X516" t="s">
        <v>10225</v>
      </c>
      <c r="Y516" t="s">
        <v>10226</v>
      </c>
      <c r="Z516" t="s">
        <v>10227</v>
      </c>
      <c r="AA516" t="s">
        <v>10228</v>
      </c>
      <c r="AB516" t="s">
        <v>10229</v>
      </c>
      <c r="AC516" t="s">
        <v>10230</v>
      </c>
      <c r="AD516" t="s">
        <v>10231</v>
      </c>
      <c r="AE516" t="s">
        <v>10232</v>
      </c>
      <c r="AF516" t="s">
        <v>74</v>
      </c>
      <c r="AG516">
        <v>43</v>
      </c>
      <c r="AH516">
        <v>26</v>
      </c>
      <c r="AI516">
        <v>31</v>
      </c>
      <c r="AJ516">
        <v>0</v>
      </c>
      <c r="AK516">
        <v>22</v>
      </c>
      <c r="AL516" t="s">
        <v>1495</v>
      </c>
      <c r="AM516" t="s">
        <v>1496</v>
      </c>
      <c r="AN516" t="s">
        <v>1497</v>
      </c>
      <c r="AO516" t="s">
        <v>10233</v>
      </c>
      <c r="AP516" t="s">
        <v>10234</v>
      </c>
      <c r="AQ516" t="s">
        <v>74</v>
      </c>
      <c r="AR516" t="s">
        <v>10235</v>
      </c>
      <c r="AS516" t="s">
        <v>10236</v>
      </c>
      <c r="AT516" t="s">
        <v>8425</v>
      </c>
      <c r="AU516">
        <v>2013</v>
      </c>
      <c r="AV516">
        <v>30</v>
      </c>
      <c r="AW516">
        <v>11</v>
      </c>
      <c r="AX516" t="s">
        <v>74</v>
      </c>
      <c r="AY516" t="s">
        <v>74</v>
      </c>
      <c r="AZ516" t="s">
        <v>74</v>
      </c>
      <c r="BA516" t="s">
        <v>74</v>
      </c>
      <c r="BB516">
        <v>2647</v>
      </c>
      <c r="BC516">
        <v>2661</v>
      </c>
      <c r="BD516" t="s">
        <v>74</v>
      </c>
      <c r="BE516" t="s">
        <v>10237</v>
      </c>
      <c r="BF516" t="str">
        <f>HYPERLINK("http://dx.doi.org/10.1175/JTECH-D-12-00241.1","http://dx.doi.org/10.1175/JTECH-D-12-00241.1")</f>
        <v>http://dx.doi.org/10.1175/JTECH-D-12-00241.1</v>
      </c>
      <c r="BG516" t="s">
        <v>74</v>
      </c>
      <c r="BH516" t="s">
        <v>74</v>
      </c>
      <c r="BI516">
        <v>15</v>
      </c>
      <c r="BJ516" t="s">
        <v>10238</v>
      </c>
      <c r="BK516" t="s">
        <v>99</v>
      </c>
      <c r="BL516" t="s">
        <v>10239</v>
      </c>
      <c r="BM516" t="s">
        <v>10240</v>
      </c>
      <c r="BN516" t="s">
        <v>74</v>
      </c>
      <c r="BO516" t="s">
        <v>2362</v>
      </c>
      <c r="BP516" t="s">
        <v>74</v>
      </c>
      <c r="BQ516" t="s">
        <v>74</v>
      </c>
      <c r="BR516" t="s">
        <v>103</v>
      </c>
      <c r="BS516" t="s">
        <v>10241</v>
      </c>
      <c r="BT516" t="str">
        <f>HYPERLINK("https%3A%2F%2Fwww.webofscience.com%2Fwos%2Fwoscc%2Ffull-record%2FWOS:000326951400011","View Full Record in Web of Science")</f>
        <v>View Full Record in Web of Science</v>
      </c>
    </row>
    <row r="517" spans="1:72" x14ac:dyDescent="0.15">
      <c r="A517" t="s">
        <v>72</v>
      </c>
      <c r="B517" t="s">
        <v>10242</v>
      </c>
      <c r="C517" t="s">
        <v>74</v>
      </c>
      <c r="D517" t="s">
        <v>74</v>
      </c>
      <c r="E517" t="s">
        <v>74</v>
      </c>
      <c r="F517" t="s">
        <v>10243</v>
      </c>
      <c r="G517" t="s">
        <v>74</v>
      </c>
      <c r="H517" t="s">
        <v>74</v>
      </c>
      <c r="I517" t="s">
        <v>10244</v>
      </c>
      <c r="J517" t="s">
        <v>10220</v>
      </c>
      <c r="K517" t="s">
        <v>74</v>
      </c>
      <c r="L517" t="s">
        <v>74</v>
      </c>
      <c r="M517" t="s">
        <v>78</v>
      </c>
      <c r="N517" t="s">
        <v>79</v>
      </c>
      <c r="O517" t="s">
        <v>74</v>
      </c>
      <c r="P517" t="s">
        <v>74</v>
      </c>
      <c r="Q517" t="s">
        <v>74</v>
      </c>
      <c r="R517" t="s">
        <v>74</v>
      </c>
      <c r="S517" t="s">
        <v>74</v>
      </c>
      <c r="T517" t="s">
        <v>10245</v>
      </c>
      <c r="U517" t="s">
        <v>10246</v>
      </c>
      <c r="V517" t="s">
        <v>10247</v>
      </c>
      <c r="W517" t="s">
        <v>10248</v>
      </c>
      <c r="X517" t="s">
        <v>10249</v>
      </c>
      <c r="Y517" t="s">
        <v>10250</v>
      </c>
      <c r="Z517" t="s">
        <v>10251</v>
      </c>
      <c r="AA517" t="s">
        <v>10252</v>
      </c>
      <c r="AB517" t="s">
        <v>10253</v>
      </c>
      <c r="AC517" t="s">
        <v>10254</v>
      </c>
      <c r="AD517" t="s">
        <v>10255</v>
      </c>
      <c r="AE517" t="s">
        <v>10256</v>
      </c>
      <c r="AF517" t="s">
        <v>74</v>
      </c>
      <c r="AG517">
        <v>36</v>
      </c>
      <c r="AH517">
        <v>83</v>
      </c>
      <c r="AI517">
        <v>91</v>
      </c>
      <c r="AJ517">
        <v>0</v>
      </c>
      <c r="AK517">
        <v>21</v>
      </c>
      <c r="AL517" t="s">
        <v>1495</v>
      </c>
      <c r="AM517" t="s">
        <v>1496</v>
      </c>
      <c r="AN517" t="s">
        <v>1497</v>
      </c>
      <c r="AO517" t="s">
        <v>10233</v>
      </c>
      <c r="AP517" t="s">
        <v>10234</v>
      </c>
      <c r="AQ517" t="s">
        <v>74</v>
      </c>
      <c r="AR517" t="s">
        <v>10235</v>
      </c>
      <c r="AS517" t="s">
        <v>10236</v>
      </c>
      <c r="AT517" t="s">
        <v>8425</v>
      </c>
      <c r="AU517">
        <v>2013</v>
      </c>
      <c r="AV517">
        <v>30</v>
      </c>
      <c r="AW517">
        <v>11</v>
      </c>
      <c r="AX517" t="s">
        <v>74</v>
      </c>
      <c r="AY517" t="s">
        <v>74</v>
      </c>
      <c r="AZ517" t="s">
        <v>74</v>
      </c>
      <c r="BA517" t="s">
        <v>74</v>
      </c>
      <c r="BB517">
        <v>2676</v>
      </c>
      <c r="BC517">
        <v>2688</v>
      </c>
      <c r="BD517" t="s">
        <v>74</v>
      </c>
      <c r="BE517" t="s">
        <v>10257</v>
      </c>
      <c r="BF517" t="str">
        <f>HYPERLINK("http://dx.doi.org/10.1175/JTECH-D-13-00058.1","http://dx.doi.org/10.1175/JTECH-D-13-00058.1")</f>
        <v>http://dx.doi.org/10.1175/JTECH-D-13-00058.1</v>
      </c>
      <c r="BG517" t="s">
        <v>74</v>
      </c>
      <c r="BH517" t="s">
        <v>74</v>
      </c>
      <c r="BI517">
        <v>13</v>
      </c>
      <c r="BJ517" t="s">
        <v>10238</v>
      </c>
      <c r="BK517" t="s">
        <v>99</v>
      </c>
      <c r="BL517" t="s">
        <v>10239</v>
      </c>
      <c r="BM517" t="s">
        <v>10240</v>
      </c>
      <c r="BN517" t="s">
        <v>74</v>
      </c>
      <c r="BO517" t="s">
        <v>475</v>
      </c>
      <c r="BP517" t="s">
        <v>74</v>
      </c>
      <c r="BQ517" t="s">
        <v>74</v>
      </c>
      <c r="BR517" t="s">
        <v>103</v>
      </c>
      <c r="BS517" t="s">
        <v>10258</v>
      </c>
      <c r="BT517" t="str">
        <f>HYPERLINK("https%3A%2F%2Fwww.webofscience.com%2Fwos%2Fwoscc%2Ffull-record%2FWOS:000326951400013","View Full Record in Web of Science")</f>
        <v>View Full Record in Web of Science</v>
      </c>
    </row>
    <row r="518" spans="1:72" x14ac:dyDescent="0.15">
      <c r="A518" t="s">
        <v>72</v>
      </c>
      <c r="B518" t="s">
        <v>10259</v>
      </c>
      <c r="C518" t="s">
        <v>74</v>
      </c>
      <c r="D518" t="s">
        <v>74</v>
      </c>
      <c r="E518" t="s">
        <v>74</v>
      </c>
      <c r="F518" t="s">
        <v>10260</v>
      </c>
      <c r="G518" t="s">
        <v>74</v>
      </c>
      <c r="H518" t="s">
        <v>74</v>
      </c>
      <c r="I518" t="s">
        <v>10261</v>
      </c>
      <c r="J518" t="s">
        <v>5566</v>
      </c>
      <c r="K518" t="s">
        <v>74</v>
      </c>
      <c r="L518" t="s">
        <v>74</v>
      </c>
      <c r="M518" t="s">
        <v>78</v>
      </c>
      <c r="N518" t="s">
        <v>79</v>
      </c>
      <c r="O518" t="s">
        <v>74</v>
      </c>
      <c r="P518" t="s">
        <v>74</v>
      </c>
      <c r="Q518" t="s">
        <v>74</v>
      </c>
      <c r="R518" t="s">
        <v>74</v>
      </c>
      <c r="S518" t="s">
        <v>74</v>
      </c>
      <c r="T518" t="s">
        <v>10262</v>
      </c>
      <c r="U518" t="s">
        <v>10263</v>
      </c>
      <c r="V518" t="s">
        <v>10264</v>
      </c>
      <c r="W518" t="s">
        <v>10265</v>
      </c>
      <c r="X518" t="s">
        <v>10266</v>
      </c>
      <c r="Y518" t="s">
        <v>10267</v>
      </c>
      <c r="Z518" t="s">
        <v>10268</v>
      </c>
      <c r="AA518" t="s">
        <v>10269</v>
      </c>
      <c r="AB518" t="s">
        <v>10270</v>
      </c>
      <c r="AC518" t="s">
        <v>74</v>
      </c>
      <c r="AD518" t="s">
        <v>74</v>
      </c>
      <c r="AE518" t="s">
        <v>74</v>
      </c>
      <c r="AF518" t="s">
        <v>74</v>
      </c>
      <c r="AG518">
        <v>42</v>
      </c>
      <c r="AH518">
        <v>9</v>
      </c>
      <c r="AI518">
        <v>9</v>
      </c>
      <c r="AJ518">
        <v>1</v>
      </c>
      <c r="AK518">
        <v>29</v>
      </c>
      <c r="AL518" t="s">
        <v>872</v>
      </c>
      <c r="AM518" t="s">
        <v>252</v>
      </c>
      <c r="AN518" t="s">
        <v>873</v>
      </c>
      <c r="AO518" t="s">
        <v>5577</v>
      </c>
      <c r="AP518" t="s">
        <v>5578</v>
      </c>
      <c r="AQ518" t="s">
        <v>74</v>
      </c>
      <c r="AR518" t="s">
        <v>5579</v>
      </c>
      <c r="AS518" t="s">
        <v>5580</v>
      </c>
      <c r="AT518" t="s">
        <v>8425</v>
      </c>
      <c r="AU518">
        <v>2013</v>
      </c>
      <c r="AV518">
        <v>104</v>
      </c>
      <c r="AW518" t="s">
        <v>74</v>
      </c>
      <c r="AX518" t="s">
        <v>74</v>
      </c>
      <c r="AY518" t="s">
        <v>74</v>
      </c>
      <c r="AZ518" t="s">
        <v>74</v>
      </c>
      <c r="BA518" t="s">
        <v>74</v>
      </c>
      <c r="BB518">
        <v>18</v>
      </c>
      <c r="BC518">
        <v>28</v>
      </c>
      <c r="BD518" t="s">
        <v>74</v>
      </c>
      <c r="BE518" t="s">
        <v>10271</v>
      </c>
      <c r="BF518" t="str">
        <f>HYPERLINK("http://dx.doi.org/10.1016/j.jastp.2013.08.004","http://dx.doi.org/10.1016/j.jastp.2013.08.004")</f>
        <v>http://dx.doi.org/10.1016/j.jastp.2013.08.004</v>
      </c>
      <c r="BG518" t="s">
        <v>74</v>
      </c>
      <c r="BH518" t="s">
        <v>74</v>
      </c>
      <c r="BI518">
        <v>11</v>
      </c>
      <c r="BJ518" t="s">
        <v>5582</v>
      </c>
      <c r="BK518" t="s">
        <v>99</v>
      </c>
      <c r="BL518" t="s">
        <v>5582</v>
      </c>
      <c r="BM518" t="s">
        <v>9069</v>
      </c>
      <c r="BN518" t="s">
        <v>74</v>
      </c>
      <c r="BO518" t="s">
        <v>74</v>
      </c>
      <c r="BP518" t="s">
        <v>74</v>
      </c>
      <c r="BQ518" t="s">
        <v>74</v>
      </c>
      <c r="BR518" t="s">
        <v>103</v>
      </c>
      <c r="BS518" t="s">
        <v>10272</v>
      </c>
      <c r="BT518" t="str">
        <f>HYPERLINK("https%3A%2F%2Fwww.webofscience.com%2Fwos%2Fwoscc%2Ffull-record%2FWOS:000327232100003","View Full Record in Web of Science")</f>
        <v>View Full Record in Web of Science</v>
      </c>
    </row>
    <row r="519" spans="1:72" x14ac:dyDescent="0.15">
      <c r="A519" t="s">
        <v>72</v>
      </c>
      <c r="B519" t="s">
        <v>10273</v>
      </c>
      <c r="C519" t="s">
        <v>74</v>
      </c>
      <c r="D519" t="s">
        <v>74</v>
      </c>
      <c r="E519" t="s">
        <v>74</v>
      </c>
      <c r="F519" t="s">
        <v>10274</v>
      </c>
      <c r="G519" t="s">
        <v>74</v>
      </c>
      <c r="H519" t="s">
        <v>74</v>
      </c>
      <c r="I519" t="s">
        <v>10275</v>
      </c>
      <c r="J519" t="s">
        <v>10276</v>
      </c>
      <c r="K519" t="s">
        <v>74</v>
      </c>
      <c r="L519" t="s">
        <v>74</v>
      </c>
      <c r="M519" t="s">
        <v>78</v>
      </c>
      <c r="N519" t="s">
        <v>79</v>
      </c>
      <c r="O519" t="s">
        <v>74</v>
      </c>
      <c r="P519" t="s">
        <v>74</v>
      </c>
      <c r="Q519" t="s">
        <v>74</v>
      </c>
      <c r="R519" t="s">
        <v>74</v>
      </c>
      <c r="S519" t="s">
        <v>74</v>
      </c>
      <c r="T519" t="s">
        <v>74</v>
      </c>
      <c r="U519" t="s">
        <v>10277</v>
      </c>
      <c r="V519" t="s">
        <v>10278</v>
      </c>
      <c r="W519" t="s">
        <v>10279</v>
      </c>
      <c r="X519" t="s">
        <v>10280</v>
      </c>
      <c r="Y519" t="s">
        <v>10281</v>
      </c>
      <c r="Z519" t="s">
        <v>10282</v>
      </c>
      <c r="AA519" t="s">
        <v>10283</v>
      </c>
      <c r="AB519" t="s">
        <v>10284</v>
      </c>
      <c r="AC519" t="s">
        <v>10285</v>
      </c>
      <c r="AD519" t="s">
        <v>10286</v>
      </c>
      <c r="AE519" t="s">
        <v>10287</v>
      </c>
      <c r="AF519" t="s">
        <v>74</v>
      </c>
      <c r="AG519">
        <v>73</v>
      </c>
      <c r="AH519">
        <v>28</v>
      </c>
      <c r="AI519">
        <v>32</v>
      </c>
      <c r="AJ519">
        <v>0</v>
      </c>
      <c r="AK519">
        <v>35</v>
      </c>
      <c r="AL519" t="s">
        <v>410</v>
      </c>
      <c r="AM519" t="s">
        <v>411</v>
      </c>
      <c r="AN519" t="s">
        <v>412</v>
      </c>
      <c r="AO519" t="s">
        <v>10288</v>
      </c>
      <c r="AP519" t="s">
        <v>10289</v>
      </c>
      <c r="AQ519" t="s">
        <v>74</v>
      </c>
      <c r="AR519" t="s">
        <v>10290</v>
      </c>
      <c r="AS519" t="s">
        <v>10291</v>
      </c>
      <c r="AT519" t="s">
        <v>8425</v>
      </c>
      <c r="AU519">
        <v>2013</v>
      </c>
      <c r="AV519">
        <v>44</v>
      </c>
      <c r="AW519">
        <v>6</v>
      </c>
      <c r="AX519" t="s">
        <v>74</v>
      </c>
      <c r="AY519" t="s">
        <v>74</v>
      </c>
      <c r="AZ519" t="s">
        <v>74</v>
      </c>
      <c r="BA519" t="s">
        <v>74</v>
      </c>
      <c r="BB519">
        <v>531</v>
      </c>
      <c r="BC519">
        <v>540</v>
      </c>
      <c r="BD519" t="s">
        <v>74</v>
      </c>
      <c r="BE519" t="s">
        <v>10292</v>
      </c>
      <c r="BF519" t="str">
        <f>HYPERLINK("http://dx.doi.org/10.1111/j.1600-048X.2013.00135.x","http://dx.doi.org/10.1111/j.1600-048X.2013.00135.x")</f>
        <v>http://dx.doi.org/10.1111/j.1600-048X.2013.00135.x</v>
      </c>
      <c r="BG519" t="s">
        <v>74</v>
      </c>
      <c r="BH519" t="s">
        <v>74</v>
      </c>
      <c r="BI519">
        <v>10</v>
      </c>
      <c r="BJ519" t="s">
        <v>447</v>
      </c>
      <c r="BK519" t="s">
        <v>99</v>
      </c>
      <c r="BL519" t="s">
        <v>448</v>
      </c>
      <c r="BM519" t="s">
        <v>10293</v>
      </c>
      <c r="BN519" t="s">
        <v>74</v>
      </c>
      <c r="BO519" t="s">
        <v>74</v>
      </c>
      <c r="BP519" t="s">
        <v>74</v>
      </c>
      <c r="BQ519" t="s">
        <v>74</v>
      </c>
      <c r="BR519" t="s">
        <v>103</v>
      </c>
      <c r="BS519" t="s">
        <v>10294</v>
      </c>
      <c r="BT519" t="str">
        <f>HYPERLINK("https%3A%2F%2Fwww.webofscience.com%2Fwos%2Fwoscc%2Ffull-record%2FWOS:000327221300003","View Full Record in Web of Science")</f>
        <v>View Full Record in Web of Science</v>
      </c>
    </row>
    <row r="520" spans="1:72" x14ac:dyDescent="0.15">
      <c r="A520" t="s">
        <v>72</v>
      </c>
      <c r="B520" t="s">
        <v>10295</v>
      </c>
      <c r="C520" t="s">
        <v>74</v>
      </c>
      <c r="D520" t="s">
        <v>74</v>
      </c>
      <c r="E520" t="s">
        <v>74</v>
      </c>
      <c r="F520" t="s">
        <v>10296</v>
      </c>
      <c r="G520" t="s">
        <v>74</v>
      </c>
      <c r="H520" t="s">
        <v>74</v>
      </c>
      <c r="I520" t="s">
        <v>10297</v>
      </c>
      <c r="J520" t="s">
        <v>10276</v>
      </c>
      <c r="K520" t="s">
        <v>74</v>
      </c>
      <c r="L520" t="s">
        <v>74</v>
      </c>
      <c r="M520" t="s">
        <v>78</v>
      </c>
      <c r="N520" t="s">
        <v>79</v>
      </c>
      <c r="O520" t="s">
        <v>74</v>
      </c>
      <c r="P520" t="s">
        <v>74</v>
      </c>
      <c r="Q520" t="s">
        <v>74</v>
      </c>
      <c r="R520" t="s">
        <v>74</v>
      </c>
      <c r="S520" t="s">
        <v>74</v>
      </c>
      <c r="T520" t="s">
        <v>74</v>
      </c>
      <c r="U520" t="s">
        <v>10298</v>
      </c>
      <c r="V520" t="s">
        <v>10299</v>
      </c>
      <c r="W520" t="s">
        <v>10300</v>
      </c>
      <c r="X520" t="s">
        <v>10301</v>
      </c>
      <c r="Y520" t="s">
        <v>10302</v>
      </c>
      <c r="Z520" t="s">
        <v>10303</v>
      </c>
      <c r="AA520" t="s">
        <v>10304</v>
      </c>
      <c r="AB520" t="s">
        <v>10305</v>
      </c>
      <c r="AC520" t="s">
        <v>10306</v>
      </c>
      <c r="AD520" t="s">
        <v>10307</v>
      </c>
      <c r="AE520" t="s">
        <v>10308</v>
      </c>
      <c r="AF520" t="s">
        <v>74</v>
      </c>
      <c r="AG520">
        <v>37</v>
      </c>
      <c r="AH520">
        <v>10</v>
      </c>
      <c r="AI520">
        <v>11</v>
      </c>
      <c r="AJ520">
        <v>2</v>
      </c>
      <c r="AK520">
        <v>31</v>
      </c>
      <c r="AL520" t="s">
        <v>410</v>
      </c>
      <c r="AM520" t="s">
        <v>411</v>
      </c>
      <c r="AN520" t="s">
        <v>412</v>
      </c>
      <c r="AO520" t="s">
        <v>10288</v>
      </c>
      <c r="AP520" t="s">
        <v>10289</v>
      </c>
      <c r="AQ520" t="s">
        <v>74</v>
      </c>
      <c r="AR520" t="s">
        <v>10290</v>
      </c>
      <c r="AS520" t="s">
        <v>10291</v>
      </c>
      <c r="AT520" t="s">
        <v>8425</v>
      </c>
      <c r="AU520">
        <v>2013</v>
      </c>
      <c r="AV520">
        <v>44</v>
      </c>
      <c r="AW520">
        <v>6</v>
      </c>
      <c r="AX520" t="s">
        <v>74</v>
      </c>
      <c r="AY520" t="s">
        <v>74</v>
      </c>
      <c r="AZ520" t="s">
        <v>74</v>
      </c>
      <c r="BA520" t="s">
        <v>74</v>
      </c>
      <c r="BB520">
        <v>603</v>
      </c>
      <c r="BC520">
        <v>608</v>
      </c>
      <c r="BD520" t="s">
        <v>74</v>
      </c>
      <c r="BE520" t="s">
        <v>10309</v>
      </c>
      <c r="BF520" t="str">
        <f>HYPERLINK("http://dx.doi.org/10.1111/j.1600-048X.2013.00103.x","http://dx.doi.org/10.1111/j.1600-048X.2013.00103.x")</f>
        <v>http://dx.doi.org/10.1111/j.1600-048X.2013.00103.x</v>
      </c>
      <c r="BG520" t="s">
        <v>74</v>
      </c>
      <c r="BH520" t="s">
        <v>74</v>
      </c>
      <c r="BI520">
        <v>6</v>
      </c>
      <c r="BJ520" t="s">
        <v>447</v>
      </c>
      <c r="BK520" t="s">
        <v>99</v>
      </c>
      <c r="BL520" t="s">
        <v>448</v>
      </c>
      <c r="BM520" t="s">
        <v>10293</v>
      </c>
      <c r="BN520" t="s">
        <v>74</v>
      </c>
      <c r="BO520" t="s">
        <v>450</v>
      </c>
      <c r="BP520" t="s">
        <v>74</v>
      </c>
      <c r="BQ520" t="s">
        <v>74</v>
      </c>
      <c r="BR520" t="s">
        <v>103</v>
      </c>
      <c r="BS520" t="s">
        <v>10310</v>
      </c>
      <c r="BT520" t="str">
        <f>HYPERLINK("https%3A%2F%2Fwww.webofscience.com%2Fwos%2Fwoscc%2Ffull-record%2FWOS:000327221300012","View Full Record in Web of Science")</f>
        <v>View Full Record in Web of Science</v>
      </c>
    </row>
    <row r="521" spans="1:72" x14ac:dyDescent="0.15">
      <c r="A521" t="s">
        <v>72</v>
      </c>
      <c r="B521" t="s">
        <v>10311</v>
      </c>
      <c r="C521" t="s">
        <v>74</v>
      </c>
      <c r="D521" t="s">
        <v>74</v>
      </c>
      <c r="E521" t="s">
        <v>74</v>
      </c>
      <c r="F521" t="s">
        <v>10312</v>
      </c>
      <c r="G521" t="s">
        <v>74</v>
      </c>
      <c r="H521" t="s">
        <v>74</v>
      </c>
      <c r="I521" t="s">
        <v>10313</v>
      </c>
      <c r="J521" t="s">
        <v>1595</v>
      </c>
      <c r="K521" t="s">
        <v>74</v>
      </c>
      <c r="L521" t="s">
        <v>74</v>
      </c>
      <c r="M521" t="s">
        <v>78</v>
      </c>
      <c r="N521" t="s">
        <v>79</v>
      </c>
      <c r="O521" t="s">
        <v>74</v>
      </c>
      <c r="P521" t="s">
        <v>74</v>
      </c>
      <c r="Q521" t="s">
        <v>74</v>
      </c>
      <c r="R521" t="s">
        <v>74</v>
      </c>
      <c r="S521" t="s">
        <v>74</v>
      </c>
      <c r="T521" t="s">
        <v>10314</v>
      </c>
      <c r="U521" t="s">
        <v>10315</v>
      </c>
      <c r="V521" t="s">
        <v>10316</v>
      </c>
      <c r="W521" t="s">
        <v>10317</v>
      </c>
      <c r="X521" t="s">
        <v>10318</v>
      </c>
      <c r="Y521" t="s">
        <v>10319</v>
      </c>
      <c r="Z521" t="s">
        <v>10320</v>
      </c>
      <c r="AA521" t="s">
        <v>10321</v>
      </c>
      <c r="AB521" t="s">
        <v>10322</v>
      </c>
      <c r="AC521" t="s">
        <v>10323</v>
      </c>
      <c r="AD521" t="s">
        <v>10324</v>
      </c>
      <c r="AE521" t="s">
        <v>10325</v>
      </c>
      <c r="AF521" t="s">
        <v>74</v>
      </c>
      <c r="AG521">
        <v>25</v>
      </c>
      <c r="AH521">
        <v>7</v>
      </c>
      <c r="AI521">
        <v>7</v>
      </c>
      <c r="AJ521">
        <v>0</v>
      </c>
      <c r="AK521">
        <v>7</v>
      </c>
      <c r="AL521" t="s">
        <v>1606</v>
      </c>
      <c r="AM521" t="s">
        <v>808</v>
      </c>
      <c r="AN521" t="s">
        <v>1607</v>
      </c>
      <c r="AO521" t="s">
        <v>1608</v>
      </c>
      <c r="AP521" t="s">
        <v>1609</v>
      </c>
      <c r="AQ521" t="s">
        <v>74</v>
      </c>
      <c r="AR521" t="s">
        <v>1610</v>
      </c>
      <c r="AS521" t="s">
        <v>1611</v>
      </c>
      <c r="AT521" t="s">
        <v>8425</v>
      </c>
      <c r="AU521">
        <v>2013</v>
      </c>
      <c r="AV521">
        <v>118</v>
      </c>
      <c r="AW521">
        <v>11</v>
      </c>
      <c r="AX521" t="s">
        <v>74</v>
      </c>
      <c r="AY521" t="s">
        <v>74</v>
      </c>
      <c r="AZ521" t="s">
        <v>74</v>
      </c>
      <c r="BA521" t="s">
        <v>74</v>
      </c>
      <c r="BB521">
        <v>5924</v>
      </c>
      <c r="BC521">
        <v>5930</v>
      </c>
      <c r="BD521" t="s">
        <v>74</v>
      </c>
      <c r="BE521" t="s">
        <v>10326</v>
      </c>
      <c r="BF521" t="str">
        <f>HYPERLINK("http://dx.doi.org/10.1002/2013JC009282","http://dx.doi.org/10.1002/2013JC009282")</f>
        <v>http://dx.doi.org/10.1002/2013JC009282</v>
      </c>
      <c r="BG521" t="s">
        <v>74</v>
      </c>
      <c r="BH521" t="s">
        <v>74</v>
      </c>
      <c r="BI521">
        <v>7</v>
      </c>
      <c r="BJ521" t="s">
        <v>1613</v>
      </c>
      <c r="BK521" t="s">
        <v>99</v>
      </c>
      <c r="BL521" t="s">
        <v>1613</v>
      </c>
      <c r="BM521" t="s">
        <v>10327</v>
      </c>
      <c r="BN521" t="s">
        <v>74</v>
      </c>
      <c r="BO521" t="s">
        <v>831</v>
      </c>
      <c r="BP521" t="s">
        <v>74</v>
      </c>
      <c r="BQ521" t="s">
        <v>74</v>
      </c>
      <c r="BR521" t="s">
        <v>103</v>
      </c>
      <c r="BS521" t="s">
        <v>10328</v>
      </c>
      <c r="BT521" t="str">
        <f>HYPERLINK("https%3A%2F%2Fwww.webofscience.com%2Fwos%2Fwoscc%2Ffull-record%2FWOS:000329867900005","View Full Record in Web of Science")</f>
        <v>View Full Record in Web of Science</v>
      </c>
    </row>
    <row r="522" spans="1:72" x14ac:dyDescent="0.15">
      <c r="A522" t="s">
        <v>72</v>
      </c>
      <c r="B522" t="s">
        <v>10329</v>
      </c>
      <c r="C522" t="s">
        <v>74</v>
      </c>
      <c r="D522" t="s">
        <v>74</v>
      </c>
      <c r="E522" t="s">
        <v>74</v>
      </c>
      <c r="F522" t="s">
        <v>10330</v>
      </c>
      <c r="G522" t="s">
        <v>74</v>
      </c>
      <c r="H522" t="s">
        <v>74</v>
      </c>
      <c r="I522" t="s">
        <v>10331</v>
      </c>
      <c r="J522" t="s">
        <v>1595</v>
      </c>
      <c r="K522" t="s">
        <v>74</v>
      </c>
      <c r="L522" t="s">
        <v>74</v>
      </c>
      <c r="M522" t="s">
        <v>78</v>
      </c>
      <c r="N522" t="s">
        <v>79</v>
      </c>
      <c r="O522" t="s">
        <v>74</v>
      </c>
      <c r="P522" t="s">
        <v>74</v>
      </c>
      <c r="Q522" t="s">
        <v>74</v>
      </c>
      <c r="R522" t="s">
        <v>74</v>
      </c>
      <c r="S522" t="s">
        <v>74</v>
      </c>
      <c r="T522" t="s">
        <v>10332</v>
      </c>
      <c r="U522" t="s">
        <v>10333</v>
      </c>
      <c r="V522" t="s">
        <v>10334</v>
      </c>
      <c r="W522" t="s">
        <v>10335</v>
      </c>
      <c r="X522" t="s">
        <v>10336</v>
      </c>
      <c r="Y522" t="s">
        <v>10337</v>
      </c>
      <c r="Z522" t="s">
        <v>10338</v>
      </c>
      <c r="AA522" t="s">
        <v>10339</v>
      </c>
      <c r="AB522" t="s">
        <v>10340</v>
      </c>
      <c r="AC522" t="s">
        <v>10341</v>
      </c>
      <c r="AD522" t="s">
        <v>10342</v>
      </c>
      <c r="AE522" t="s">
        <v>10343</v>
      </c>
      <c r="AF522" t="s">
        <v>74</v>
      </c>
      <c r="AG522">
        <v>52</v>
      </c>
      <c r="AH522">
        <v>32</v>
      </c>
      <c r="AI522">
        <v>34</v>
      </c>
      <c r="AJ522">
        <v>0</v>
      </c>
      <c r="AK522">
        <v>12</v>
      </c>
      <c r="AL522" t="s">
        <v>1606</v>
      </c>
      <c r="AM522" t="s">
        <v>808</v>
      </c>
      <c r="AN522" t="s">
        <v>1607</v>
      </c>
      <c r="AO522" t="s">
        <v>1608</v>
      </c>
      <c r="AP522" t="s">
        <v>1609</v>
      </c>
      <c r="AQ522" t="s">
        <v>74</v>
      </c>
      <c r="AR522" t="s">
        <v>1610</v>
      </c>
      <c r="AS522" t="s">
        <v>1611</v>
      </c>
      <c r="AT522" t="s">
        <v>8425</v>
      </c>
      <c r="AU522">
        <v>2013</v>
      </c>
      <c r="AV522">
        <v>118</v>
      </c>
      <c r="AW522">
        <v>11</v>
      </c>
      <c r="AX522" t="s">
        <v>74</v>
      </c>
      <c r="AY522" t="s">
        <v>74</v>
      </c>
      <c r="AZ522" t="s">
        <v>74</v>
      </c>
      <c r="BA522" t="s">
        <v>74</v>
      </c>
      <c r="BB522">
        <v>6046</v>
      </c>
      <c r="BC522">
        <v>6063</v>
      </c>
      <c r="BD522" t="s">
        <v>74</v>
      </c>
      <c r="BE522" t="s">
        <v>10344</v>
      </c>
      <c r="BF522" t="str">
        <f>HYPERLINK("http://dx.doi.org/10.1002/2013JC009009","http://dx.doi.org/10.1002/2013JC009009")</f>
        <v>http://dx.doi.org/10.1002/2013JC009009</v>
      </c>
      <c r="BG522" t="s">
        <v>74</v>
      </c>
      <c r="BH522" t="s">
        <v>74</v>
      </c>
      <c r="BI522">
        <v>18</v>
      </c>
      <c r="BJ522" t="s">
        <v>1613</v>
      </c>
      <c r="BK522" t="s">
        <v>99</v>
      </c>
      <c r="BL522" t="s">
        <v>1613</v>
      </c>
      <c r="BM522" t="s">
        <v>10327</v>
      </c>
      <c r="BN522" t="s">
        <v>74</v>
      </c>
      <c r="BO522" t="s">
        <v>1648</v>
      </c>
      <c r="BP522" t="s">
        <v>74</v>
      </c>
      <c r="BQ522" t="s">
        <v>74</v>
      </c>
      <c r="BR522" t="s">
        <v>103</v>
      </c>
      <c r="BS522" t="s">
        <v>10345</v>
      </c>
      <c r="BT522" t="str">
        <f>HYPERLINK("https%3A%2F%2Fwww.webofscience.com%2Fwos%2Fwoscc%2Ffull-record%2FWOS:000329867900014","View Full Record in Web of Science")</f>
        <v>View Full Record in Web of Science</v>
      </c>
    </row>
    <row r="523" spans="1:72" x14ac:dyDescent="0.15">
      <c r="A523" t="s">
        <v>72</v>
      </c>
      <c r="B523" t="s">
        <v>10346</v>
      </c>
      <c r="C523" t="s">
        <v>74</v>
      </c>
      <c r="D523" t="s">
        <v>74</v>
      </c>
      <c r="E523" t="s">
        <v>74</v>
      </c>
      <c r="F523" t="s">
        <v>10347</v>
      </c>
      <c r="G523" t="s">
        <v>74</v>
      </c>
      <c r="H523" t="s">
        <v>74</v>
      </c>
      <c r="I523" t="s">
        <v>10348</v>
      </c>
      <c r="J523" t="s">
        <v>1595</v>
      </c>
      <c r="K523" t="s">
        <v>74</v>
      </c>
      <c r="L523" t="s">
        <v>74</v>
      </c>
      <c r="M523" t="s">
        <v>78</v>
      </c>
      <c r="N523" t="s">
        <v>79</v>
      </c>
      <c r="O523" t="s">
        <v>74</v>
      </c>
      <c r="P523" t="s">
        <v>74</v>
      </c>
      <c r="Q523" t="s">
        <v>74</v>
      </c>
      <c r="R523" t="s">
        <v>74</v>
      </c>
      <c r="S523" t="s">
        <v>74</v>
      </c>
      <c r="T523" t="s">
        <v>10349</v>
      </c>
      <c r="U523" t="s">
        <v>10350</v>
      </c>
      <c r="V523" t="s">
        <v>10351</v>
      </c>
      <c r="W523" t="s">
        <v>10352</v>
      </c>
      <c r="X523" t="s">
        <v>10353</v>
      </c>
      <c r="Y523" t="s">
        <v>10354</v>
      </c>
      <c r="Z523" t="s">
        <v>10355</v>
      </c>
      <c r="AA523" t="s">
        <v>74</v>
      </c>
      <c r="AB523" t="s">
        <v>74</v>
      </c>
      <c r="AC523" t="s">
        <v>10356</v>
      </c>
      <c r="AD523" t="s">
        <v>10357</v>
      </c>
      <c r="AE523" t="s">
        <v>10358</v>
      </c>
      <c r="AF523" t="s">
        <v>74</v>
      </c>
      <c r="AG523">
        <v>67</v>
      </c>
      <c r="AH523">
        <v>10</v>
      </c>
      <c r="AI523">
        <v>10</v>
      </c>
      <c r="AJ523">
        <v>0</v>
      </c>
      <c r="AK523">
        <v>21</v>
      </c>
      <c r="AL523" t="s">
        <v>1606</v>
      </c>
      <c r="AM523" t="s">
        <v>808</v>
      </c>
      <c r="AN523" t="s">
        <v>1607</v>
      </c>
      <c r="AO523" t="s">
        <v>1608</v>
      </c>
      <c r="AP523" t="s">
        <v>1609</v>
      </c>
      <c r="AQ523" t="s">
        <v>74</v>
      </c>
      <c r="AR523" t="s">
        <v>1610</v>
      </c>
      <c r="AS523" t="s">
        <v>1611</v>
      </c>
      <c r="AT523" t="s">
        <v>8425</v>
      </c>
      <c r="AU523">
        <v>2013</v>
      </c>
      <c r="AV523">
        <v>118</v>
      </c>
      <c r="AW523">
        <v>11</v>
      </c>
      <c r="AX523" t="s">
        <v>74</v>
      </c>
      <c r="AY523" t="s">
        <v>74</v>
      </c>
      <c r="AZ523" t="s">
        <v>74</v>
      </c>
      <c r="BA523" t="s">
        <v>74</v>
      </c>
      <c r="BB523">
        <v>6285</v>
      </c>
      <c r="BC523">
        <v>6302</v>
      </c>
      <c r="BD523" t="s">
        <v>74</v>
      </c>
      <c r="BE523" t="s">
        <v>10359</v>
      </c>
      <c r="BF523" t="str">
        <f>HYPERLINK("http://dx.doi.org/10.1002/2013JC008823","http://dx.doi.org/10.1002/2013JC008823")</f>
        <v>http://dx.doi.org/10.1002/2013JC008823</v>
      </c>
      <c r="BG523" t="s">
        <v>74</v>
      </c>
      <c r="BH523" t="s">
        <v>74</v>
      </c>
      <c r="BI523">
        <v>18</v>
      </c>
      <c r="BJ523" t="s">
        <v>1613</v>
      </c>
      <c r="BK523" t="s">
        <v>99</v>
      </c>
      <c r="BL523" t="s">
        <v>1613</v>
      </c>
      <c r="BM523" t="s">
        <v>10327</v>
      </c>
      <c r="BN523" t="s">
        <v>74</v>
      </c>
      <c r="BO523" t="s">
        <v>475</v>
      </c>
      <c r="BP523" t="s">
        <v>74</v>
      </c>
      <c r="BQ523" t="s">
        <v>74</v>
      </c>
      <c r="BR523" t="s">
        <v>103</v>
      </c>
      <c r="BS523" t="s">
        <v>10360</v>
      </c>
      <c r="BT523" t="str">
        <f>HYPERLINK("https%3A%2F%2Fwww.webofscience.com%2Fwos%2Fwoscc%2Ffull-record%2FWOS:000329867900028","View Full Record in Web of Science")</f>
        <v>View Full Record in Web of Science</v>
      </c>
    </row>
    <row r="524" spans="1:72" x14ac:dyDescent="0.15">
      <c r="A524" t="s">
        <v>72</v>
      </c>
      <c r="B524" t="s">
        <v>10361</v>
      </c>
      <c r="C524" t="s">
        <v>74</v>
      </c>
      <c r="D524" t="s">
        <v>74</v>
      </c>
      <c r="E524" t="s">
        <v>74</v>
      </c>
      <c r="F524" t="s">
        <v>10362</v>
      </c>
      <c r="G524" t="s">
        <v>74</v>
      </c>
      <c r="H524" t="s">
        <v>74</v>
      </c>
      <c r="I524" t="s">
        <v>10363</v>
      </c>
      <c r="J524" t="s">
        <v>1595</v>
      </c>
      <c r="K524" t="s">
        <v>74</v>
      </c>
      <c r="L524" t="s">
        <v>74</v>
      </c>
      <c r="M524" t="s">
        <v>78</v>
      </c>
      <c r="N524" t="s">
        <v>79</v>
      </c>
      <c r="O524" t="s">
        <v>74</v>
      </c>
      <c r="P524" t="s">
        <v>74</v>
      </c>
      <c r="Q524" t="s">
        <v>74</v>
      </c>
      <c r="R524" t="s">
        <v>74</v>
      </c>
      <c r="S524" t="s">
        <v>74</v>
      </c>
      <c r="T524" t="s">
        <v>10364</v>
      </c>
      <c r="U524" t="s">
        <v>10365</v>
      </c>
      <c r="V524" t="s">
        <v>10366</v>
      </c>
      <c r="W524" t="s">
        <v>10367</v>
      </c>
      <c r="X524" t="s">
        <v>10368</v>
      </c>
      <c r="Y524" t="s">
        <v>10369</v>
      </c>
      <c r="Z524" t="s">
        <v>10370</v>
      </c>
      <c r="AA524" t="s">
        <v>10371</v>
      </c>
      <c r="AB524" t="s">
        <v>10372</v>
      </c>
      <c r="AC524" t="s">
        <v>10373</v>
      </c>
      <c r="AD524" t="s">
        <v>10374</v>
      </c>
      <c r="AE524" t="s">
        <v>10375</v>
      </c>
      <c r="AF524" t="s">
        <v>74</v>
      </c>
      <c r="AG524">
        <v>58</v>
      </c>
      <c r="AH524">
        <v>46</v>
      </c>
      <c r="AI524">
        <v>49</v>
      </c>
      <c r="AJ524">
        <v>0</v>
      </c>
      <c r="AK524">
        <v>30</v>
      </c>
      <c r="AL524" t="s">
        <v>1606</v>
      </c>
      <c r="AM524" t="s">
        <v>808</v>
      </c>
      <c r="AN524" t="s">
        <v>1607</v>
      </c>
      <c r="AO524" t="s">
        <v>1608</v>
      </c>
      <c r="AP524" t="s">
        <v>1609</v>
      </c>
      <c r="AQ524" t="s">
        <v>74</v>
      </c>
      <c r="AR524" t="s">
        <v>1610</v>
      </c>
      <c r="AS524" t="s">
        <v>1611</v>
      </c>
      <c r="AT524" t="s">
        <v>8425</v>
      </c>
      <c r="AU524">
        <v>2013</v>
      </c>
      <c r="AV524">
        <v>118</v>
      </c>
      <c r="AW524">
        <v>11</v>
      </c>
      <c r="AX524" t="s">
        <v>74</v>
      </c>
      <c r="AY524" t="s">
        <v>74</v>
      </c>
      <c r="AZ524" t="s">
        <v>74</v>
      </c>
      <c r="BA524" t="s">
        <v>74</v>
      </c>
      <c r="BB524">
        <v>6303</v>
      </c>
      <c r="BC524">
        <v>6318</v>
      </c>
      <c r="BD524" t="s">
        <v>74</v>
      </c>
      <c r="BE524" t="s">
        <v>10376</v>
      </c>
      <c r="BF524" t="str">
        <f>HYPERLINK("http://dx.doi.org/10.1002/2013JC009212","http://dx.doi.org/10.1002/2013JC009212")</f>
        <v>http://dx.doi.org/10.1002/2013JC009212</v>
      </c>
      <c r="BG524" t="s">
        <v>74</v>
      </c>
      <c r="BH524" t="s">
        <v>74</v>
      </c>
      <c r="BI524">
        <v>16</v>
      </c>
      <c r="BJ524" t="s">
        <v>1613</v>
      </c>
      <c r="BK524" t="s">
        <v>99</v>
      </c>
      <c r="BL524" t="s">
        <v>1613</v>
      </c>
      <c r="BM524" t="s">
        <v>10327</v>
      </c>
      <c r="BN524" t="s">
        <v>74</v>
      </c>
      <c r="BO524" t="s">
        <v>10377</v>
      </c>
      <c r="BP524" t="s">
        <v>74</v>
      </c>
      <c r="BQ524" t="s">
        <v>74</v>
      </c>
      <c r="BR524" t="s">
        <v>103</v>
      </c>
      <c r="BS524" t="s">
        <v>10378</v>
      </c>
      <c r="BT524" t="str">
        <f>HYPERLINK("https%3A%2F%2Fwww.webofscience.com%2Fwos%2Fwoscc%2Ffull-record%2FWOS:000329867900029","View Full Record in Web of Science")</f>
        <v>View Full Record in Web of Science</v>
      </c>
    </row>
    <row r="525" spans="1:72" x14ac:dyDescent="0.15">
      <c r="A525" t="s">
        <v>72</v>
      </c>
      <c r="B525" t="s">
        <v>10379</v>
      </c>
      <c r="C525" t="s">
        <v>74</v>
      </c>
      <c r="D525" t="s">
        <v>74</v>
      </c>
      <c r="E525" t="s">
        <v>74</v>
      </c>
      <c r="F525" t="s">
        <v>10380</v>
      </c>
      <c r="G525" t="s">
        <v>74</v>
      </c>
      <c r="H525" t="s">
        <v>74</v>
      </c>
      <c r="I525" t="s">
        <v>10381</v>
      </c>
      <c r="J525" t="s">
        <v>1688</v>
      </c>
      <c r="K525" t="s">
        <v>74</v>
      </c>
      <c r="L525" t="s">
        <v>74</v>
      </c>
      <c r="M525" t="s">
        <v>78</v>
      </c>
      <c r="N525" t="s">
        <v>79</v>
      </c>
      <c r="O525" t="s">
        <v>74</v>
      </c>
      <c r="P525" t="s">
        <v>74</v>
      </c>
      <c r="Q525" t="s">
        <v>74</v>
      </c>
      <c r="R525" t="s">
        <v>74</v>
      </c>
      <c r="S525" t="s">
        <v>74</v>
      </c>
      <c r="T525" t="s">
        <v>10382</v>
      </c>
      <c r="U525" t="s">
        <v>10383</v>
      </c>
      <c r="V525" t="s">
        <v>10384</v>
      </c>
      <c r="W525" t="s">
        <v>10385</v>
      </c>
      <c r="X525" t="s">
        <v>10386</v>
      </c>
      <c r="Y525" t="s">
        <v>10387</v>
      </c>
      <c r="Z525" t="s">
        <v>10388</v>
      </c>
      <c r="AA525" t="s">
        <v>10389</v>
      </c>
      <c r="AB525" t="s">
        <v>10390</v>
      </c>
      <c r="AC525" t="s">
        <v>10391</v>
      </c>
      <c r="AD525" t="s">
        <v>10392</v>
      </c>
      <c r="AE525" t="s">
        <v>10393</v>
      </c>
      <c r="AF525" t="s">
        <v>74</v>
      </c>
      <c r="AG525">
        <v>48</v>
      </c>
      <c r="AH525">
        <v>8</v>
      </c>
      <c r="AI525">
        <v>10</v>
      </c>
      <c r="AJ525">
        <v>0</v>
      </c>
      <c r="AK525">
        <v>6</v>
      </c>
      <c r="AL525" t="s">
        <v>1606</v>
      </c>
      <c r="AM525" t="s">
        <v>808</v>
      </c>
      <c r="AN525" t="s">
        <v>1607</v>
      </c>
      <c r="AO525" t="s">
        <v>1700</v>
      </c>
      <c r="AP525" t="s">
        <v>1701</v>
      </c>
      <c r="AQ525" t="s">
        <v>74</v>
      </c>
      <c r="AR525" t="s">
        <v>1702</v>
      </c>
      <c r="AS525" t="s">
        <v>1703</v>
      </c>
      <c r="AT525" t="s">
        <v>8425</v>
      </c>
      <c r="AU525">
        <v>2013</v>
      </c>
      <c r="AV525">
        <v>118</v>
      </c>
      <c r="AW525">
        <v>11</v>
      </c>
      <c r="AX525" t="s">
        <v>74</v>
      </c>
      <c r="AY525" t="s">
        <v>74</v>
      </c>
      <c r="AZ525" t="s">
        <v>74</v>
      </c>
      <c r="BA525" t="s">
        <v>74</v>
      </c>
      <c r="BB525">
        <v>6921</v>
      </c>
      <c r="BC525">
        <v>6935</v>
      </c>
      <c r="BD525" t="s">
        <v>74</v>
      </c>
      <c r="BE525" t="s">
        <v>10394</v>
      </c>
      <c r="BF525" t="str">
        <f>HYPERLINK("http://dx.doi.org/10.1002/2013JA019067","http://dx.doi.org/10.1002/2013JA019067")</f>
        <v>http://dx.doi.org/10.1002/2013JA019067</v>
      </c>
      <c r="BG525" t="s">
        <v>74</v>
      </c>
      <c r="BH525" t="s">
        <v>74</v>
      </c>
      <c r="BI525">
        <v>15</v>
      </c>
      <c r="BJ525" t="s">
        <v>1705</v>
      </c>
      <c r="BK525" t="s">
        <v>99</v>
      </c>
      <c r="BL525" t="s">
        <v>1705</v>
      </c>
      <c r="BM525" t="s">
        <v>10395</v>
      </c>
      <c r="BN525" t="s">
        <v>74</v>
      </c>
      <c r="BO525" t="s">
        <v>1630</v>
      </c>
      <c r="BP525" t="s">
        <v>74</v>
      </c>
      <c r="BQ525" t="s">
        <v>74</v>
      </c>
      <c r="BR525" t="s">
        <v>103</v>
      </c>
      <c r="BS525" t="s">
        <v>10396</v>
      </c>
      <c r="BT525" t="str">
        <f>HYPERLINK("https%3A%2F%2Fwww.webofscience.com%2Fwos%2Fwoscc%2Ffull-record%2FWOS:000329992900011","View Full Record in Web of Science")</f>
        <v>View Full Record in Web of Science</v>
      </c>
    </row>
    <row r="526" spans="1:72" x14ac:dyDescent="0.15">
      <c r="A526" t="s">
        <v>72</v>
      </c>
      <c r="B526" t="s">
        <v>10397</v>
      </c>
      <c r="C526" t="s">
        <v>74</v>
      </c>
      <c r="D526" t="s">
        <v>74</v>
      </c>
      <c r="E526" t="s">
        <v>74</v>
      </c>
      <c r="F526" t="s">
        <v>10398</v>
      </c>
      <c r="G526" t="s">
        <v>74</v>
      </c>
      <c r="H526" t="s">
        <v>74</v>
      </c>
      <c r="I526" t="s">
        <v>10399</v>
      </c>
      <c r="J526" t="s">
        <v>10400</v>
      </c>
      <c r="K526" t="s">
        <v>74</v>
      </c>
      <c r="L526" t="s">
        <v>74</v>
      </c>
      <c r="M526" t="s">
        <v>78</v>
      </c>
      <c r="N526" t="s">
        <v>79</v>
      </c>
      <c r="O526" t="s">
        <v>74</v>
      </c>
      <c r="P526" t="s">
        <v>74</v>
      </c>
      <c r="Q526" t="s">
        <v>74</v>
      </c>
      <c r="R526" t="s">
        <v>74</v>
      </c>
      <c r="S526" t="s">
        <v>74</v>
      </c>
      <c r="T526" t="s">
        <v>10401</v>
      </c>
      <c r="U526" t="s">
        <v>10402</v>
      </c>
      <c r="V526" t="s">
        <v>10403</v>
      </c>
      <c r="W526" t="s">
        <v>10404</v>
      </c>
      <c r="X526" t="s">
        <v>2317</v>
      </c>
      <c r="Y526" t="s">
        <v>10405</v>
      </c>
      <c r="Z526" t="s">
        <v>10406</v>
      </c>
      <c r="AA526" t="s">
        <v>10407</v>
      </c>
      <c r="AB526" t="s">
        <v>74</v>
      </c>
      <c r="AC526" t="s">
        <v>74</v>
      </c>
      <c r="AD526" t="s">
        <v>74</v>
      </c>
      <c r="AE526" t="s">
        <v>74</v>
      </c>
      <c r="AF526" t="s">
        <v>74</v>
      </c>
      <c r="AG526">
        <v>11</v>
      </c>
      <c r="AH526">
        <v>21</v>
      </c>
      <c r="AI526">
        <v>21</v>
      </c>
      <c r="AJ526">
        <v>1</v>
      </c>
      <c r="AK526">
        <v>18</v>
      </c>
      <c r="AL526" t="s">
        <v>1067</v>
      </c>
      <c r="AM526" t="s">
        <v>921</v>
      </c>
      <c r="AN526" t="s">
        <v>2690</v>
      </c>
      <c r="AO526" t="s">
        <v>10408</v>
      </c>
      <c r="AP526" t="s">
        <v>10409</v>
      </c>
      <c r="AQ526" t="s">
        <v>74</v>
      </c>
      <c r="AR526" t="s">
        <v>10410</v>
      </c>
      <c r="AS526" t="s">
        <v>10411</v>
      </c>
      <c r="AT526" t="s">
        <v>8425</v>
      </c>
      <c r="AU526">
        <v>2013</v>
      </c>
      <c r="AV526">
        <v>67</v>
      </c>
      <c r="AW526">
        <v>5</v>
      </c>
      <c r="AX526" t="s">
        <v>74</v>
      </c>
      <c r="AY526" t="s">
        <v>74</v>
      </c>
      <c r="AZ526" t="s">
        <v>74</v>
      </c>
      <c r="BA526" t="s">
        <v>74</v>
      </c>
      <c r="BB526">
        <v>1163</v>
      </c>
      <c r="BC526">
        <v>1170</v>
      </c>
      <c r="BD526" t="s">
        <v>74</v>
      </c>
      <c r="BE526" t="s">
        <v>10412</v>
      </c>
      <c r="BF526" t="str">
        <f>HYPERLINK("http://dx.doi.org/10.1007/s00285-012-0585-y","http://dx.doi.org/10.1007/s00285-012-0585-y")</f>
        <v>http://dx.doi.org/10.1007/s00285-012-0585-y</v>
      </c>
      <c r="BG526" t="s">
        <v>74</v>
      </c>
      <c r="BH526" t="s">
        <v>74</v>
      </c>
      <c r="BI526">
        <v>8</v>
      </c>
      <c r="BJ526" t="s">
        <v>10413</v>
      </c>
      <c r="BK526" t="s">
        <v>99</v>
      </c>
      <c r="BL526" t="s">
        <v>10414</v>
      </c>
      <c r="BM526" t="s">
        <v>10415</v>
      </c>
      <c r="BN526">
        <v>22986892</v>
      </c>
      <c r="BO526" t="s">
        <v>74</v>
      </c>
      <c r="BP526" t="s">
        <v>74</v>
      </c>
      <c r="BQ526" t="s">
        <v>74</v>
      </c>
      <c r="BR526" t="s">
        <v>103</v>
      </c>
      <c r="BS526" t="s">
        <v>10416</v>
      </c>
      <c r="BT526" t="str">
        <f>HYPERLINK("https%3A%2F%2Fwww.webofscience.com%2Fwos%2Fwoscc%2Ffull-record%2FWOS:000325463200006","View Full Record in Web of Science")</f>
        <v>View Full Record in Web of Science</v>
      </c>
    </row>
    <row r="527" spans="1:72" x14ac:dyDescent="0.15">
      <c r="A527" t="s">
        <v>72</v>
      </c>
      <c r="B527" t="s">
        <v>10417</v>
      </c>
      <c r="C527" t="s">
        <v>74</v>
      </c>
      <c r="D527" t="s">
        <v>74</v>
      </c>
      <c r="E527" t="s">
        <v>74</v>
      </c>
      <c r="F527" t="s">
        <v>10418</v>
      </c>
      <c r="G527" t="s">
        <v>74</v>
      </c>
      <c r="H527" t="s">
        <v>74</v>
      </c>
      <c r="I527" t="s">
        <v>10419</v>
      </c>
      <c r="J527" t="s">
        <v>2067</v>
      </c>
      <c r="K527" t="s">
        <v>74</v>
      </c>
      <c r="L527" t="s">
        <v>74</v>
      </c>
      <c r="M527" t="s">
        <v>78</v>
      </c>
      <c r="N527" t="s">
        <v>79</v>
      </c>
      <c r="O527" t="s">
        <v>74</v>
      </c>
      <c r="P527" t="s">
        <v>74</v>
      </c>
      <c r="Q527" t="s">
        <v>74</v>
      </c>
      <c r="R527" t="s">
        <v>74</v>
      </c>
      <c r="S527" t="s">
        <v>74</v>
      </c>
      <c r="T527" t="s">
        <v>10420</v>
      </c>
      <c r="U527" t="s">
        <v>10421</v>
      </c>
      <c r="V527" t="s">
        <v>10422</v>
      </c>
      <c r="W527" t="s">
        <v>10423</v>
      </c>
      <c r="X527" t="s">
        <v>10424</v>
      </c>
      <c r="Y527" t="s">
        <v>10425</v>
      </c>
      <c r="Z527" t="s">
        <v>10426</v>
      </c>
      <c r="AA527" t="s">
        <v>10427</v>
      </c>
      <c r="AB527" t="s">
        <v>10428</v>
      </c>
      <c r="AC527" t="s">
        <v>10429</v>
      </c>
      <c r="AD527" t="s">
        <v>10430</v>
      </c>
      <c r="AE527" t="s">
        <v>10431</v>
      </c>
      <c r="AF527" t="s">
        <v>74</v>
      </c>
      <c r="AG527">
        <v>74</v>
      </c>
      <c r="AH527">
        <v>11</v>
      </c>
      <c r="AI527">
        <v>12</v>
      </c>
      <c r="AJ527">
        <v>1</v>
      </c>
      <c r="AK527">
        <v>13</v>
      </c>
      <c r="AL527" t="s">
        <v>1495</v>
      </c>
      <c r="AM527" t="s">
        <v>1496</v>
      </c>
      <c r="AN527" t="s">
        <v>1497</v>
      </c>
      <c r="AO527" t="s">
        <v>2080</v>
      </c>
      <c r="AP527" t="s">
        <v>2081</v>
      </c>
      <c r="AQ527" t="s">
        <v>74</v>
      </c>
      <c r="AR527" t="s">
        <v>2082</v>
      </c>
      <c r="AS527" t="s">
        <v>2083</v>
      </c>
      <c r="AT527" t="s">
        <v>8425</v>
      </c>
      <c r="AU527">
        <v>2013</v>
      </c>
      <c r="AV527">
        <v>43</v>
      </c>
      <c r="AW527">
        <v>11</v>
      </c>
      <c r="AX527" t="s">
        <v>74</v>
      </c>
      <c r="AY527" t="s">
        <v>74</v>
      </c>
      <c r="AZ527" t="s">
        <v>74</v>
      </c>
      <c r="BA527" t="s">
        <v>74</v>
      </c>
      <c r="BB527">
        <v>2270</v>
      </c>
      <c r="BC527">
        <v>2287</v>
      </c>
      <c r="BD527" t="s">
        <v>74</v>
      </c>
      <c r="BE527" t="s">
        <v>10432</v>
      </c>
      <c r="BF527" t="str">
        <f>HYPERLINK("http://dx.doi.org/10.1175/JPO-D-12-0210.1","http://dx.doi.org/10.1175/JPO-D-12-0210.1")</f>
        <v>http://dx.doi.org/10.1175/JPO-D-12-0210.1</v>
      </c>
      <c r="BG527" t="s">
        <v>74</v>
      </c>
      <c r="BH527" t="s">
        <v>74</v>
      </c>
      <c r="BI527">
        <v>18</v>
      </c>
      <c r="BJ527" t="s">
        <v>1613</v>
      </c>
      <c r="BK527" t="s">
        <v>99</v>
      </c>
      <c r="BL527" t="s">
        <v>1613</v>
      </c>
      <c r="BM527" t="s">
        <v>10433</v>
      </c>
      <c r="BN527" t="s">
        <v>74</v>
      </c>
      <c r="BO527" t="s">
        <v>10434</v>
      </c>
      <c r="BP527" t="s">
        <v>74</v>
      </c>
      <c r="BQ527" t="s">
        <v>74</v>
      </c>
      <c r="BR527" t="s">
        <v>103</v>
      </c>
      <c r="BS527" t="s">
        <v>10435</v>
      </c>
      <c r="BT527" t="str">
        <f>HYPERLINK("https%3A%2F%2Fwww.webofscience.com%2Fwos%2Fwoscc%2Ffull-record%2FWOS:000329778300002","View Full Record in Web of Science")</f>
        <v>View Full Record in Web of Science</v>
      </c>
    </row>
    <row r="528" spans="1:72" x14ac:dyDescent="0.15">
      <c r="A528" t="s">
        <v>72</v>
      </c>
      <c r="B528" t="s">
        <v>10436</v>
      </c>
      <c r="C528" t="s">
        <v>74</v>
      </c>
      <c r="D528" t="s">
        <v>74</v>
      </c>
      <c r="E528" t="s">
        <v>74</v>
      </c>
      <c r="F528" t="s">
        <v>10437</v>
      </c>
      <c r="G528" t="s">
        <v>74</v>
      </c>
      <c r="H528" t="s">
        <v>74</v>
      </c>
      <c r="I528" t="s">
        <v>10438</v>
      </c>
      <c r="J528" t="s">
        <v>2067</v>
      </c>
      <c r="K528" t="s">
        <v>74</v>
      </c>
      <c r="L528" t="s">
        <v>74</v>
      </c>
      <c r="M528" t="s">
        <v>78</v>
      </c>
      <c r="N528" t="s">
        <v>79</v>
      </c>
      <c r="O528" t="s">
        <v>74</v>
      </c>
      <c r="P528" t="s">
        <v>74</v>
      </c>
      <c r="Q528" t="s">
        <v>74</v>
      </c>
      <c r="R528" t="s">
        <v>74</v>
      </c>
      <c r="S528" t="s">
        <v>74</v>
      </c>
      <c r="T528" t="s">
        <v>10439</v>
      </c>
      <c r="U528" t="s">
        <v>10440</v>
      </c>
      <c r="V528" t="s">
        <v>10441</v>
      </c>
      <c r="W528" t="s">
        <v>10442</v>
      </c>
      <c r="X528" t="s">
        <v>10443</v>
      </c>
      <c r="Y528" t="s">
        <v>10444</v>
      </c>
      <c r="Z528" t="s">
        <v>10445</v>
      </c>
      <c r="AA528" t="s">
        <v>10446</v>
      </c>
      <c r="AB528" t="s">
        <v>10447</v>
      </c>
      <c r="AC528" t="s">
        <v>10448</v>
      </c>
      <c r="AD528" t="s">
        <v>2258</v>
      </c>
      <c r="AE528" t="s">
        <v>10449</v>
      </c>
      <c r="AF528" t="s">
        <v>74</v>
      </c>
      <c r="AG528">
        <v>57</v>
      </c>
      <c r="AH528">
        <v>52</v>
      </c>
      <c r="AI528">
        <v>55</v>
      </c>
      <c r="AJ528">
        <v>4</v>
      </c>
      <c r="AK528">
        <v>21</v>
      </c>
      <c r="AL528" t="s">
        <v>1495</v>
      </c>
      <c r="AM528" t="s">
        <v>1496</v>
      </c>
      <c r="AN528" t="s">
        <v>1497</v>
      </c>
      <c r="AO528" t="s">
        <v>2080</v>
      </c>
      <c r="AP528" t="s">
        <v>2081</v>
      </c>
      <c r="AQ528" t="s">
        <v>74</v>
      </c>
      <c r="AR528" t="s">
        <v>2082</v>
      </c>
      <c r="AS528" t="s">
        <v>2083</v>
      </c>
      <c r="AT528" t="s">
        <v>8425</v>
      </c>
      <c r="AU528">
        <v>2013</v>
      </c>
      <c r="AV528">
        <v>43</v>
      </c>
      <c r="AW528">
        <v>11</v>
      </c>
      <c r="AX528" t="s">
        <v>74</v>
      </c>
      <c r="AY528" t="s">
        <v>74</v>
      </c>
      <c r="AZ528" t="s">
        <v>74</v>
      </c>
      <c r="BA528" t="s">
        <v>74</v>
      </c>
      <c r="BB528">
        <v>2288</v>
      </c>
      <c r="BC528">
        <v>2308</v>
      </c>
      <c r="BD528" t="s">
        <v>74</v>
      </c>
      <c r="BE528" t="s">
        <v>10450</v>
      </c>
      <c r="BF528" t="str">
        <f>HYPERLINK("http://dx.doi.org/10.1175/JPO-D-12-0222.1","http://dx.doi.org/10.1175/JPO-D-12-0222.1")</f>
        <v>http://dx.doi.org/10.1175/JPO-D-12-0222.1</v>
      </c>
      <c r="BG528" t="s">
        <v>74</v>
      </c>
      <c r="BH528" t="s">
        <v>74</v>
      </c>
      <c r="BI528">
        <v>21</v>
      </c>
      <c r="BJ528" t="s">
        <v>1613</v>
      </c>
      <c r="BK528" t="s">
        <v>99</v>
      </c>
      <c r="BL528" t="s">
        <v>1613</v>
      </c>
      <c r="BM528" t="s">
        <v>10433</v>
      </c>
      <c r="BN528" t="s">
        <v>74</v>
      </c>
      <c r="BO528" t="s">
        <v>1707</v>
      </c>
      <c r="BP528" t="s">
        <v>74</v>
      </c>
      <c r="BQ528" t="s">
        <v>74</v>
      </c>
      <c r="BR528" t="s">
        <v>103</v>
      </c>
      <c r="BS528" t="s">
        <v>10451</v>
      </c>
      <c r="BT528" t="str">
        <f>HYPERLINK("https%3A%2F%2Fwww.webofscience.com%2Fwos%2Fwoscc%2Ffull-record%2FWOS:000329778300003","View Full Record in Web of Science")</f>
        <v>View Full Record in Web of Science</v>
      </c>
    </row>
    <row r="529" spans="1:72" x14ac:dyDescent="0.15">
      <c r="A529" t="s">
        <v>72</v>
      </c>
      <c r="B529" t="s">
        <v>10452</v>
      </c>
      <c r="C529" t="s">
        <v>74</v>
      </c>
      <c r="D529" t="s">
        <v>74</v>
      </c>
      <c r="E529" t="s">
        <v>74</v>
      </c>
      <c r="F529" t="s">
        <v>10453</v>
      </c>
      <c r="G529" t="s">
        <v>74</v>
      </c>
      <c r="H529" t="s">
        <v>74</v>
      </c>
      <c r="I529" t="s">
        <v>10454</v>
      </c>
      <c r="J529" t="s">
        <v>2067</v>
      </c>
      <c r="K529" t="s">
        <v>74</v>
      </c>
      <c r="L529" t="s">
        <v>74</v>
      </c>
      <c r="M529" t="s">
        <v>78</v>
      </c>
      <c r="N529" t="s">
        <v>79</v>
      </c>
      <c r="O529" t="s">
        <v>74</v>
      </c>
      <c r="P529" t="s">
        <v>74</v>
      </c>
      <c r="Q529" t="s">
        <v>74</v>
      </c>
      <c r="R529" t="s">
        <v>74</v>
      </c>
      <c r="S529" t="s">
        <v>74</v>
      </c>
      <c r="T529" t="s">
        <v>10455</v>
      </c>
      <c r="U529" t="s">
        <v>10456</v>
      </c>
      <c r="V529" t="s">
        <v>10457</v>
      </c>
      <c r="W529" t="s">
        <v>10458</v>
      </c>
      <c r="X529" t="s">
        <v>10459</v>
      </c>
      <c r="Y529" t="s">
        <v>10460</v>
      </c>
      <c r="Z529" t="s">
        <v>10461</v>
      </c>
      <c r="AA529" t="s">
        <v>10462</v>
      </c>
      <c r="AB529" t="s">
        <v>10463</v>
      </c>
      <c r="AC529" t="s">
        <v>10464</v>
      </c>
      <c r="AD529" t="s">
        <v>10465</v>
      </c>
      <c r="AE529" t="s">
        <v>10466</v>
      </c>
      <c r="AF529" t="s">
        <v>74</v>
      </c>
      <c r="AG529">
        <v>55</v>
      </c>
      <c r="AH529">
        <v>33</v>
      </c>
      <c r="AI529">
        <v>36</v>
      </c>
      <c r="AJ529">
        <v>0</v>
      </c>
      <c r="AK529">
        <v>18</v>
      </c>
      <c r="AL529" t="s">
        <v>1495</v>
      </c>
      <c r="AM529" t="s">
        <v>1496</v>
      </c>
      <c r="AN529" t="s">
        <v>1497</v>
      </c>
      <c r="AO529" t="s">
        <v>2080</v>
      </c>
      <c r="AP529" t="s">
        <v>2081</v>
      </c>
      <c r="AQ529" t="s">
        <v>74</v>
      </c>
      <c r="AR529" t="s">
        <v>2082</v>
      </c>
      <c r="AS529" t="s">
        <v>2083</v>
      </c>
      <c r="AT529" t="s">
        <v>8425</v>
      </c>
      <c r="AU529">
        <v>2013</v>
      </c>
      <c r="AV529">
        <v>43</v>
      </c>
      <c r="AW529">
        <v>11</v>
      </c>
      <c r="AX529" t="s">
        <v>74</v>
      </c>
      <c r="AY529" t="s">
        <v>74</v>
      </c>
      <c r="AZ529" t="s">
        <v>74</v>
      </c>
      <c r="BA529" t="s">
        <v>74</v>
      </c>
      <c r="BB529">
        <v>2372</v>
      </c>
      <c r="BC529">
        <v>2387</v>
      </c>
      <c r="BD529" t="s">
        <v>74</v>
      </c>
      <c r="BE529" t="s">
        <v>10467</v>
      </c>
      <c r="BF529" t="str">
        <f>HYPERLINK("http://dx.doi.org/10.1175/JPO-D-13-0137.1","http://dx.doi.org/10.1175/JPO-D-13-0137.1")</f>
        <v>http://dx.doi.org/10.1175/JPO-D-13-0137.1</v>
      </c>
      <c r="BG529" t="s">
        <v>74</v>
      </c>
      <c r="BH529" t="s">
        <v>74</v>
      </c>
      <c r="BI529">
        <v>16</v>
      </c>
      <c r="BJ529" t="s">
        <v>1613</v>
      </c>
      <c r="BK529" t="s">
        <v>99</v>
      </c>
      <c r="BL529" t="s">
        <v>1613</v>
      </c>
      <c r="BM529" t="s">
        <v>10433</v>
      </c>
      <c r="BN529" t="s">
        <v>74</v>
      </c>
      <c r="BO529" t="s">
        <v>1549</v>
      </c>
      <c r="BP529" t="s">
        <v>74</v>
      </c>
      <c r="BQ529" t="s">
        <v>74</v>
      </c>
      <c r="BR529" t="s">
        <v>103</v>
      </c>
      <c r="BS529" t="s">
        <v>10468</v>
      </c>
      <c r="BT529" t="str">
        <f>HYPERLINK("https%3A%2F%2Fwww.webofscience.com%2Fwos%2Fwoscc%2Ffull-record%2FWOS:000329778300008","View Full Record in Web of Science")</f>
        <v>View Full Record in Web of Science</v>
      </c>
    </row>
    <row r="530" spans="1:72" x14ac:dyDescent="0.15">
      <c r="A530" t="s">
        <v>72</v>
      </c>
      <c r="B530" t="s">
        <v>10469</v>
      </c>
      <c r="C530" t="s">
        <v>74</v>
      </c>
      <c r="D530" t="s">
        <v>74</v>
      </c>
      <c r="E530" t="s">
        <v>74</v>
      </c>
      <c r="F530" t="s">
        <v>10470</v>
      </c>
      <c r="G530" t="s">
        <v>74</v>
      </c>
      <c r="H530" t="s">
        <v>74</v>
      </c>
      <c r="I530" t="s">
        <v>10471</v>
      </c>
      <c r="J530" t="s">
        <v>10472</v>
      </c>
      <c r="K530" t="s">
        <v>74</v>
      </c>
      <c r="L530" t="s">
        <v>74</v>
      </c>
      <c r="M530" t="s">
        <v>78</v>
      </c>
      <c r="N530" t="s">
        <v>79</v>
      </c>
      <c r="O530" t="s">
        <v>74</v>
      </c>
      <c r="P530" t="s">
        <v>74</v>
      </c>
      <c r="Q530" t="s">
        <v>74</v>
      </c>
      <c r="R530" t="s">
        <v>74</v>
      </c>
      <c r="S530" t="s">
        <v>74</v>
      </c>
      <c r="T530" t="s">
        <v>74</v>
      </c>
      <c r="U530" t="s">
        <v>10473</v>
      </c>
      <c r="V530" t="s">
        <v>10474</v>
      </c>
      <c r="W530" t="s">
        <v>10475</v>
      </c>
      <c r="X530" t="s">
        <v>10476</v>
      </c>
      <c r="Y530" t="s">
        <v>10477</v>
      </c>
      <c r="Z530" t="s">
        <v>10478</v>
      </c>
      <c r="AA530" t="s">
        <v>10479</v>
      </c>
      <c r="AB530" t="s">
        <v>10480</v>
      </c>
      <c r="AC530" t="s">
        <v>10481</v>
      </c>
      <c r="AD530" t="s">
        <v>10482</v>
      </c>
      <c r="AE530" t="s">
        <v>10483</v>
      </c>
      <c r="AF530" t="s">
        <v>74</v>
      </c>
      <c r="AG530">
        <v>23</v>
      </c>
      <c r="AH530">
        <v>14</v>
      </c>
      <c r="AI530">
        <v>17</v>
      </c>
      <c r="AJ530">
        <v>1</v>
      </c>
      <c r="AK530">
        <v>22</v>
      </c>
      <c r="AL530" t="s">
        <v>410</v>
      </c>
      <c r="AM530" t="s">
        <v>411</v>
      </c>
      <c r="AN530" t="s">
        <v>412</v>
      </c>
      <c r="AO530" t="s">
        <v>10484</v>
      </c>
      <c r="AP530" t="s">
        <v>74</v>
      </c>
      <c r="AQ530" t="s">
        <v>74</v>
      </c>
      <c r="AR530" t="s">
        <v>10485</v>
      </c>
      <c r="AS530" t="s">
        <v>10486</v>
      </c>
      <c r="AT530" t="s">
        <v>8425</v>
      </c>
      <c r="AU530">
        <v>2013</v>
      </c>
      <c r="AV530">
        <v>11</v>
      </c>
      <c r="AW530" t="s">
        <v>74</v>
      </c>
      <c r="AX530" t="s">
        <v>74</v>
      </c>
      <c r="AY530" t="s">
        <v>74</v>
      </c>
      <c r="AZ530" t="s">
        <v>74</v>
      </c>
      <c r="BA530" t="s">
        <v>74</v>
      </c>
      <c r="BB530">
        <v>594</v>
      </c>
      <c r="BC530">
        <v>603</v>
      </c>
      <c r="BD530" t="s">
        <v>74</v>
      </c>
      <c r="BE530" t="s">
        <v>10487</v>
      </c>
      <c r="BF530" t="str">
        <f>HYPERLINK("http://dx.doi.org/10.4319/lom.2013.11.594","http://dx.doi.org/10.4319/lom.2013.11.594")</f>
        <v>http://dx.doi.org/10.4319/lom.2013.11.594</v>
      </c>
      <c r="BG530" t="s">
        <v>74</v>
      </c>
      <c r="BH530" t="s">
        <v>74</v>
      </c>
      <c r="BI530">
        <v>10</v>
      </c>
      <c r="BJ530" t="s">
        <v>2265</v>
      </c>
      <c r="BK530" t="s">
        <v>99</v>
      </c>
      <c r="BL530" t="s">
        <v>2266</v>
      </c>
      <c r="BM530" t="s">
        <v>10488</v>
      </c>
      <c r="BN530" t="s">
        <v>74</v>
      </c>
      <c r="BO530" t="s">
        <v>1381</v>
      </c>
      <c r="BP530" t="s">
        <v>74</v>
      </c>
      <c r="BQ530" t="s">
        <v>74</v>
      </c>
      <c r="BR530" t="s">
        <v>103</v>
      </c>
      <c r="BS530" t="s">
        <v>10489</v>
      </c>
      <c r="BT530" t="str">
        <f>HYPERLINK("https%3A%2F%2Fwww.webofscience.com%2Fwos%2Fwoscc%2Ffull-record%2FWOS:000328880700003","View Full Record in Web of Science")</f>
        <v>View Full Record in Web of Science</v>
      </c>
    </row>
    <row r="531" spans="1:72" x14ac:dyDescent="0.15">
      <c r="A531" t="s">
        <v>72</v>
      </c>
      <c r="B531" t="s">
        <v>10490</v>
      </c>
      <c r="C531" t="s">
        <v>74</v>
      </c>
      <c r="D531" t="s">
        <v>74</v>
      </c>
      <c r="E531" t="s">
        <v>74</v>
      </c>
      <c r="F531" t="s">
        <v>10491</v>
      </c>
      <c r="G531" t="s">
        <v>74</v>
      </c>
      <c r="H531" t="s">
        <v>74</v>
      </c>
      <c r="I531" t="s">
        <v>10492</v>
      </c>
      <c r="J531" t="s">
        <v>9256</v>
      </c>
      <c r="K531" t="s">
        <v>74</v>
      </c>
      <c r="L531" t="s">
        <v>74</v>
      </c>
      <c r="M531" t="s">
        <v>78</v>
      </c>
      <c r="N531" t="s">
        <v>79</v>
      </c>
      <c r="O531" t="s">
        <v>74</v>
      </c>
      <c r="P531" t="s">
        <v>74</v>
      </c>
      <c r="Q531" t="s">
        <v>74</v>
      </c>
      <c r="R531" t="s">
        <v>74</v>
      </c>
      <c r="S531" t="s">
        <v>74</v>
      </c>
      <c r="T531" t="s">
        <v>74</v>
      </c>
      <c r="U531" t="s">
        <v>10493</v>
      </c>
      <c r="V531" t="s">
        <v>10494</v>
      </c>
      <c r="W531" t="s">
        <v>10495</v>
      </c>
      <c r="X531" t="s">
        <v>10496</v>
      </c>
      <c r="Y531" t="s">
        <v>10497</v>
      </c>
      <c r="Z531" t="s">
        <v>10498</v>
      </c>
      <c r="AA531" t="s">
        <v>10499</v>
      </c>
      <c r="AB531" t="s">
        <v>10500</v>
      </c>
      <c r="AC531" t="s">
        <v>10501</v>
      </c>
      <c r="AD531" t="s">
        <v>10502</v>
      </c>
      <c r="AE531" t="s">
        <v>10503</v>
      </c>
      <c r="AF531" t="s">
        <v>74</v>
      </c>
      <c r="AG531">
        <v>50</v>
      </c>
      <c r="AH531">
        <v>17</v>
      </c>
      <c r="AI531">
        <v>19</v>
      </c>
      <c r="AJ531">
        <v>0</v>
      </c>
      <c r="AK531">
        <v>82</v>
      </c>
      <c r="AL531" t="s">
        <v>6098</v>
      </c>
      <c r="AM531" t="s">
        <v>6099</v>
      </c>
      <c r="AN531" t="s">
        <v>6100</v>
      </c>
      <c r="AO531" t="s">
        <v>9268</v>
      </c>
      <c r="AP531" t="s">
        <v>9269</v>
      </c>
      <c r="AQ531" t="s">
        <v>74</v>
      </c>
      <c r="AR531" t="s">
        <v>9270</v>
      </c>
      <c r="AS531" t="s">
        <v>9271</v>
      </c>
      <c r="AT531" t="s">
        <v>8425</v>
      </c>
      <c r="AU531">
        <v>2013</v>
      </c>
      <c r="AV531">
        <v>160</v>
      </c>
      <c r="AW531">
        <v>11</v>
      </c>
      <c r="AX531" t="s">
        <v>74</v>
      </c>
      <c r="AY531" t="s">
        <v>74</v>
      </c>
      <c r="AZ531" t="s">
        <v>74</v>
      </c>
      <c r="BA531" t="s">
        <v>74</v>
      </c>
      <c r="BB531">
        <v>2877</v>
      </c>
      <c r="BC531">
        <v>2889</v>
      </c>
      <c r="BD531" t="s">
        <v>74</v>
      </c>
      <c r="BE531" t="s">
        <v>10504</v>
      </c>
      <c r="BF531" t="str">
        <f>HYPERLINK("http://dx.doi.org/10.1007/s00227-013-2278-5","http://dx.doi.org/10.1007/s00227-013-2278-5")</f>
        <v>http://dx.doi.org/10.1007/s00227-013-2278-5</v>
      </c>
      <c r="BG531" t="s">
        <v>74</v>
      </c>
      <c r="BH531" t="s">
        <v>74</v>
      </c>
      <c r="BI531">
        <v>13</v>
      </c>
      <c r="BJ531" t="s">
        <v>285</v>
      </c>
      <c r="BK531" t="s">
        <v>99</v>
      </c>
      <c r="BL531" t="s">
        <v>285</v>
      </c>
      <c r="BM531" t="s">
        <v>9273</v>
      </c>
      <c r="BN531" t="s">
        <v>74</v>
      </c>
      <c r="BO531" t="s">
        <v>10009</v>
      </c>
      <c r="BP531" t="s">
        <v>74</v>
      </c>
      <c r="BQ531" t="s">
        <v>74</v>
      </c>
      <c r="BR531" t="s">
        <v>103</v>
      </c>
      <c r="BS531" t="s">
        <v>10505</v>
      </c>
      <c r="BT531" t="str">
        <f>HYPERLINK("https%3A%2F%2Fwww.webofscience.com%2Fwos%2Fwoscc%2Ffull-record%2FWOS:000326048000008","View Full Record in Web of Science")</f>
        <v>View Full Record in Web of Science</v>
      </c>
    </row>
    <row r="532" spans="1:72" x14ac:dyDescent="0.15">
      <c r="A532" t="s">
        <v>72</v>
      </c>
      <c r="B532" t="s">
        <v>10506</v>
      </c>
      <c r="C532" t="s">
        <v>74</v>
      </c>
      <c r="D532" t="s">
        <v>74</v>
      </c>
      <c r="E532" t="s">
        <v>74</v>
      </c>
      <c r="F532" t="s">
        <v>10507</v>
      </c>
      <c r="G532" t="s">
        <v>74</v>
      </c>
      <c r="H532" t="s">
        <v>74</v>
      </c>
      <c r="I532" t="s">
        <v>10508</v>
      </c>
      <c r="J532" t="s">
        <v>10509</v>
      </c>
      <c r="K532" t="s">
        <v>74</v>
      </c>
      <c r="L532" t="s">
        <v>74</v>
      </c>
      <c r="M532" t="s">
        <v>78</v>
      </c>
      <c r="N532" t="s">
        <v>79</v>
      </c>
      <c r="O532" t="s">
        <v>74</v>
      </c>
      <c r="P532" t="s">
        <v>74</v>
      </c>
      <c r="Q532" t="s">
        <v>74</v>
      </c>
      <c r="R532" t="s">
        <v>74</v>
      </c>
      <c r="S532" t="s">
        <v>74</v>
      </c>
      <c r="T532" t="s">
        <v>10510</v>
      </c>
      <c r="U532" t="s">
        <v>10511</v>
      </c>
      <c r="V532" t="s">
        <v>10512</v>
      </c>
      <c r="W532" t="s">
        <v>10513</v>
      </c>
      <c r="X532" t="s">
        <v>10514</v>
      </c>
      <c r="Y532" t="s">
        <v>10515</v>
      </c>
      <c r="Z532" t="s">
        <v>10516</v>
      </c>
      <c r="AA532" t="s">
        <v>10517</v>
      </c>
      <c r="AB532" t="s">
        <v>10518</v>
      </c>
      <c r="AC532" t="s">
        <v>74</v>
      </c>
      <c r="AD532" t="s">
        <v>74</v>
      </c>
      <c r="AE532" t="s">
        <v>74</v>
      </c>
      <c r="AF532" t="s">
        <v>74</v>
      </c>
      <c r="AG532">
        <v>32</v>
      </c>
      <c r="AH532">
        <v>29</v>
      </c>
      <c r="AI532">
        <v>31</v>
      </c>
      <c r="AJ532">
        <v>0</v>
      </c>
      <c r="AK532">
        <v>145</v>
      </c>
      <c r="AL532" t="s">
        <v>783</v>
      </c>
      <c r="AM532" t="s">
        <v>252</v>
      </c>
      <c r="AN532" t="s">
        <v>784</v>
      </c>
      <c r="AO532" t="s">
        <v>10519</v>
      </c>
      <c r="AP532" t="s">
        <v>10520</v>
      </c>
      <c r="AQ532" t="s">
        <v>74</v>
      </c>
      <c r="AR532" t="s">
        <v>10521</v>
      </c>
      <c r="AS532" t="s">
        <v>10522</v>
      </c>
      <c r="AT532" t="s">
        <v>8425</v>
      </c>
      <c r="AU532">
        <v>2013</v>
      </c>
      <c r="AV532">
        <v>42</v>
      </c>
      <c r="AW532" t="s">
        <v>74</v>
      </c>
      <c r="AX532" t="s">
        <v>74</v>
      </c>
      <c r="AY532" t="s">
        <v>74</v>
      </c>
      <c r="AZ532" t="s">
        <v>74</v>
      </c>
      <c r="BA532" t="s">
        <v>74</v>
      </c>
      <c r="BB532">
        <v>1</v>
      </c>
      <c r="BC532">
        <v>4</v>
      </c>
      <c r="BD532" t="s">
        <v>74</v>
      </c>
      <c r="BE532" t="s">
        <v>10523</v>
      </c>
      <c r="BF532" t="str">
        <f>HYPERLINK("http://dx.doi.org/10.1016/j.marpol.2013.01.022","http://dx.doi.org/10.1016/j.marpol.2013.01.022")</f>
        <v>http://dx.doi.org/10.1016/j.marpol.2013.01.022</v>
      </c>
      <c r="BG532" t="s">
        <v>74</v>
      </c>
      <c r="BH532" t="s">
        <v>74</v>
      </c>
      <c r="BI532">
        <v>4</v>
      </c>
      <c r="BJ532" t="s">
        <v>10524</v>
      </c>
      <c r="BK532" t="s">
        <v>9051</v>
      </c>
      <c r="BL532" t="s">
        <v>10525</v>
      </c>
      <c r="BM532" t="s">
        <v>10526</v>
      </c>
      <c r="BN532" t="s">
        <v>74</v>
      </c>
      <c r="BO532" t="s">
        <v>74</v>
      </c>
      <c r="BP532" t="s">
        <v>74</v>
      </c>
      <c r="BQ532" t="s">
        <v>74</v>
      </c>
      <c r="BR532" t="s">
        <v>103</v>
      </c>
      <c r="BS532" t="s">
        <v>10527</v>
      </c>
      <c r="BT532" t="str">
        <f>HYPERLINK("https%3A%2F%2Fwww.webofscience.com%2Fwos%2Fwoscc%2Ffull-record%2FWOS:000320686100001","View Full Record in Web of Science")</f>
        <v>View Full Record in Web of Science</v>
      </c>
    </row>
    <row r="533" spans="1:72" x14ac:dyDescent="0.15">
      <c r="A533" t="s">
        <v>72</v>
      </c>
      <c r="B533" t="s">
        <v>10528</v>
      </c>
      <c r="C533" t="s">
        <v>74</v>
      </c>
      <c r="D533" t="s">
        <v>74</v>
      </c>
      <c r="E533" t="s">
        <v>74</v>
      </c>
      <c r="F533" t="s">
        <v>10529</v>
      </c>
      <c r="G533" t="s">
        <v>74</v>
      </c>
      <c r="H533" t="s">
        <v>74</v>
      </c>
      <c r="I533" t="s">
        <v>10530</v>
      </c>
      <c r="J533" t="s">
        <v>9559</v>
      </c>
      <c r="K533" t="s">
        <v>74</v>
      </c>
      <c r="L533" t="s">
        <v>74</v>
      </c>
      <c r="M533" t="s">
        <v>78</v>
      </c>
      <c r="N533" t="s">
        <v>79</v>
      </c>
      <c r="O533" t="s">
        <v>74</v>
      </c>
      <c r="P533" t="s">
        <v>74</v>
      </c>
      <c r="Q533" t="s">
        <v>74</v>
      </c>
      <c r="R533" t="s">
        <v>74</v>
      </c>
      <c r="S533" t="s">
        <v>74</v>
      </c>
      <c r="T533" t="s">
        <v>10531</v>
      </c>
      <c r="U533" t="s">
        <v>10532</v>
      </c>
      <c r="V533" t="s">
        <v>10533</v>
      </c>
      <c r="W533" t="s">
        <v>10534</v>
      </c>
      <c r="X533" t="s">
        <v>10535</v>
      </c>
      <c r="Y533" t="s">
        <v>10536</v>
      </c>
      <c r="Z533" t="s">
        <v>10537</v>
      </c>
      <c r="AA533" t="s">
        <v>10538</v>
      </c>
      <c r="AB533" t="s">
        <v>10539</v>
      </c>
      <c r="AC533" t="s">
        <v>10540</v>
      </c>
      <c r="AD533" t="s">
        <v>10541</v>
      </c>
      <c r="AE533" t="s">
        <v>10542</v>
      </c>
      <c r="AF533" t="s">
        <v>74</v>
      </c>
      <c r="AG533">
        <v>26</v>
      </c>
      <c r="AH533">
        <v>29</v>
      </c>
      <c r="AI533">
        <v>30</v>
      </c>
      <c r="AJ533">
        <v>0</v>
      </c>
      <c r="AK533">
        <v>7</v>
      </c>
      <c r="AL533" t="s">
        <v>3992</v>
      </c>
      <c r="AM533" t="s">
        <v>252</v>
      </c>
      <c r="AN533" t="s">
        <v>3993</v>
      </c>
      <c r="AO533" t="s">
        <v>9570</v>
      </c>
      <c r="AP533" t="s">
        <v>9571</v>
      </c>
      <c r="AQ533" t="s">
        <v>74</v>
      </c>
      <c r="AR533" t="s">
        <v>9572</v>
      </c>
      <c r="AS533" t="s">
        <v>9573</v>
      </c>
      <c r="AT533" t="s">
        <v>8425</v>
      </c>
      <c r="AU533">
        <v>2013</v>
      </c>
      <c r="AV533">
        <v>435</v>
      </c>
      <c r="AW533">
        <v>3</v>
      </c>
      <c r="AX533" t="s">
        <v>74</v>
      </c>
      <c r="AY533" t="s">
        <v>74</v>
      </c>
      <c r="AZ533" t="s">
        <v>74</v>
      </c>
      <c r="BA533" t="s">
        <v>74</v>
      </c>
      <c r="BB533">
        <v>2520</v>
      </c>
      <c r="BC533">
        <v>2531</v>
      </c>
      <c r="BD533" t="s">
        <v>74</v>
      </c>
      <c r="BE533" t="s">
        <v>10543</v>
      </c>
      <c r="BF533" t="str">
        <f>HYPERLINK("http://dx.doi.org/10.1093/mnras/stt1461","http://dx.doi.org/10.1093/mnras/stt1461")</f>
        <v>http://dx.doi.org/10.1093/mnras/stt1461</v>
      </c>
      <c r="BG533" t="s">
        <v>74</v>
      </c>
      <c r="BH533" t="s">
        <v>74</v>
      </c>
      <c r="BI533">
        <v>12</v>
      </c>
      <c r="BJ533" t="s">
        <v>1705</v>
      </c>
      <c r="BK533" t="s">
        <v>99</v>
      </c>
      <c r="BL533" t="s">
        <v>1705</v>
      </c>
      <c r="BM533" t="s">
        <v>9575</v>
      </c>
      <c r="BN533" t="s">
        <v>74</v>
      </c>
      <c r="BO533" t="s">
        <v>1733</v>
      </c>
      <c r="BP533" t="s">
        <v>74</v>
      </c>
      <c r="BQ533" t="s">
        <v>74</v>
      </c>
      <c r="BR533" t="s">
        <v>103</v>
      </c>
      <c r="BS533" t="s">
        <v>10544</v>
      </c>
      <c r="BT533" t="str">
        <f>HYPERLINK("https%3A%2F%2Fwww.webofscience.com%2Fwos%2Fwoscc%2Ffull-record%2FWOS:000325773000053","View Full Record in Web of Science")</f>
        <v>View Full Record in Web of Science</v>
      </c>
    </row>
    <row r="534" spans="1:72" x14ac:dyDescent="0.15">
      <c r="A534" t="s">
        <v>72</v>
      </c>
      <c r="B534" t="s">
        <v>10545</v>
      </c>
      <c r="C534" t="s">
        <v>74</v>
      </c>
      <c r="D534" t="s">
        <v>74</v>
      </c>
      <c r="E534" t="s">
        <v>74</v>
      </c>
      <c r="F534" t="s">
        <v>10546</v>
      </c>
      <c r="G534" t="s">
        <v>74</v>
      </c>
      <c r="H534" t="s">
        <v>74</v>
      </c>
      <c r="I534" t="s">
        <v>10547</v>
      </c>
      <c r="J534" t="s">
        <v>2637</v>
      </c>
      <c r="K534" t="s">
        <v>74</v>
      </c>
      <c r="L534" t="s">
        <v>74</v>
      </c>
      <c r="M534" t="s">
        <v>78</v>
      </c>
      <c r="N534" t="s">
        <v>79</v>
      </c>
      <c r="O534" t="s">
        <v>74</v>
      </c>
      <c r="P534" t="s">
        <v>74</v>
      </c>
      <c r="Q534" t="s">
        <v>74</v>
      </c>
      <c r="R534" t="s">
        <v>74</v>
      </c>
      <c r="S534" t="s">
        <v>74</v>
      </c>
      <c r="T534" t="s">
        <v>74</v>
      </c>
      <c r="U534" t="s">
        <v>10548</v>
      </c>
      <c r="V534" t="s">
        <v>10549</v>
      </c>
      <c r="W534" t="s">
        <v>10550</v>
      </c>
      <c r="X534" t="s">
        <v>10551</v>
      </c>
      <c r="Y534" t="s">
        <v>10552</v>
      </c>
      <c r="Z534" t="s">
        <v>10553</v>
      </c>
      <c r="AA534" t="s">
        <v>10554</v>
      </c>
      <c r="AB534" t="s">
        <v>10555</v>
      </c>
      <c r="AC534" t="s">
        <v>10556</v>
      </c>
      <c r="AD534" t="s">
        <v>10557</v>
      </c>
      <c r="AE534" t="s">
        <v>10558</v>
      </c>
      <c r="AF534" t="s">
        <v>74</v>
      </c>
      <c r="AG534">
        <v>56</v>
      </c>
      <c r="AH534">
        <v>108</v>
      </c>
      <c r="AI534">
        <v>117</v>
      </c>
      <c r="AJ534">
        <v>3</v>
      </c>
      <c r="AK534">
        <v>85</v>
      </c>
      <c r="AL534" t="s">
        <v>1371</v>
      </c>
      <c r="AM534" t="s">
        <v>849</v>
      </c>
      <c r="AN534" t="s">
        <v>1372</v>
      </c>
      <c r="AO534" t="s">
        <v>2648</v>
      </c>
      <c r="AP534" t="s">
        <v>74</v>
      </c>
      <c r="AQ534" t="s">
        <v>74</v>
      </c>
      <c r="AR534" t="s">
        <v>2649</v>
      </c>
      <c r="AS534" t="s">
        <v>2650</v>
      </c>
      <c r="AT534" t="s">
        <v>8425</v>
      </c>
      <c r="AU534">
        <v>2013</v>
      </c>
      <c r="AV534">
        <v>4</v>
      </c>
      <c r="AW534" t="s">
        <v>74</v>
      </c>
      <c r="AX534" t="s">
        <v>74</v>
      </c>
      <c r="AY534" t="s">
        <v>74</v>
      </c>
      <c r="AZ534" t="s">
        <v>74</v>
      </c>
      <c r="BA534" t="s">
        <v>74</v>
      </c>
      <c r="BB534" t="s">
        <v>74</v>
      </c>
      <c r="BC534" t="s">
        <v>74</v>
      </c>
      <c r="BD534">
        <v>2758</v>
      </c>
      <c r="BE534" t="s">
        <v>10559</v>
      </c>
      <c r="BF534" t="str">
        <f>HYPERLINK("http://dx.doi.org/10.1038/ncomms3758","http://dx.doi.org/10.1038/ncomms3758")</f>
        <v>http://dx.doi.org/10.1038/ncomms3758</v>
      </c>
      <c r="BG534" t="s">
        <v>74</v>
      </c>
      <c r="BH534" t="s">
        <v>74</v>
      </c>
      <c r="BI534">
        <v>9</v>
      </c>
      <c r="BJ534" t="s">
        <v>2652</v>
      </c>
      <c r="BK534" t="s">
        <v>99</v>
      </c>
      <c r="BL534" t="s">
        <v>2653</v>
      </c>
      <c r="BM534" t="s">
        <v>8943</v>
      </c>
      <c r="BN534">
        <v>24202198</v>
      </c>
      <c r="BO534" t="s">
        <v>2672</v>
      </c>
      <c r="BP534" t="s">
        <v>74</v>
      </c>
      <c r="BQ534" t="s">
        <v>74</v>
      </c>
      <c r="BR534" t="s">
        <v>103</v>
      </c>
      <c r="BS534" t="s">
        <v>10560</v>
      </c>
      <c r="BT534" t="str">
        <f>HYPERLINK("https%3A%2F%2Fwww.webofscience.com%2Fwos%2Fwoscc%2Ffull-record%2FWOS:000328023000029","View Full Record in Web of Science")</f>
        <v>View Full Record in Web of Science</v>
      </c>
    </row>
    <row r="535" spans="1:72" x14ac:dyDescent="0.15">
      <c r="A535" t="s">
        <v>72</v>
      </c>
      <c r="B535" t="s">
        <v>10561</v>
      </c>
      <c r="C535" t="s">
        <v>74</v>
      </c>
      <c r="D535" t="s">
        <v>74</v>
      </c>
      <c r="E535" t="s">
        <v>74</v>
      </c>
      <c r="F535" t="s">
        <v>10562</v>
      </c>
      <c r="G535" t="s">
        <v>74</v>
      </c>
      <c r="H535" t="s">
        <v>74</v>
      </c>
      <c r="I535" t="s">
        <v>10563</v>
      </c>
      <c r="J535" t="s">
        <v>6033</v>
      </c>
      <c r="K535" t="s">
        <v>74</v>
      </c>
      <c r="L535" t="s">
        <v>74</v>
      </c>
      <c r="M535" t="s">
        <v>78</v>
      </c>
      <c r="N535" t="s">
        <v>79</v>
      </c>
      <c r="O535" t="s">
        <v>74</v>
      </c>
      <c r="P535" t="s">
        <v>74</v>
      </c>
      <c r="Q535" t="s">
        <v>74</v>
      </c>
      <c r="R535" t="s">
        <v>74</v>
      </c>
      <c r="S535" t="s">
        <v>74</v>
      </c>
      <c r="T535" t="s">
        <v>74</v>
      </c>
      <c r="U535" t="s">
        <v>10564</v>
      </c>
      <c r="V535" t="s">
        <v>10565</v>
      </c>
      <c r="W535" t="s">
        <v>10566</v>
      </c>
      <c r="X535" t="s">
        <v>10567</v>
      </c>
      <c r="Y535" t="s">
        <v>10568</v>
      </c>
      <c r="Z535" t="s">
        <v>10569</v>
      </c>
      <c r="AA535" t="s">
        <v>10570</v>
      </c>
      <c r="AB535" t="s">
        <v>10571</v>
      </c>
      <c r="AC535" t="s">
        <v>10572</v>
      </c>
      <c r="AD535" t="s">
        <v>10573</v>
      </c>
      <c r="AE535" t="s">
        <v>10574</v>
      </c>
      <c r="AF535" t="s">
        <v>74</v>
      </c>
      <c r="AG535">
        <v>30</v>
      </c>
      <c r="AH535">
        <v>156</v>
      </c>
      <c r="AI535">
        <v>176</v>
      </c>
      <c r="AJ535">
        <v>0</v>
      </c>
      <c r="AK535">
        <v>74</v>
      </c>
      <c r="AL535" t="s">
        <v>1371</v>
      </c>
      <c r="AM535" t="s">
        <v>921</v>
      </c>
      <c r="AN535" t="s">
        <v>6039</v>
      </c>
      <c r="AO535" t="s">
        <v>6040</v>
      </c>
      <c r="AP535" t="s">
        <v>6041</v>
      </c>
      <c r="AQ535" t="s">
        <v>74</v>
      </c>
      <c r="AR535" t="s">
        <v>6042</v>
      </c>
      <c r="AS535" t="s">
        <v>6043</v>
      </c>
      <c r="AT535" t="s">
        <v>8425</v>
      </c>
      <c r="AU535">
        <v>2013</v>
      </c>
      <c r="AV535">
        <v>6</v>
      </c>
      <c r="AW535">
        <v>11</v>
      </c>
      <c r="AX535" t="s">
        <v>74</v>
      </c>
      <c r="AY535" t="s">
        <v>74</v>
      </c>
      <c r="AZ535" t="s">
        <v>74</v>
      </c>
      <c r="BA535" t="s">
        <v>74</v>
      </c>
      <c r="BB535">
        <v>945</v>
      </c>
      <c r="BC535">
        <v>948</v>
      </c>
      <c r="BD535" t="s">
        <v>74</v>
      </c>
      <c r="BE535" t="s">
        <v>10575</v>
      </c>
      <c r="BF535" t="str">
        <f>HYPERLINK("http://dx.doi.org/10.1038/NGEO1977","http://dx.doi.org/10.1038/NGEO1977")</f>
        <v>http://dx.doi.org/10.1038/NGEO1977</v>
      </c>
      <c r="BG535" t="s">
        <v>74</v>
      </c>
      <c r="BH535" t="s">
        <v>74</v>
      </c>
      <c r="BI535">
        <v>4</v>
      </c>
      <c r="BJ535" t="s">
        <v>337</v>
      </c>
      <c r="BK535" t="s">
        <v>99</v>
      </c>
      <c r="BL535" t="s">
        <v>338</v>
      </c>
      <c r="BM535" t="s">
        <v>9305</v>
      </c>
      <c r="BN535" t="s">
        <v>74</v>
      </c>
      <c r="BO535" t="s">
        <v>74</v>
      </c>
      <c r="BP535" t="s">
        <v>74</v>
      </c>
      <c r="BQ535" t="s">
        <v>74</v>
      </c>
      <c r="BR535" t="s">
        <v>103</v>
      </c>
      <c r="BS535" t="s">
        <v>10576</v>
      </c>
      <c r="BT535" t="str">
        <f>HYPERLINK("https%3A%2F%2Fwww.webofscience.com%2Fwos%2Fwoscc%2Ffull-record%2FWOS:000326505800017","View Full Record in Web of Science")</f>
        <v>View Full Record in Web of Science</v>
      </c>
    </row>
    <row r="536" spans="1:72" x14ac:dyDescent="0.15">
      <c r="A536" t="s">
        <v>72</v>
      </c>
      <c r="B536" t="s">
        <v>10577</v>
      </c>
      <c r="C536" t="s">
        <v>74</v>
      </c>
      <c r="D536" t="s">
        <v>74</v>
      </c>
      <c r="E536" t="s">
        <v>74</v>
      </c>
      <c r="F536" t="s">
        <v>10578</v>
      </c>
      <c r="G536" t="s">
        <v>74</v>
      </c>
      <c r="H536" t="s">
        <v>74</v>
      </c>
      <c r="I536" t="s">
        <v>10579</v>
      </c>
      <c r="J536" t="s">
        <v>10580</v>
      </c>
      <c r="K536" t="s">
        <v>74</v>
      </c>
      <c r="L536" t="s">
        <v>74</v>
      </c>
      <c r="M536" t="s">
        <v>78</v>
      </c>
      <c r="N536" t="s">
        <v>2830</v>
      </c>
      <c r="O536" t="s">
        <v>74</v>
      </c>
      <c r="P536" t="s">
        <v>74</v>
      </c>
      <c r="Q536" t="s">
        <v>74</v>
      </c>
      <c r="R536" t="s">
        <v>74</v>
      </c>
      <c r="S536" t="s">
        <v>74</v>
      </c>
      <c r="T536" t="s">
        <v>74</v>
      </c>
      <c r="U536" t="s">
        <v>74</v>
      </c>
      <c r="V536" t="s">
        <v>74</v>
      </c>
      <c r="W536" t="s">
        <v>10581</v>
      </c>
      <c r="X536" t="s">
        <v>10582</v>
      </c>
      <c r="Y536" t="s">
        <v>2834</v>
      </c>
      <c r="Z536" t="s">
        <v>10583</v>
      </c>
      <c r="AA536" t="s">
        <v>10584</v>
      </c>
      <c r="AB536" t="s">
        <v>10585</v>
      </c>
      <c r="AC536" t="s">
        <v>74</v>
      </c>
      <c r="AD536" t="s">
        <v>74</v>
      </c>
      <c r="AE536" t="s">
        <v>74</v>
      </c>
      <c r="AF536" t="s">
        <v>74</v>
      </c>
      <c r="AG536">
        <v>2</v>
      </c>
      <c r="AH536">
        <v>1</v>
      </c>
      <c r="AI536">
        <v>1</v>
      </c>
      <c r="AJ536">
        <v>0</v>
      </c>
      <c r="AK536">
        <v>10</v>
      </c>
      <c r="AL536" t="s">
        <v>872</v>
      </c>
      <c r="AM536" t="s">
        <v>252</v>
      </c>
      <c r="AN536" t="s">
        <v>873</v>
      </c>
      <c r="AO536" t="s">
        <v>10586</v>
      </c>
      <c r="AP536" t="s">
        <v>74</v>
      </c>
      <c r="AQ536" t="s">
        <v>74</v>
      </c>
      <c r="AR536" t="s">
        <v>10587</v>
      </c>
      <c r="AS536" t="s">
        <v>10588</v>
      </c>
      <c r="AT536" t="s">
        <v>8493</v>
      </c>
      <c r="AU536">
        <v>2013</v>
      </c>
      <c r="AV536">
        <v>72</v>
      </c>
      <c r="AW536" t="s">
        <v>74</v>
      </c>
      <c r="AX536" t="s">
        <v>74</v>
      </c>
      <c r="AY536" t="s">
        <v>74</v>
      </c>
      <c r="AZ536" t="s">
        <v>74</v>
      </c>
      <c r="BA536" t="s">
        <v>74</v>
      </c>
      <c r="BB536">
        <v>473</v>
      </c>
      <c r="BC536">
        <v>473</v>
      </c>
      <c r="BD536" t="s">
        <v>74</v>
      </c>
      <c r="BE536" t="s">
        <v>10589</v>
      </c>
      <c r="BF536" t="str">
        <f>HYPERLINK("http://dx.doi.org/10.1016/j.oceaneng.2013.03.013","http://dx.doi.org/10.1016/j.oceaneng.2013.03.013")</f>
        <v>http://dx.doi.org/10.1016/j.oceaneng.2013.03.013</v>
      </c>
      <c r="BG536" t="s">
        <v>74</v>
      </c>
      <c r="BH536" t="s">
        <v>74</v>
      </c>
      <c r="BI536">
        <v>1</v>
      </c>
      <c r="BJ536" t="s">
        <v>10590</v>
      </c>
      <c r="BK536" t="s">
        <v>99</v>
      </c>
      <c r="BL536" t="s">
        <v>10591</v>
      </c>
      <c r="BM536" t="s">
        <v>10592</v>
      </c>
      <c r="BN536" t="s">
        <v>74</v>
      </c>
      <c r="BO536" t="s">
        <v>74</v>
      </c>
      <c r="BP536" t="s">
        <v>74</v>
      </c>
      <c r="BQ536" t="s">
        <v>74</v>
      </c>
      <c r="BR536" t="s">
        <v>103</v>
      </c>
      <c r="BS536" t="s">
        <v>10593</v>
      </c>
      <c r="BT536" t="str">
        <f>HYPERLINK("https%3A%2F%2Fwww.webofscience.com%2Fwos%2Fwoscc%2Ffull-record%2FWOS:000325587300043","View Full Record in Web of Science")</f>
        <v>View Full Record in Web of Science</v>
      </c>
    </row>
    <row r="537" spans="1:72" x14ac:dyDescent="0.15">
      <c r="A537" t="s">
        <v>72</v>
      </c>
      <c r="B537" t="s">
        <v>10594</v>
      </c>
      <c r="C537" t="s">
        <v>74</v>
      </c>
      <c r="D537" t="s">
        <v>74</v>
      </c>
      <c r="E537" t="s">
        <v>74</v>
      </c>
      <c r="F537" t="s">
        <v>10595</v>
      </c>
      <c r="G537" t="s">
        <v>74</v>
      </c>
      <c r="H537" t="s">
        <v>74</v>
      </c>
      <c r="I537" t="s">
        <v>10596</v>
      </c>
      <c r="J537" t="s">
        <v>6066</v>
      </c>
      <c r="K537" t="s">
        <v>74</v>
      </c>
      <c r="L537" t="s">
        <v>74</v>
      </c>
      <c r="M537" t="s">
        <v>78</v>
      </c>
      <c r="N537" t="s">
        <v>79</v>
      </c>
      <c r="O537" t="s">
        <v>74</v>
      </c>
      <c r="P537" t="s">
        <v>74</v>
      </c>
      <c r="Q537" t="s">
        <v>74</v>
      </c>
      <c r="R537" t="s">
        <v>74</v>
      </c>
      <c r="S537" t="s">
        <v>74</v>
      </c>
      <c r="T537" t="s">
        <v>10597</v>
      </c>
      <c r="U537" t="s">
        <v>10598</v>
      </c>
      <c r="V537" t="s">
        <v>10599</v>
      </c>
      <c r="W537" t="s">
        <v>10600</v>
      </c>
      <c r="X537" t="s">
        <v>10601</v>
      </c>
      <c r="Y537" t="s">
        <v>10602</v>
      </c>
      <c r="Z537" t="s">
        <v>10603</v>
      </c>
      <c r="AA537" t="s">
        <v>10604</v>
      </c>
      <c r="AB537" t="s">
        <v>10605</v>
      </c>
      <c r="AC537" t="s">
        <v>10606</v>
      </c>
      <c r="AD537" t="s">
        <v>10607</v>
      </c>
      <c r="AE537" t="s">
        <v>10608</v>
      </c>
      <c r="AF537" t="s">
        <v>74</v>
      </c>
      <c r="AG537">
        <v>70</v>
      </c>
      <c r="AH537">
        <v>141</v>
      </c>
      <c r="AI537">
        <v>158</v>
      </c>
      <c r="AJ537">
        <v>6</v>
      </c>
      <c r="AK537">
        <v>39</v>
      </c>
      <c r="AL537" t="s">
        <v>783</v>
      </c>
      <c r="AM537" t="s">
        <v>252</v>
      </c>
      <c r="AN537" t="s">
        <v>784</v>
      </c>
      <c r="AO537" t="s">
        <v>6078</v>
      </c>
      <c r="AP537" t="s">
        <v>6079</v>
      </c>
      <c r="AQ537" t="s">
        <v>74</v>
      </c>
      <c r="AR537" t="s">
        <v>6080</v>
      </c>
      <c r="AS537" t="s">
        <v>6081</v>
      </c>
      <c r="AT537" t="s">
        <v>8425</v>
      </c>
      <c r="AU537">
        <v>2013</v>
      </c>
      <c r="AV537">
        <v>71</v>
      </c>
      <c r="AW537" t="s">
        <v>74</v>
      </c>
      <c r="AX537" t="s">
        <v>74</v>
      </c>
      <c r="AY537" t="s">
        <v>74</v>
      </c>
      <c r="AZ537" t="s">
        <v>74</v>
      </c>
      <c r="BA537" t="s">
        <v>74</v>
      </c>
      <c r="BB537">
        <v>81</v>
      </c>
      <c r="BC537">
        <v>91</v>
      </c>
      <c r="BD537" t="s">
        <v>74</v>
      </c>
      <c r="BE537" t="s">
        <v>10609</v>
      </c>
      <c r="BF537" t="str">
        <f>HYPERLINK("http://dx.doi.org/10.1016/j.ocemod.2013.05.010","http://dx.doi.org/10.1016/j.ocemod.2013.05.010")</f>
        <v>http://dx.doi.org/10.1016/j.ocemod.2013.05.010</v>
      </c>
      <c r="BG537" t="s">
        <v>74</v>
      </c>
      <c r="BH537" t="s">
        <v>74</v>
      </c>
      <c r="BI537">
        <v>11</v>
      </c>
      <c r="BJ537" t="s">
        <v>2863</v>
      </c>
      <c r="BK537" t="s">
        <v>99</v>
      </c>
      <c r="BL537" t="s">
        <v>2863</v>
      </c>
      <c r="BM537" t="s">
        <v>10610</v>
      </c>
      <c r="BN537" t="s">
        <v>74</v>
      </c>
      <c r="BO537" t="s">
        <v>74</v>
      </c>
      <c r="BP537" t="s">
        <v>74</v>
      </c>
      <c r="BQ537" t="s">
        <v>74</v>
      </c>
      <c r="BR537" t="s">
        <v>103</v>
      </c>
      <c r="BS537" t="s">
        <v>10611</v>
      </c>
      <c r="BT537" t="str">
        <f>HYPERLINK("https%3A%2F%2Fwww.webofscience.com%2Fwos%2Fwoscc%2Ffull-record%2FWOS:000325646000008","View Full Record in Web of Science")</f>
        <v>View Full Record in Web of Science</v>
      </c>
    </row>
    <row r="538" spans="1:72" x14ac:dyDescent="0.15">
      <c r="A538" t="s">
        <v>72</v>
      </c>
      <c r="B538" t="s">
        <v>10594</v>
      </c>
      <c r="C538" t="s">
        <v>74</v>
      </c>
      <c r="D538" t="s">
        <v>74</v>
      </c>
      <c r="E538" t="s">
        <v>74</v>
      </c>
      <c r="F538" t="s">
        <v>10595</v>
      </c>
      <c r="G538" t="s">
        <v>74</v>
      </c>
      <c r="H538" t="s">
        <v>74</v>
      </c>
      <c r="I538" t="s">
        <v>10612</v>
      </c>
      <c r="J538" t="s">
        <v>6066</v>
      </c>
      <c r="K538" t="s">
        <v>74</v>
      </c>
      <c r="L538" t="s">
        <v>74</v>
      </c>
      <c r="M538" t="s">
        <v>78</v>
      </c>
      <c r="N538" t="s">
        <v>79</v>
      </c>
      <c r="O538" t="s">
        <v>74</v>
      </c>
      <c r="P538" t="s">
        <v>74</v>
      </c>
      <c r="Q538" t="s">
        <v>74</v>
      </c>
      <c r="R538" t="s">
        <v>74</v>
      </c>
      <c r="S538" t="s">
        <v>74</v>
      </c>
      <c r="T538" t="s">
        <v>10613</v>
      </c>
      <c r="U538" t="s">
        <v>10614</v>
      </c>
      <c r="V538" t="s">
        <v>10615</v>
      </c>
      <c r="W538" t="s">
        <v>10616</v>
      </c>
      <c r="X538" t="s">
        <v>10617</v>
      </c>
      <c r="Y538" t="s">
        <v>10602</v>
      </c>
      <c r="Z538" t="s">
        <v>10618</v>
      </c>
      <c r="AA538" t="s">
        <v>10619</v>
      </c>
      <c r="AB538" t="s">
        <v>10620</v>
      </c>
      <c r="AC538" t="s">
        <v>10621</v>
      </c>
      <c r="AD538" t="s">
        <v>10622</v>
      </c>
      <c r="AE538" t="s">
        <v>10608</v>
      </c>
      <c r="AF538" t="s">
        <v>74</v>
      </c>
      <c r="AG538">
        <v>28</v>
      </c>
      <c r="AH538">
        <v>96</v>
      </c>
      <c r="AI538">
        <v>109</v>
      </c>
      <c r="AJ538">
        <v>0</v>
      </c>
      <c r="AK538">
        <v>18</v>
      </c>
      <c r="AL538" t="s">
        <v>783</v>
      </c>
      <c r="AM538" t="s">
        <v>252</v>
      </c>
      <c r="AN538" t="s">
        <v>784</v>
      </c>
      <c r="AO538" t="s">
        <v>6078</v>
      </c>
      <c r="AP538" t="s">
        <v>6079</v>
      </c>
      <c r="AQ538" t="s">
        <v>74</v>
      </c>
      <c r="AR538" t="s">
        <v>6080</v>
      </c>
      <c r="AS538" t="s">
        <v>6081</v>
      </c>
      <c r="AT538" t="s">
        <v>8425</v>
      </c>
      <c r="AU538">
        <v>2013</v>
      </c>
      <c r="AV538">
        <v>71</v>
      </c>
      <c r="AW538" t="s">
        <v>74</v>
      </c>
      <c r="AX538" t="s">
        <v>74</v>
      </c>
      <c r="AY538" t="s">
        <v>74</v>
      </c>
      <c r="AZ538" t="s">
        <v>74</v>
      </c>
      <c r="BA538" t="s">
        <v>74</v>
      </c>
      <c r="BB538">
        <v>92</v>
      </c>
      <c r="BC538">
        <v>101</v>
      </c>
      <c r="BD538" t="s">
        <v>74</v>
      </c>
      <c r="BE538" t="s">
        <v>10623</v>
      </c>
      <c r="BF538" t="str">
        <f>HYPERLINK("http://dx.doi.org/10.1016/j.ocemod.2013.05.011","http://dx.doi.org/10.1016/j.ocemod.2013.05.011")</f>
        <v>http://dx.doi.org/10.1016/j.ocemod.2013.05.011</v>
      </c>
      <c r="BG538" t="s">
        <v>74</v>
      </c>
      <c r="BH538" t="s">
        <v>74</v>
      </c>
      <c r="BI538">
        <v>10</v>
      </c>
      <c r="BJ538" t="s">
        <v>2863</v>
      </c>
      <c r="BK538" t="s">
        <v>99</v>
      </c>
      <c r="BL538" t="s">
        <v>2863</v>
      </c>
      <c r="BM538" t="s">
        <v>10610</v>
      </c>
      <c r="BN538" t="s">
        <v>74</v>
      </c>
      <c r="BO538" t="s">
        <v>74</v>
      </c>
      <c r="BP538" t="s">
        <v>74</v>
      </c>
      <c r="BQ538" t="s">
        <v>74</v>
      </c>
      <c r="BR538" t="s">
        <v>103</v>
      </c>
      <c r="BS538" t="s">
        <v>10624</v>
      </c>
      <c r="BT538" t="str">
        <f>HYPERLINK("https%3A%2F%2Fwww.webofscience.com%2Fwos%2Fwoscc%2Ffull-record%2FWOS:000325646000009","View Full Record in Web of Science")</f>
        <v>View Full Record in Web of Science</v>
      </c>
    </row>
    <row r="539" spans="1:72" x14ac:dyDescent="0.15">
      <c r="A539" t="s">
        <v>72</v>
      </c>
      <c r="B539" t="s">
        <v>10625</v>
      </c>
      <c r="C539" t="s">
        <v>74</v>
      </c>
      <c r="D539" t="s">
        <v>74</v>
      </c>
      <c r="E539" t="s">
        <v>74</v>
      </c>
      <c r="F539" t="s">
        <v>10626</v>
      </c>
      <c r="G539" t="s">
        <v>74</v>
      </c>
      <c r="H539" t="s">
        <v>74</v>
      </c>
      <c r="I539" t="s">
        <v>10627</v>
      </c>
      <c r="J539" t="s">
        <v>10628</v>
      </c>
      <c r="K539" t="s">
        <v>74</v>
      </c>
      <c r="L539" t="s">
        <v>74</v>
      </c>
      <c r="M539" t="s">
        <v>78</v>
      </c>
      <c r="N539" t="s">
        <v>79</v>
      </c>
      <c r="O539" t="s">
        <v>74</v>
      </c>
      <c r="P539" t="s">
        <v>74</v>
      </c>
      <c r="Q539" t="s">
        <v>74</v>
      </c>
      <c r="R539" t="s">
        <v>74</v>
      </c>
      <c r="S539" t="s">
        <v>74</v>
      </c>
      <c r="T539" t="s">
        <v>10629</v>
      </c>
      <c r="U539" t="s">
        <v>10630</v>
      </c>
      <c r="V539" t="s">
        <v>10631</v>
      </c>
      <c r="W539" t="s">
        <v>10632</v>
      </c>
      <c r="X539" t="s">
        <v>10633</v>
      </c>
      <c r="Y539" t="s">
        <v>10634</v>
      </c>
      <c r="Z539" t="s">
        <v>10635</v>
      </c>
      <c r="AA539" t="s">
        <v>10636</v>
      </c>
      <c r="AB539" t="s">
        <v>10637</v>
      </c>
      <c r="AC539" t="s">
        <v>10638</v>
      </c>
      <c r="AD539" t="s">
        <v>2609</v>
      </c>
      <c r="AE539" t="s">
        <v>10639</v>
      </c>
      <c r="AF539" t="s">
        <v>74</v>
      </c>
      <c r="AG539">
        <v>43</v>
      </c>
      <c r="AH539">
        <v>6</v>
      </c>
      <c r="AI539">
        <v>6</v>
      </c>
      <c r="AJ539">
        <v>0</v>
      </c>
      <c r="AK539">
        <v>24</v>
      </c>
      <c r="AL539" t="s">
        <v>582</v>
      </c>
      <c r="AM539" t="s">
        <v>305</v>
      </c>
      <c r="AN539" t="s">
        <v>583</v>
      </c>
      <c r="AO539" t="s">
        <v>10640</v>
      </c>
      <c r="AP539" t="s">
        <v>10641</v>
      </c>
      <c r="AQ539" t="s">
        <v>74</v>
      </c>
      <c r="AR539" t="s">
        <v>10642</v>
      </c>
      <c r="AS539" t="s">
        <v>10643</v>
      </c>
      <c r="AT539" t="s">
        <v>8493</v>
      </c>
      <c r="AU539">
        <v>2013</v>
      </c>
      <c r="AV539">
        <v>262</v>
      </c>
      <c r="AW539" t="s">
        <v>74</v>
      </c>
      <c r="AX539" t="s">
        <v>74</v>
      </c>
      <c r="AY539" t="s">
        <v>74</v>
      </c>
      <c r="AZ539" t="s">
        <v>74</v>
      </c>
      <c r="BA539" t="s">
        <v>74</v>
      </c>
      <c r="BB539">
        <v>35</v>
      </c>
      <c r="BC539">
        <v>47</v>
      </c>
      <c r="BD539" t="s">
        <v>74</v>
      </c>
      <c r="BE539" t="s">
        <v>10644</v>
      </c>
      <c r="BF539" t="str">
        <f>HYPERLINK("http://dx.doi.org/10.1016/j.physd.2013.07.013","http://dx.doi.org/10.1016/j.physd.2013.07.013")</f>
        <v>http://dx.doi.org/10.1016/j.physd.2013.07.013</v>
      </c>
      <c r="BG539" t="s">
        <v>74</v>
      </c>
      <c r="BH539" t="s">
        <v>74</v>
      </c>
      <c r="BI539">
        <v>13</v>
      </c>
      <c r="BJ539" t="s">
        <v>10645</v>
      </c>
      <c r="BK539" t="s">
        <v>99</v>
      </c>
      <c r="BL539" t="s">
        <v>10646</v>
      </c>
      <c r="BM539" t="s">
        <v>10647</v>
      </c>
      <c r="BN539" t="s">
        <v>74</v>
      </c>
      <c r="BO539" t="s">
        <v>450</v>
      </c>
      <c r="BP539" t="s">
        <v>74</v>
      </c>
      <c r="BQ539" t="s">
        <v>74</v>
      </c>
      <c r="BR539" t="s">
        <v>103</v>
      </c>
      <c r="BS539" t="s">
        <v>10648</v>
      </c>
      <c r="BT539" t="str">
        <f>HYPERLINK("https%3A%2F%2Fwww.webofscience.com%2Fwos%2Fwoscc%2Ffull-record%2FWOS:000324976600003","View Full Record in Web of Science")</f>
        <v>View Full Record in Web of Science</v>
      </c>
    </row>
    <row r="540" spans="1:72" x14ac:dyDescent="0.15">
      <c r="A540" t="s">
        <v>72</v>
      </c>
      <c r="B540" t="s">
        <v>10649</v>
      </c>
      <c r="C540" t="s">
        <v>74</v>
      </c>
      <c r="D540" t="s">
        <v>74</v>
      </c>
      <c r="E540" t="s">
        <v>74</v>
      </c>
      <c r="F540" t="s">
        <v>10650</v>
      </c>
      <c r="G540" t="s">
        <v>74</v>
      </c>
      <c r="H540" t="s">
        <v>74</v>
      </c>
      <c r="I540" t="s">
        <v>10651</v>
      </c>
      <c r="J540" t="s">
        <v>8477</v>
      </c>
      <c r="K540" t="s">
        <v>74</v>
      </c>
      <c r="L540" t="s">
        <v>74</v>
      </c>
      <c r="M540" t="s">
        <v>78</v>
      </c>
      <c r="N540" t="s">
        <v>79</v>
      </c>
      <c r="O540" t="s">
        <v>74</v>
      </c>
      <c r="P540" t="s">
        <v>74</v>
      </c>
      <c r="Q540" t="s">
        <v>74</v>
      </c>
      <c r="R540" t="s">
        <v>74</v>
      </c>
      <c r="S540" t="s">
        <v>74</v>
      </c>
      <c r="T540" t="s">
        <v>74</v>
      </c>
      <c r="U540" t="s">
        <v>10652</v>
      </c>
      <c r="V540" t="s">
        <v>10653</v>
      </c>
      <c r="W540" t="s">
        <v>10654</v>
      </c>
      <c r="X540" t="s">
        <v>10655</v>
      </c>
      <c r="Y540" t="s">
        <v>2425</v>
      </c>
      <c r="Z540" t="s">
        <v>2426</v>
      </c>
      <c r="AA540" t="s">
        <v>10656</v>
      </c>
      <c r="AB540" t="s">
        <v>10657</v>
      </c>
      <c r="AC540" t="s">
        <v>10658</v>
      </c>
      <c r="AD540" t="s">
        <v>10659</v>
      </c>
      <c r="AE540" t="s">
        <v>10660</v>
      </c>
      <c r="AF540" t="s">
        <v>74</v>
      </c>
      <c r="AG540">
        <v>35</v>
      </c>
      <c r="AH540">
        <v>21</v>
      </c>
      <c r="AI540">
        <v>22</v>
      </c>
      <c r="AJ540">
        <v>0</v>
      </c>
      <c r="AK540">
        <v>18</v>
      </c>
      <c r="AL540" t="s">
        <v>5115</v>
      </c>
      <c r="AM540" t="s">
        <v>5116</v>
      </c>
      <c r="AN540" t="s">
        <v>5117</v>
      </c>
      <c r="AO540" t="s">
        <v>8489</v>
      </c>
      <c r="AP540" t="s">
        <v>8490</v>
      </c>
      <c r="AQ540" t="s">
        <v>74</v>
      </c>
      <c r="AR540" t="s">
        <v>8491</v>
      </c>
      <c r="AS540" t="s">
        <v>8492</v>
      </c>
      <c r="AT540" t="s">
        <v>8493</v>
      </c>
      <c r="AU540">
        <v>2013</v>
      </c>
      <c r="AV540">
        <v>86</v>
      </c>
      <c r="AW540">
        <v>6</v>
      </c>
      <c r="AX540" t="s">
        <v>74</v>
      </c>
      <c r="AY540" t="s">
        <v>74</v>
      </c>
      <c r="AZ540" t="s">
        <v>74</v>
      </c>
      <c r="BA540" t="s">
        <v>74</v>
      </c>
      <c r="BB540">
        <v>761</v>
      </c>
      <c r="BC540">
        <v>768</v>
      </c>
      <c r="BD540" t="s">
        <v>74</v>
      </c>
      <c r="BE540" t="s">
        <v>10661</v>
      </c>
      <c r="BF540" t="str">
        <f>HYPERLINK("http://dx.doi.org/10.1086/673755","http://dx.doi.org/10.1086/673755")</f>
        <v>http://dx.doi.org/10.1086/673755</v>
      </c>
      <c r="BG540" t="s">
        <v>74</v>
      </c>
      <c r="BH540" t="s">
        <v>74</v>
      </c>
      <c r="BI540">
        <v>8</v>
      </c>
      <c r="BJ540" t="s">
        <v>6186</v>
      </c>
      <c r="BK540" t="s">
        <v>99</v>
      </c>
      <c r="BL540" t="s">
        <v>6186</v>
      </c>
      <c r="BM540" t="s">
        <v>8495</v>
      </c>
      <c r="BN540">
        <v>24241072</v>
      </c>
      <c r="BO540" t="s">
        <v>450</v>
      </c>
      <c r="BP540" t="s">
        <v>74</v>
      </c>
      <c r="BQ540" t="s">
        <v>74</v>
      </c>
      <c r="BR540" t="s">
        <v>103</v>
      </c>
      <c r="BS540" t="s">
        <v>10662</v>
      </c>
      <c r="BT540" t="str">
        <f>HYPERLINK("https%3A%2F%2Fwww.webofscience.com%2Fwos%2Fwoscc%2Ffull-record%2FWOS:000330019600014","View Full Record in Web of Science")</f>
        <v>View Full Record in Web of Science</v>
      </c>
    </row>
    <row r="541" spans="1:72" x14ac:dyDescent="0.15">
      <c r="A541" t="s">
        <v>72</v>
      </c>
      <c r="B541" t="s">
        <v>10663</v>
      </c>
      <c r="C541" t="s">
        <v>74</v>
      </c>
      <c r="D541" t="s">
        <v>74</v>
      </c>
      <c r="E541" t="s">
        <v>74</v>
      </c>
      <c r="F541" t="s">
        <v>10664</v>
      </c>
      <c r="G541" t="s">
        <v>74</v>
      </c>
      <c r="H541" t="s">
        <v>74</v>
      </c>
      <c r="I541" t="s">
        <v>10665</v>
      </c>
      <c r="J541" t="s">
        <v>3405</v>
      </c>
      <c r="K541" t="s">
        <v>74</v>
      </c>
      <c r="L541" t="s">
        <v>74</v>
      </c>
      <c r="M541" t="s">
        <v>78</v>
      </c>
      <c r="N541" t="s">
        <v>2830</v>
      </c>
      <c r="O541" t="s">
        <v>74</v>
      </c>
      <c r="P541" t="s">
        <v>74</v>
      </c>
      <c r="Q541" t="s">
        <v>74</v>
      </c>
      <c r="R541" t="s">
        <v>74</v>
      </c>
      <c r="S541" t="s">
        <v>74</v>
      </c>
      <c r="T541" t="s">
        <v>10666</v>
      </c>
      <c r="U541" t="s">
        <v>10667</v>
      </c>
      <c r="V541" t="s">
        <v>10668</v>
      </c>
      <c r="W541" t="s">
        <v>10669</v>
      </c>
      <c r="X541" t="s">
        <v>10670</v>
      </c>
      <c r="Y541" t="s">
        <v>10671</v>
      </c>
      <c r="Z541" t="s">
        <v>10672</v>
      </c>
      <c r="AA541" t="s">
        <v>10673</v>
      </c>
      <c r="AB541" t="s">
        <v>10674</v>
      </c>
      <c r="AC541" t="s">
        <v>10675</v>
      </c>
      <c r="AD541" t="s">
        <v>10676</v>
      </c>
      <c r="AE541" t="s">
        <v>74</v>
      </c>
      <c r="AF541" t="s">
        <v>74</v>
      </c>
      <c r="AG541">
        <v>74</v>
      </c>
      <c r="AH541">
        <v>76</v>
      </c>
      <c r="AI541">
        <v>83</v>
      </c>
      <c r="AJ541">
        <v>1</v>
      </c>
      <c r="AK541">
        <v>91</v>
      </c>
      <c r="AL541" t="s">
        <v>872</v>
      </c>
      <c r="AM541" t="s">
        <v>252</v>
      </c>
      <c r="AN541" t="s">
        <v>873</v>
      </c>
      <c r="AO541" t="s">
        <v>3416</v>
      </c>
      <c r="AP541" t="s">
        <v>74</v>
      </c>
      <c r="AQ541" t="s">
        <v>74</v>
      </c>
      <c r="AR541" t="s">
        <v>3417</v>
      </c>
      <c r="AS541" t="s">
        <v>3418</v>
      </c>
      <c r="AT541" t="s">
        <v>8493</v>
      </c>
      <c r="AU541">
        <v>2013</v>
      </c>
      <c r="AV541">
        <v>79</v>
      </c>
      <c r="AW541" t="s">
        <v>74</v>
      </c>
      <c r="AX541" t="s">
        <v>74</v>
      </c>
      <c r="AY541" t="s">
        <v>74</v>
      </c>
      <c r="AZ541" t="s">
        <v>283</v>
      </c>
      <c r="BA541" t="s">
        <v>74</v>
      </c>
      <c r="BB541">
        <v>1</v>
      </c>
      <c r="BC541">
        <v>8</v>
      </c>
      <c r="BD541" t="s">
        <v>74</v>
      </c>
      <c r="BE541" t="s">
        <v>10677</v>
      </c>
      <c r="BF541" t="str">
        <f>HYPERLINK("http://dx.doi.org/10.1016/j.quascirev.2013.08.009","http://dx.doi.org/10.1016/j.quascirev.2013.08.009")</f>
        <v>http://dx.doi.org/10.1016/j.quascirev.2013.08.009</v>
      </c>
      <c r="BG541" t="s">
        <v>74</v>
      </c>
      <c r="BH541" t="s">
        <v>74</v>
      </c>
      <c r="BI541">
        <v>8</v>
      </c>
      <c r="BJ541" t="s">
        <v>98</v>
      </c>
      <c r="BK541" t="s">
        <v>99</v>
      </c>
      <c r="BL541" t="s">
        <v>100</v>
      </c>
      <c r="BM541" t="s">
        <v>8978</v>
      </c>
      <c r="BN541" t="s">
        <v>74</v>
      </c>
      <c r="BO541" t="s">
        <v>831</v>
      </c>
      <c r="BP541" t="s">
        <v>74</v>
      </c>
      <c r="BQ541" t="s">
        <v>74</v>
      </c>
      <c r="BR541" t="s">
        <v>103</v>
      </c>
      <c r="BS541" t="s">
        <v>10678</v>
      </c>
      <c r="BT541" t="str">
        <f>HYPERLINK("https%3A%2F%2Fwww.webofscience.com%2Fwos%2Fwoscc%2Ffull-record%2FWOS:000327909900001","View Full Record in Web of Science")</f>
        <v>View Full Record in Web of Science</v>
      </c>
    </row>
    <row r="542" spans="1:72" x14ac:dyDescent="0.15">
      <c r="A542" t="s">
        <v>72</v>
      </c>
      <c r="B542" t="s">
        <v>10679</v>
      </c>
      <c r="C542" t="s">
        <v>74</v>
      </c>
      <c r="D542" t="s">
        <v>74</v>
      </c>
      <c r="E542" t="s">
        <v>74</v>
      </c>
      <c r="F542" t="s">
        <v>10680</v>
      </c>
      <c r="G542" t="s">
        <v>74</v>
      </c>
      <c r="H542" t="s">
        <v>74</v>
      </c>
      <c r="I542" t="s">
        <v>10681</v>
      </c>
      <c r="J542" t="s">
        <v>3405</v>
      </c>
      <c r="K542" t="s">
        <v>74</v>
      </c>
      <c r="L542" t="s">
        <v>74</v>
      </c>
      <c r="M542" t="s">
        <v>78</v>
      </c>
      <c r="N542" t="s">
        <v>79</v>
      </c>
      <c r="O542" t="s">
        <v>74</v>
      </c>
      <c r="P542" t="s">
        <v>74</v>
      </c>
      <c r="Q542" t="s">
        <v>74</v>
      </c>
      <c r="R542" t="s">
        <v>74</v>
      </c>
      <c r="S542" t="s">
        <v>74</v>
      </c>
      <c r="T542" t="s">
        <v>10682</v>
      </c>
      <c r="U542" t="s">
        <v>10683</v>
      </c>
      <c r="V542" t="s">
        <v>10684</v>
      </c>
      <c r="W542" t="s">
        <v>10685</v>
      </c>
      <c r="X542" t="s">
        <v>10686</v>
      </c>
      <c r="Y542" t="s">
        <v>10687</v>
      </c>
      <c r="Z542" t="s">
        <v>10688</v>
      </c>
      <c r="AA542" t="s">
        <v>10689</v>
      </c>
      <c r="AB542" t="s">
        <v>10690</v>
      </c>
      <c r="AC542" t="s">
        <v>10691</v>
      </c>
      <c r="AD542" t="s">
        <v>10692</v>
      </c>
      <c r="AE542" t="s">
        <v>10693</v>
      </c>
      <c r="AF542" t="s">
        <v>74</v>
      </c>
      <c r="AG542">
        <v>88</v>
      </c>
      <c r="AH542">
        <v>52</v>
      </c>
      <c r="AI542">
        <v>60</v>
      </c>
      <c r="AJ542">
        <v>0</v>
      </c>
      <c r="AK542">
        <v>25</v>
      </c>
      <c r="AL542" t="s">
        <v>872</v>
      </c>
      <c r="AM542" t="s">
        <v>252</v>
      </c>
      <c r="AN542" t="s">
        <v>873</v>
      </c>
      <c r="AO542" t="s">
        <v>3416</v>
      </c>
      <c r="AP542" t="s">
        <v>74</v>
      </c>
      <c r="AQ542" t="s">
        <v>74</v>
      </c>
      <c r="AR542" t="s">
        <v>3417</v>
      </c>
      <c r="AS542" t="s">
        <v>3418</v>
      </c>
      <c r="AT542" t="s">
        <v>8493</v>
      </c>
      <c r="AU542">
        <v>2013</v>
      </c>
      <c r="AV542">
        <v>79</v>
      </c>
      <c r="AW542" t="s">
        <v>74</v>
      </c>
      <c r="AX542" t="s">
        <v>74</v>
      </c>
      <c r="AY542" t="s">
        <v>74</v>
      </c>
      <c r="AZ542" t="s">
        <v>283</v>
      </c>
      <c r="BA542" t="s">
        <v>74</v>
      </c>
      <c r="BB542">
        <v>87</v>
      </c>
      <c r="BC542">
        <v>98</v>
      </c>
      <c r="BD542" t="s">
        <v>74</v>
      </c>
      <c r="BE542" t="s">
        <v>10694</v>
      </c>
      <c r="BF542" t="str">
        <f>HYPERLINK("http://dx.doi.org/10.1016/j.quascirev.2013.02.004","http://dx.doi.org/10.1016/j.quascirev.2013.02.004")</f>
        <v>http://dx.doi.org/10.1016/j.quascirev.2013.02.004</v>
      </c>
      <c r="BG542" t="s">
        <v>74</v>
      </c>
      <c r="BH542" t="s">
        <v>74</v>
      </c>
      <c r="BI542">
        <v>12</v>
      </c>
      <c r="BJ542" t="s">
        <v>98</v>
      </c>
      <c r="BK542" t="s">
        <v>99</v>
      </c>
      <c r="BL542" t="s">
        <v>100</v>
      </c>
      <c r="BM542" t="s">
        <v>8978</v>
      </c>
      <c r="BN542" t="s">
        <v>74</v>
      </c>
      <c r="BO542" t="s">
        <v>74</v>
      </c>
      <c r="BP542" t="s">
        <v>74</v>
      </c>
      <c r="BQ542" t="s">
        <v>74</v>
      </c>
      <c r="BR542" t="s">
        <v>103</v>
      </c>
      <c r="BS542" t="s">
        <v>10695</v>
      </c>
      <c r="BT542" t="str">
        <f>HYPERLINK("https%3A%2F%2Fwww.webofscience.com%2Fwos%2Fwoscc%2Ffull-record%2FWOS:000327909900008","View Full Record in Web of Science")</f>
        <v>View Full Record in Web of Science</v>
      </c>
    </row>
    <row r="543" spans="1:72" x14ac:dyDescent="0.15">
      <c r="A543" t="s">
        <v>72</v>
      </c>
      <c r="B543" t="s">
        <v>10696</v>
      </c>
      <c r="C543" t="s">
        <v>74</v>
      </c>
      <c r="D543" t="s">
        <v>74</v>
      </c>
      <c r="E543" t="s">
        <v>74</v>
      </c>
      <c r="F543" t="s">
        <v>10697</v>
      </c>
      <c r="G543" t="s">
        <v>74</v>
      </c>
      <c r="H543" t="s">
        <v>74</v>
      </c>
      <c r="I543" t="s">
        <v>10698</v>
      </c>
      <c r="J543" t="s">
        <v>3405</v>
      </c>
      <c r="K543" t="s">
        <v>74</v>
      </c>
      <c r="L543" t="s">
        <v>74</v>
      </c>
      <c r="M543" t="s">
        <v>78</v>
      </c>
      <c r="N543" t="s">
        <v>213</v>
      </c>
      <c r="O543" t="s">
        <v>74</v>
      </c>
      <c r="P543" t="s">
        <v>74</v>
      </c>
      <c r="Q543" t="s">
        <v>74</v>
      </c>
      <c r="R543" t="s">
        <v>74</v>
      </c>
      <c r="S543" t="s">
        <v>74</v>
      </c>
      <c r="T543" t="s">
        <v>10699</v>
      </c>
      <c r="U543" t="s">
        <v>10700</v>
      </c>
      <c r="V543" t="s">
        <v>10701</v>
      </c>
      <c r="W543" t="s">
        <v>10702</v>
      </c>
      <c r="X543" t="s">
        <v>10703</v>
      </c>
      <c r="Y543" t="s">
        <v>10704</v>
      </c>
      <c r="Z543" t="s">
        <v>10705</v>
      </c>
      <c r="AA543" t="s">
        <v>10706</v>
      </c>
      <c r="AB543" t="s">
        <v>10707</v>
      </c>
      <c r="AC543" t="s">
        <v>10708</v>
      </c>
      <c r="AD543" t="s">
        <v>10709</v>
      </c>
      <c r="AE543" t="s">
        <v>10710</v>
      </c>
      <c r="AF543" t="s">
        <v>74</v>
      </c>
      <c r="AG543">
        <v>116</v>
      </c>
      <c r="AH543">
        <v>99</v>
      </c>
      <c r="AI543">
        <v>111</v>
      </c>
      <c r="AJ543">
        <v>3</v>
      </c>
      <c r="AK543">
        <v>119</v>
      </c>
      <c r="AL543" t="s">
        <v>872</v>
      </c>
      <c r="AM543" t="s">
        <v>252</v>
      </c>
      <c r="AN543" t="s">
        <v>873</v>
      </c>
      <c r="AO543" t="s">
        <v>3416</v>
      </c>
      <c r="AP543" t="s">
        <v>74</v>
      </c>
      <c r="AQ543" t="s">
        <v>74</v>
      </c>
      <c r="AR543" t="s">
        <v>3417</v>
      </c>
      <c r="AS543" t="s">
        <v>3418</v>
      </c>
      <c r="AT543" t="s">
        <v>8493</v>
      </c>
      <c r="AU543">
        <v>2013</v>
      </c>
      <c r="AV543">
        <v>79</v>
      </c>
      <c r="AW543" t="s">
        <v>74</v>
      </c>
      <c r="AX543" t="s">
        <v>74</v>
      </c>
      <c r="AY543" t="s">
        <v>74</v>
      </c>
      <c r="AZ543" t="s">
        <v>283</v>
      </c>
      <c r="BA543" t="s">
        <v>74</v>
      </c>
      <c r="BB543">
        <v>168</v>
      </c>
      <c r="BC543">
        <v>183</v>
      </c>
      <c r="BD543" t="s">
        <v>74</v>
      </c>
      <c r="BE543" t="s">
        <v>10711</v>
      </c>
      <c r="BF543" t="str">
        <f>HYPERLINK("http://dx.doi.org/10.1016/j.quascirev.2013.01.011","http://dx.doi.org/10.1016/j.quascirev.2013.01.011")</f>
        <v>http://dx.doi.org/10.1016/j.quascirev.2013.01.011</v>
      </c>
      <c r="BG543" t="s">
        <v>74</v>
      </c>
      <c r="BH543" t="s">
        <v>74</v>
      </c>
      <c r="BI543">
        <v>16</v>
      </c>
      <c r="BJ543" t="s">
        <v>98</v>
      </c>
      <c r="BK543" t="s">
        <v>99</v>
      </c>
      <c r="BL543" t="s">
        <v>100</v>
      </c>
      <c r="BM543" t="s">
        <v>8978</v>
      </c>
      <c r="BN543" t="s">
        <v>74</v>
      </c>
      <c r="BO543" t="s">
        <v>74</v>
      </c>
      <c r="BP543" t="s">
        <v>74</v>
      </c>
      <c r="BQ543" t="s">
        <v>74</v>
      </c>
      <c r="BR543" t="s">
        <v>103</v>
      </c>
      <c r="BS543" t="s">
        <v>10712</v>
      </c>
      <c r="BT543" t="str">
        <f>HYPERLINK("https%3A%2F%2Fwww.webofscience.com%2Fwos%2Fwoscc%2Ffull-record%2FWOS:000327909900015","View Full Record in Web of Science")</f>
        <v>View Full Record in Web of Science</v>
      </c>
    </row>
    <row r="544" spans="1:72" x14ac:dyDescent="0.15">
      <c r="A544" t="s">
        <v>72</v>
      </c>
      <c r="B544" t="s">
        <v>10713</v>
      </c>
      <c r="C544" t="s">
        <v>74</v>
      </c>
      <c r="D544" t="s">
        <v>74</v>
      </c>
      <c r="E544" t="s">
        <v>74</v>
      </c>
      <c r="F544" t="s">
        <v>10714</v>
      </c>
      <c r="G544" t="s">
        <v>74</v>
      </c>
      <c r="H544" t="s">
        <v>74</v>
      </c>
      <c r="I544" t="s">
        <v>10715</v>
      </c>
      <c r="J544" t="s">
        <v>3405</v>
      </c>
      <c r="K544" t="s">
        <v>74</v>
      </c>
      <c r="L544" t="s">
        <v>74</v>
      </c>
      <c r="M544" t="s">
        <v>78</v>
      </c>
      <c r="N544" t="s">
        <v>79</v>
      </c>
      <c r="O544" t="s">
        <v>74</v>
      </c>
      <c r="P544" t="s">
        <v>74</v>
      </c>
      <c r="Q544" t="s">
        <v>74</v>
      </c>
      <c r="R544" t="s">
        <v>74</v>
      </c>
      <c r="S544" t="s">
        <v>74</v>
      </c>
      <c r="T544" t="s">
        <v>10716</v>
      </c>
      <c r="U544" t="s">
        <v>10717</v>
      </c>
      <c r="V544" t="s">
        <v>10718</v>
      </c>
      <c r="W544" t="s">
        <v>10719</v>
      </c>
      <c r="X544" t="s">
        <v>10720</v>
      </c>
      <c r="Y544" t="s">
        <v>10721</v>
      </c>
      <c r="Z544" t="s">
        <v>10722</v>
      </c>
      <c r="AA544" t="s">
        <v>10723</v>
      </c>
      <c r="AB544" t="s">
        <v>10724</v>
      </c>
      <c r="AC544" t="s">
        <v>10725</v>
      </c>
      <c r="AD544" t="s">
        <v>10726</v>
      </c>
      <c r="AE544" t="s">
        <v>10727</v>
      </c>
      <c r="AF544" t="s">
        <v>74</v>
      </c>
      <c r="AG544">
        <v>313</v>
      </c>
      <c r="AH544">
        <v>177</v>
      </c>
      <c r="AI544">
        <v>191</v>
      </c>
      <c r="AJ544">
        <v>1</v>
      </c>
      <c r="AK544">
        <v>221</v>
      </c>
      <c r="AL544" t="s">
        <v>872</v>
      </c>
      <c r="AM544" t="s">
        <v>252</v>
      </c>
      <c r="AN544" t="s">
        <v>873</v>
      </c>
      <c r="AO544" t="s">
        <v>3416</v>
      </c>
      <c r="AP544" t="s">
        <v>4643</v>
      </c>
      <c r="AQ544" t="s">
        <v>74</v>
      </c>
      <c r="AR544" t="s">
        <v>3417</v>
      </c>
      <c r="AS544" t="s">
        <v>3418</v>
      </c>
      <c r="AT544" t="s">
        <v>8493</v>
      </c>
      <c r="AU544">
        <v>2013</v>
      </c>
      <c r="AV544">
        <v>79</v>
      </c>
      <c r="AW544" t="s">
        <v>74</v>
      </c>
      <c r="AX544" t="s">
        <v>74</v>
      </c>
      <c r="AY544" t="s">
        <v>74</v>
      </c>
      <c r="AZ544" t="s">
        <v>283</v>
      </c>
      <c r="BA544" t="s">
        <v>74</v>
      </c>
      <c r="BB544">
        <v>207</v>
      </c>
      <c r="BC544">
        <v>230</v>
      </c>
      <c r="BD544" t="s">
        <v>74</v>
      </c>
      <c r="BE544" t="s">
        <v>10728</v>
      </c>
      <c r="BF544" t="str">
        <f>HYPERLINK("http://dx.doi.org/10.1016/j.quascirev.2013.04.011","http://dx.doi.org/10.1016/j.quascirev.2013.04.011")</f>
        <v>http://dx.doi.org/10.1016/j.quascirev.2013.04.011</v>
      </c>
      <c r="BG544" t="s">
        <v>74</v>
      </c>
      <c r="BH544" t="s">
        <v>74</v>
      </c>
      <c r="BI544">
        <v>24</v>
      </c>
      <c r="BJ544" t="s">
        <v>98</v>
      </c>
      <c r="BK544" t="s">
        <v>99</v>
      </c>
      <c r="BL544" t="s">
        <v>100</v>
      </c>
      <c r="BM544" t="s">
        <v>8978</v>
      </c>
      <c r="BN544" t="s">
        <v>74</v>
      </c>
      <c r="BO544" t="s">
        <v>1145</v>
      </c>
      <c r="BP544" t="s">
        <v>74</v>
      </c>
      <c r="BQ544" t="s">
        <v>74</v>
      </c>
      <c r="BR544" t="s">
        <v>103</v>
      </c>
      <c r="BS544" t="s">
        <v>10729</v>
      </c>
      <c r="BT544" t="str">
        <f>HYPERLINK("https%3A%2F%2Fwww.webofscience.com%2Fwos%2Fwoscc%2Ffull-record%2FWOS:000327909900018","View Full Record in Web of Science")</f>
        <v>View Full Record in Web of Science</v>
      </c>
    </row>
    <row r="545" spans="1:72" x14ac:dyDescent="0.15">
      <c r="A545" t="s">
        <v>72</v>
      </c>
      <c r="B545" t="s">
        <v>10730</v>
      </c>
      <c r="C545" t="s">
        <v>74</v>
      </c>
      <c r="D545" t="s">
        <v>74</v>
      </c>
      <c r="E545" t="s">
        <v>74</v>
      </c>
      <c r="F545" t="s">
        <v>10731</v>
      </c>
      <c r="G545" t="s">
        <v>74</v>
      </c>
      <c r="H545" t="s">
        <v>74</v>
      </c>
      <c r="I545" t="s">
        <v>10732</v>
      </c>
      <c r="J545" t="s">
        <v>10733</v>
      </c>
      <c r="K545" t="s">
        <v>74</v>
      </c>
      <c r="L545" t="s">
        <v>74</v>
      </c>
      <c r="M545" t="s">
        <v>78</v>
      </c>
      <c r="N545" t="s">
        <v>79</v>
      </c>
      <c r="O545" t="s">
        <v>74</v>
      </c>
      <c r="P545" t="s">
        <v>74</v>
      </c>
      <c r="Q545" t="s">
        <v>74</v>
      </c>
      <c r="R545" t="s">
        <v>74</v>
      </c>
      <c r="S545" t="s">
        <v>74</v>
      </c>
      <c r="T545" t="s">
        <v>10734</v>
      </c>
      <c r="U545" t="s">
        <v>10735</v>
      </c>
      <c r="V545" t="s">
        <v>10736</v>
      </c>
      <c r="W545" t="s">
        <v>10737</v>
      </c>
      <c r="X545" t="s">
        <v>10738</v>
      </c>
      <c r="Y545" t="s">
        <v>10739</v>
      </c>
      <c r="Z545" t="s">
        <v>10740</v>
      </c>
      <c r="AA545" t="s">
        <v>10741</v>
      </c>
      <c r="AB545" t="s">
        <v>10742</v>
      </c>
      <c r="AC545" t="s">
        <v>10743</v>
      </c>
      <c r="AD545" t="s">
        <v>10744</v>
      </c>
      <c r="AE545" t="s">
        <v>10745</v>
      </c>
      <c r="AF545" t="s">
        <v>74</v>
      </c>
      <c r="AG545">
        <v>44</v>
      </c>
      <c r="AH545">
        <v>34</v>
      </c>
      <c r="AI545">
        <v>39</v>
      </c>
      <c r="AJ545">
        <v>2</v>
      </c>
      <c r="AK545">
        <v>44</v>
      </c>
      <c r="AL545" t="s">
        <v>304</v>
      </c>
      <c r="AM545" t="s">
        <v>305</v>
      </c>
      <c r="AN545" t="s">
        <v>306</v>
      </c>
      <c r="AO545" t="s">
        <v>10746</v>
      </c>
      <c r="AP545" t="s">
        <v>10747</v>
      </c>
      <c r="AQ545" t="s">
        <v>74</v>
      </c>
      <c r="AR545" t="s">
        <v>10748</v>
      </c>
      <c r="AS545" t="s">
        <v>10749</v>
      </c>
      <c r="AT545" t="s">
        <v>8425</v>
      </c>
      <c r="AU545">
        <v>2013</v>
      </c>
      <c r="AV545">
        <v>164</v>
      </c>
      <c r="AW545">
        <v>9</v>
      </c>
      <c r="AX545" t="s">
        <v>74</v>
      </c>
      <c r="AY545" t="s">
        <v>74</v>
      </c>
      <c r="AZ545" t="s">
        <v>74</v>
      </c>
      <c r="BA545" t="s">
        <v>74</v>
      </c>
      <c r="BB545">
        <v>949</v>
      </c>
      <c r="BC545">
        <v>958</v>
      </c>
      <c r="BD545" t="s">
        <v>74</v>
      </c>
      <c r="BE545" t="s">
        <v>10750</v>
      </c>
      <c r="BF545" t="str">
        <f>HYPERLINK("http://dx.doi.org/10.1016/j.resmic.2013.08.005","http://dx.doi.org/10.1016/j.resmic.2013.08.005")</f>
        <v>http://dx.doi.org/10.1016/j.resmic.2013.08.005</v>
      </c>
      <c r="BG545" t="s">
        <v>74</v>
      </c>
      <c r="BH545" t="s">
        <v>74</v>
      </c>
      <c r="BI545">
        <v>10</v>
      </c>
      <c r="BJ545" t="s">
        <v>815</v>
      </c>
      <c r="BK545" t="s">
        <v>99</v>
      </c>
      <c r="BL545" t="s">
        <v>815</v>
      </c>
      <c r="BM545" t="s">
        <v>10751</v>
      </c>
      <c r="BN545">
        <v>24012540</v>
      </c>
      <c r="BO545" t="s">
        <v>524</v>
      </c>
      <c r="BP545" t="s">
        <v>74</v>
      </c>
      <c r="BQ545" t="s">
        <v>74</v>
      </c>
      <c r="BR545" t="s">
        <v>103</v>
      </c>
      <c r="BS545" t="s">
        <v>10752</v>
      </c>
      <c r="BT545" t="str">
        <f>HYPERLINK("https%3A%2F%2Fwww.webofscience.com%2Fwos%2Fwoscc%2Ffull-record%2FWOS:000326362600008","View Full Record in Web of Science")</f>
        <v>View Full Record in Web of Science</v>
      </c>
    </row>
    <row r="546" spans="1:72" x14ac:dyDescent="0.15">
      <c r="A546" t="s">
        <v>72</v>
      </c>
      <c r="B546" t="s">
        <v>10753</v>
      </c>
      <c r="C546" t="s">
        <v>74</v>
      </c>
      <c r="D546" t="s">
        <v>74</v>
      </c>
      <c r="E546" t="s">
        <v>74</v>
      </c>
      <c r="F546" t="s">
        <v>10754</v>
      </c>
      <c r="G546" t="s">
        <v>74</v>
      </c>
      <c r="H546" t="s">
        <v>74</v>
      </c>
      <c r="I546" t="s">
        <v>10755</v>
      </c>
      <c r="J546" t="s">
        <v>4649</v>
      </c>
      <c r="K546" t="s">
        <v>74</v>
      </c>
      <c r="L546" t="s">
        <v>74</v>
      </c>
      <c r="M546" t="s">
        <v>78</v>
      </c>
      <c r="N546" t="s">
        <v>79</v>
      </c>
      <c r="O546" t="s">
        <v>74</v>
      </c>
      <c r="P546" t="s">
        <v>74</v>
      </c>
      <c r="Q546" t="s">
        <v>74</v>
      </c>
      <c r="R546" t="s">
        <v>74</v>
      </c>
      <c r="S546" t="s">
        <v>74</v>
      </c>
      <c r="T546" t="s">
        <v>74</v>
      </c>
      <c r="U546" t="s">
        <v>10756</v>
      </c>
      <c r="V546" t="s">
        <v>10757</v>
      </c>
      <c r="W546" t="s">
        <v>10758</v>
      </c>
      <c r="X546" t="s">
        <v>10759</v>
      </c>
      <c r="Y546" t="s">
        <v>10760</v>
      </c>
      <c r="Z546" t="s">
        <v>10761</v>
      </c>
      <c r="AA546" t="s">
        <v>10762</v>
      </c>
      <c r="AB546" t="s">
        <v>10763</v>
      </c>
      <c r="AC546" t="s">
        <v>10764</v>
      </c>
      <c r="AD546" t="s">
        <v>10765</v>
      </c>
      <c r="AE546" t="s">
        <v>10766</v>
      </c>
      <c r="AF546" t="s">
        <v>74</v>
      </c>
      <c r="AG546">
        <v>55</v>
      </c>
      <c r="AH546">
        <v>59</v>
      </c>
      <c r="AI546">
        <v>66</v>
      </c>
      <c r="AJ546">
        <v>4</v>
      </c>
      <c r="AK546">
        <v>123</v>
      </c>
      <c r="AL546" t="s">
        <v>4661</v>
      </c>
      <c r="AM546" t="s">
        <v>2800</v>
      </c>
      <c r="AN546" t="s">
        <v>4662</v>
      </c>
      <c r="AO546" t="s">
        <v>4663</v>
      </c>
      <c r="AP546" t="s">
        <v>74</v>
      </c>
      <c r="AQ546" t="s">
        <v>74</v>
      </c>
      <c r="AR546" t="s">
        <v>4664</v>
      </c>
      <c r="AS546" t="s">
        <v>4665</v>
      </c>
      <c r="AT546" t="s">
        <v>8493</v>
      </c>
      <c r="AU546">
        <v>2013</v>
      </c>
      <c r="AV546">
        <v>3</v>
      </c>
      <c r="AW546" t="s">
        <v>74</v>
      </c>
      <c r="AX546" t="s">
        <v>74</v>
      </c>
      <c r="AY546" t="s">
        <v>74</v>
      </c>
      <c r="AZ546" t="s">
        <v>74</v>
      </c>
      <c r="BA546" t="s">
        <v>74</v>
      </c>
      <c r="BB546" t="s">
        <v>74</v>
      </c>
      <c r="BC546" t="s">
        <v>74</v>
      </c>
      <c r="BD546">
        <v>3119</v>
      </c>
      <c r="BE546" t="s">
        <v>10767</v>
      </c>
      <c r="BF546" t="str">
        <f>HYPERLINK("http://dx.doi.org/10.1038/srep03119","http://dx.doi.org/10.1038/srep03119")</f>
        <v>http://dx.doi.org/10.1038/srep03119</v>
      </c>
      <c r="BG546" t="s">
        <v>74</v>
      </c>
      <c r="BH546" t="s">
        <v>74</v>
      </c>
      <c r="BI546">
        <v>7</v>
      </c>
      <c r="BJ546" t="s">
        <v>2652</v>
      </c>
      <c r="BK546" t="s">
        <v>99</v>
      </c>
      <c r="BL546" t="s">
        <v>2653</v>
      </c>
      <c r="BM546" t="s">
        <v>10768</v>
      </c>
      <c r="BN546">
        <v>24176935</v>
      </c>
      <c r="BO546" t="s">
        <v>4951</v>
      </c>
      <c r="BP546" t="s">
        <v>74</v>
      </c>
      <c r="BQ546" t="s">
        <v>74</v>
      </c>
      <c r="BR546" t="s">
        <v>103</v>
      </c>
      <c r="BS546" t="s">
        <v>10769</v>
      </c>
      <c r="BT546" t="str">
        <f>HYPERLINK("https%3A%2F%2Fwww.webofscience.com%2Fwos%2Fwoscc%2Ffull-record%2FWOS:000326494200003","View Full Record in Web of Science")</f>
        <v>View Full Record in Web of Science</v>
      </c>
    </row>
    <row r="547" spans="1:72" x14ac:dyDescent="0.15">
      <c r="A547" t="s">
        <v>72</v>
      </c>
      <c r="B547" t="s">
        <v>10770</v>
      </c>
      <c r="C547" t="s">
        <v>74</v>
      </c>
      <c r="D547" t="s">
        <v>74</v>
      </c>
      <c r="E547" t="s">
        <v>74</v>
      </c>
      <c r="F547" t="s">
        <v>10771</v>
      </c>
      <c r="G547" t="s">
        <v>74</v>
      </c>
      <c r="H547" t="s">
        <v>74</v>
      </c>
      <c r="I547" t="s">
        <v>10772</v>
      </c>
      <c r="J547" t="s">
        <v>3657</v>
      </c>
      <c r="K547" t="s">
        <v>74</v>
      </c>
      <c r="L547" t="s">
        <v>74</v>
      </c>
      <c r="M547" t="s">
        <v>78</v>
      </c>
      <c r="N547" t="s">
        <v>79</v>
      </c>
      <c r="O547" t="s">
        <v>74</v>
      </c>
      <c r="P547" t="s">
        <v>74</v>
      </c>
      <c r="Q547" t="s">
        <v>74</v>
      </c>
      <c r="R547" t="s">
        <v>74</v>
      </c>
      <c r="S547" t="s">
        <v>74</v>
      </c>
      <c r="T547" t="s">
        <v>10773</v>
      </c>
      <c r="U547" t="s">
        <v>10774</v>
      </c>
      <c r="V547" t="s">
        <v>10775</v>
      </c>
      <c r="W547" t="s">
        <v>10776</v>
      </c>
      <c r="X547" t="s">
        <v>10777</v>
      </c>
      <c r="Y547" t="s">
        <v>10778</v>
      </c>
      <c r="Z547" t="s">
        <v>10779</v>
      </c>
      <c r="AA547" t="s">
        <v>10780</v>
      </c>
      <c r="AB547" t="s">
        <v>10781</v>
      </c>
      <c r="AC547" t="s">
        <v>10782</v>
      </c>
      <c r="AD547" t="s">
        <v>10783</v>
      </c>
      <c r="AE547" t="s">
        <v>10784</v>
      </c>
      <c r="AF547" t="s">
        <v>74</v>
      </c>
      <c r="AG547">
        <v>24</v>
      </c>
      <c r="AH547">
        <v>13</v>
      </c>
      <c r="AI547">
        <v>14</v>
      </c>
      <c r="AJ547">
        <v>0</v>
      </c>
      <c r="AK547">
        <v>41</v>
      </c>
      <c r="AL547" t="s">
        <v>872</v>
      </c>
      <c r="AM547" t="s">
        <v>252</v>
      </c>
      <c r="AN547" t="s">
        <v>873</v>
      </c>
      <c r="AO547" t="s">
        <v>3670</v>
      </c>
      <c r="AP547" t="s">
        <v>74</v>
      </c>
      <c r="AQ547" t="s">
        <v>74</v>
      </c>
      <c r="AR547" t="s">
        <v>3672</v>
      </c>
      <c r="AS547" t="s">
        <v>3673</v>
      </c>
      <c r="AT547" t="s">
        <v>8425</v>
      </c>
      <c r="AU547">
        <v>2013</v>
      </c>
      <c r="AV547">
        <v>66</v>
      </c>
      <c r="AW547" t="s">
        <v>74</v>
      </c>
      <c r="AX547" t="s">
        <v>74</v>
      </c>
      <c r="AY547" t="s">
        <v>74</v>
      </c>
      <c r="AZ547" t="s">
        <v>74</v>
      </c>
      <c r="BA547" t="s">
        <v>74</v>
      </c>
      <c r="BB547">
        <v>193</v>
      </c>
      <c r="BC547">
        <v>196</v>
      </c>
      <c r="BD547" t="s">
        <v>74</v>
      </c>
      <c r="BE547" t="s">
        <v>10785</v>
      </c>
      <c r="BF547" t="str">
        <f>HYPERLINK("http://dx.doi.org/10.1016/j.soilbio.2013.07.006","http://dx.doi.org/10.1016/j.soilbio.2013.07.006")</f>
        <v>http://dx.doi.org/10.1016/j.soilbio.2013.07.006</v>
      </c>
      <c r="BG547" t="s">
        <v>74</v>
      </c>
      <c r="BH547" t="s">
        <v>74</v>
      </c>
      <c r="BI547">
        <v>4</v>
      </c>
      <c r="BJ547" t="s">
        <v>3675</v>
      </c>
      <c r="BK547" t="s">
        <v>99</v>
      </c>
      <c r="BL547" t="s">
        <v>3676</v>
      </c>
      <c r="BM547" t="s">
        <v>10786</v>
      </c>
      <c r="BN547" t="s">
        <v>74</v>
      </c>
      <c r="BO547" t="s">
        <v>74</v>
      </c>
      <c r="BP547" t="s">
        <v>74</v>
      </c>
      <c r="BQ547" t="s">
        <v>74</v>
      </c>
      <c r="BR547" t="s">
        <v>103</v>
      </c>
      <c r="BS547" t="s">
        <v>10787</v>
      </c>
      <c r="BT547" t="str">
        <f>HYPERLINK("https%3A%2F%2Fwww.webofscience.com%2Fwos%2Fwoscc%2Ffull-record%2FWOS:000325665400024","View Full Record in Web of Science")</f>
        <v>View Full Record in Web of Science</v>
      </c>
    </row>
    <row r="548" spans="1:72" x14ac:dyDescent="0.15">
      <c r="A548" t="s">
        <v>72</v>
      </c>
      <c r="B548" t="s">
        <v>10788</v>
      </c>
      <c r="C548" t="s">
        <v>74</v>
      </c>
      <c r="D548" t="s">
        <v>74</v>
      </c>
      <c r="E548" t="s">
        <v>74</v>
      </c>
      <c r="F548" t="s">
        <v>10789</v>
      </c>
      <c r="G548" t="s">
        <v>74</v>
      </c>
      <c r="H548" t="s">
        <v>74</v>
      </c>
      <c r="I548" t="s">
        <v>10790</v>
      </c>
      <c r="J548" t="s">
        <v>10791</v>
      </c>
      <c r="K548" t="s">
        <v>74</v>
      </c>
      <c r="L548" t="s">
        <v>74</v>
      </c>
      <c r="M548" t="s">
        <v>78</v>
      </c>
      <c r="N548" t="s">
        <v>213</v>
      </c>
      <c r="O548" t="s">
        <v>74</v>
      </c>
      <c r="P548" t="s">
        <v>74</v>
      </c>
      <c r="Q548" t="s">
        <v>74</v>
      </c>
      <c r="R548" t="s">
        <v>74</v>
      </c>
      <c r="S548" t="s">
        <v>74</v>
      </c>
      <c r="T548" t="s">
        <v>10792</v>
      </c>
      <c r="U548" t="s">
        <v>10793</v>
      </c>
      <c r="V548" t="s">
        <v>10794</v>
      </c>
      <c r="W548" t="s">
        <v>10795</v>
      </c>
      <c r="X548" t="s">
        <v>10796</v>
      </c>
      <c r="Y548" t="s">
        <v>10797</v>
      </c>
      <c r="Z548" t="s">
        <v>10798</v>
      </c>
      <c r="AA548" t="s">
        <v>10799</v>
      </c>
      <c r="AB548" t="s">
        <v>10800</v>
      </c>
      <c r="AC548" t="s">
        <v>10801</v>
      </c>
      <c r="AD548" t="s">
        <v>10802</v>
      </c>
      <c r="AE548" t="s">
        <v>10803</v>
      </c>
      <c r="AF548" t="s">
        <v>74</v>
      </c>
      <c r="AG548">
        <v>49</v>
      </c>
      <c r="AH548">
        <v>467</v>
      </c>
      <c r="AI548">
        <v>484</v>
      </c>
      <c r="AJ548">
        <v>5</v>
      </c>
      <c r="AK548">
        <v>76</v>
      </c>
      <c r="AL548" t="s">
        <v>1067</v>
      </c>
      <c r="AM548" t="s">
        <v>1068</v>
      </c>
      <c r="AN548" t="s">
        <v>1163</v>
      </c>
      <c r="AO548" t="s">
        <v>10804</v>
      </c>
      <c r="AP548" t="s">
        <v>10805</v>
      </c>
      <c r="AQ548" t="s">
        <v>74</v>
      </c>
      <c r="AR548" t="s">
        <v>10806</v>
      </c>
      <c r="AS548" t="s">
        <v>10807</v>
      </c>
      <c r="AT548" t="s">
        <v>8425</v>
      </c>
      <c r="AU548">
        <v>2013</v>
      </c>
      <c r="AV548">
        <v>179</v>
      </c>
      <c r="AW548" t="s">
        <v>10808</v>
      </c>
      <c r="AX548" t="s">
        <v>74</v>
      </c>
      <c r="AY548" t="s">
        <v>74</v>
      </c>
      <c r="AZ548" t="s">
        <v>74</v>
      </c>
      <c r="BA548" t="s">
        <v>74</v>
      </c>
      <c r="BB548">
        <v>311</v>
      </c>
      <c r="BC548">
        <v>336</v>
      </c>
      <c r="BD548" t="s">
        <v>74</v>
      </c>
      <c r="BE548" t="s">
        <v>10809</v>
      </c>
      <c r="BF548" t="str">
        <f>HYPERLINK("http://dx.doi.org/10.1007/s11214-013-0007-5","http://dx.doi.org/10.1007/s11214-013-0007-5")</f>
        <v>http://dx.doi.org/10.1007/s11214-013-0007-5</v>
      </c>
      <c r="BG548" t="s">
        <v>74</v>
      </c>
      <c r="BH548" t="s">
        <v>74</v>
      </c>
      <c r="BI548">
        <v>26</v>
      </c>
      <c r="BJ548" t="s">
        <v>1705</v>
      </c>
      <c r="BK548" t="s">
        <v>99</v>
      </c>
      <c r="BL548" t="s">
        <v>1705</v>
      </c>
      <c r="BM548" t="s">
        <v>10810</v>
      </c>
      <c r="BN548" t="s">
        <v>74</v>
      </c>
      <c r="BO548" t="s">
        <v>5837</v>
      </c>
      <c r="BP548" t="s">
        <v>120</v>
      </c>
      <c r="BQ548" t="s">
        <v>121</v>
      </c>
      <c r="BR548" t="s">
        <v>103</v>
      </c>
      <c r="BS548" t="s">
        <v>10811</v>
      </c>
      <c r="BT548" t="str">
        <f>HYPERLINK("https%3A%2F%2Fwww.webofscience.com%2Fwos%2Fwoscc%2Ffull-record%2FWOS:000326381300009","View Full Record in Web of Science")</f>
        <v>View Full Record in Web of Science</v>
      </c>
    </row>
    <row r="549" spans="1:72" x14ac:dyDescent="0.15">
      <c r="A549" t="s">
        <v>72</v>
      </c>
      <c r="B549" t="s">
        <v>10812</v>
      </c>
      <c r="C549" t="s">
        <v>74</v>
      </c>
      <c r="D549" t="s">
        <v>74</v>
      </c>
      <c r="E549" t="s">
        <v>74</v>
      </c>
      <c r="F549" t="s">
        <v>10813</v>
      </c>
      <c r="G549" t="s">
        <v>74</v>
      </c>
      <c r="H549" t="s">
        <v>74</v>
      </c>
      <c r="I549" t="s">
        <v>10814</v>
      </c>
      <c r="J549" t="s">
        <v>10791</v>
      </c>
      <c r="K549" t="s">
        <v>74</v>
      </c>
      <c r="L549" t="s">
        <v>74</v>
      </c>
      <c r="M549" t="s">
        <v>78</v>
      </c>
      <c r="N549" t="s">
        <v>213</v>
      </c>
      <c r="O549" t="s">
        <v>74</v>
      </c>
      <c r="P549" t="s">
        <v>74</v>
      </c>
      <c r="Q549" t="s">
        <v>74</v>
      </c>
      <c r="R549" t="s">
        <v>74</v>
      </c>
      <c r="S549" t="s">
        <v>74</v>
      </c>
      <c r="T549" t="s">
        <v>10815</v>
      </c>
      <c r="U549" t="s">
        <v>10816</v>
      </c>
      <c r="V549" t="s">
        <v>10817</v>
      </c>
      <c r="W549" t="s">
        <v>10818</v>
      </c>
      <c r="X549" t="s">
        <v>10819</v>
      </c>
      <c r="Y549" t="s">
        <v>10820</v>
      </c>
      <c r="Z549" t="s">
        <v>10821</v>
      </c>
      <c r="AA549" t="s">
        <v>10822</v>
      </c>
      <c r="AB549" t="s">
        <v>10823</v>
      </c>
      <c r="AC549" t="s">
        <v>10824</v>
      </c>
      <c r="AD549" t="s">
        <v>10825</v>
      </c>
      <c r="AE549" t="s">
        <v>10826</v>
      </c>
      <c r="AF549" t="s">
        <v>74</v>
      </c>
      <c r="AG549">
        <v>41</v>
      </c>
      <c r="AH549">
        <v>76</v>
      </c>
      <c r="AI549">
        <v>86</v>
      </c>
      <c r="AJ549">
        <v>1</v>
      </c>
      <c r="AK549">
        <v>17</v>
      </c>
      <c r="AL549" t="s">
        <v>1067</v>
      </c>
      <c r="AM549" t="s">
        <v>1068</v>
      </c>
      <c r="AN549" t="s">
        <v>1163</v>
      </c>
      <c r="AO549" t="s">
        <v>10804</v>
      </c>
      <c r="AP549" t="s">
        <v>10805</v>
      </c>
      <c r="AQ549" t="s">
        <v>74</v>
      </c>
      <c r="AR549" t="s">
        <v>10806</v>
      </c>
      <c r="AS549" t="s">
        <v>10807</v>
      </c>
      <c r="AT549" t="s">
        <v>8425</v>
      </c>
      <c r="AU549">
        <v>2013</v>
      </c>
      <c r="AV549">
        <v>179</v>
      </c>
      <c r="AW549" t="s">
        <v>10808</v>
      </c>
      <c r="AX549" t="s">
        <v>74</v>
      </c>
      <c r="AY549" t="s">
        <v>74</v>
      </c>
      <c r="AZ549" t="s">
        <v>74</v>
      </c>
      <c r="BA549" t="s">
        <v>74</v>
      </c>
      <c r="BB549">
        <v>503</v>
      </c>
      <c r="BC549">
        <v>530</v>
      </c>
      <c r="BD549" t="s">
        <v>74</v>
      </c>
      <c r="BE549" t="s">
        <v>10827</v>
      </c>
      <c r="BF549" t="str">
        <f>HYPERLINK("http://dx.doi.org/10.1007/s11214-013-9971-z","http://dx.doi.org/10.1007/s11214-013-9971-z")</f>
        <v>http://dx.doi.org/10.1007/s11214-013-9971-z</v>
      </c>
      <c r="BG549" t="s">
        <v>74</v>
      </c>
      <c r="BH549" t="s">
        <v>74</v>
      </c>
      <c r="BI549">
        <v>28</v>
      </c>
      <c r="BJ549" t="s">
        <v>1705</v>
      </c>
      <c r="BK549" t="s">
        <v>99</v>
      </c>
      <c r="BL549" t="s">
        <v>1705</v>
      </c>
      <c r="BM549" t="s">
        <v>10810</v>
      </c>
      <c r="BN549" t="s">
        <v>74</v>
      </c>
      <c r="BO549" t="s">
        <v>1707</v>
      </c>
      <c r="BP549" t="s">
        <v>74</v>
      </c>
      <c r="BQ549" t="s">
        <v>74</v>
      </c>
      <c r="BR549" t="s">
        <v>103</v>
      </c>
      <c r="BS549" t="s">
        <v>10828</v>
      </c>
      <c r="BT549" t="str">
        <f>HYPERLINK("https%3A%2F%2Fwww.webofscience.com%2Fwos%2Fwoscc%2Ffull-record%2FWOS:000326381300014","View Full Record in Web of Science")</f>
        <v>View Full Record in Web of Science</v>
      </c>
    </row>
    <row r="550" spans="1:72" x14ac:dyDescent="0.15">
      <c r="A550" t="s">
        <v>72</v>
      </c>
      <c r="B550" t="s">
        <v>10829</v>
      </c>
      <c r="C550" t="s">
        <v>74</v>
      </c>
      <c r="D550" t="s">
        <v>74</v>
      </c>
      <c r="E550" t="s">
        <v>74</v>
      </c>
      <c r="F550" t="s">
        <v>10830</v>
      </c>
      <c r="G550" t="s">
        <v>74</v>
      </c>
      <c r="H550" t="s">
        <v>74</v>
      </c>
      <c r="I550" t="s">
        <v>10831</v>
      </c>
      <c r="J550" t="s">
        <v>10832</v>
      </c>
      <c r="K550" t="s">
        <v>74</v>
      </c>
      <c r="L550" t="s">
        <v>74</v>
      </c>
      <c r="M550" t="s">
        <v>78</v>
      </c>
      <c r="N550" t="s">
        <v>213</v>
      </c>
      <c r="O550" t="s">
        <v>74</v>
      </c>
      <c r="P550" t="s">
        <v>74</v>
      </c>
      <c r="Q550" t="s">
        <v>74</v>
      </c>
      <c r="R550" t="s">
        <v>74</v>
      </c>
      <c r="S550" t="s">
        <v>74</v>
      </c>
      <c r="T550" t="s">
        <v>10833</v>
      </c>
      <c r="U550" t="s">
        <v>10834</v>
      </c>
      <c r="V550" t="s">
        <v>10835</v>
      </c>
      <c r="W550" t="s">
        <v>10836</v>
      </c>
      <c r="X550" t="s">
        <v>10837</v>
      </c>
      <c r="Y550" t="s">
        <v>10838</v>
      </c>
      <c r="Z550" t="s">
        <v>10839</v>
      </c>
      <c r="AA550" t="s">
        <v>10840</v>
      </c>
      <c r="AB550" t="s">
        <v>10841</v>
      </c>
      <c r="AC550" t="s">
        <v>10842</v>
      </c>
      <c r="AD550" t="s">
        <v>10843</v>
      </c>
      <c r="AE550" t="s">
        <v>10844</v>
      </c>
      <c r="AF550" t="s">
        <v>74</v>
      </c>
      <c r="AG550">
        <v>112</v>
      </c>
      <c r="AH550">
        <v>97</v>
      </c>
      <c r="AI550">
        <v>109</v>
      </c>
      <c r="AJ550">
        <v>4</v>
      </c>
      <c r="AK550">
        <v>120</v>
      </c>
      <c r="AL550" t="s">
        <v>1606</v>
      </c>
      <c r="AM550" t="s">
        <v>808</v>
      </c>
      <c r="AN550" t="s">
        <v>1607</v>
      </c>
      <c r="AO550" t="s">
        <v>10845</v>
      </c>
      <c r="AP550" t="s">
        <v>10846</v>
      </c>
      <c r="AQ550" t="s">
        <v>74</v>
      </c>
      <c r="AR550" t="s">
        <v>10847</v>
      </c>
      <c r="AS550" t="s">
        <v>10848</v>
      </c>
      <c r="AT550" t="s">
        <v>8425</v>
      </c>
      <c r="AU550">
        <v>2013</v>
      </c>
      <c r="AV550">
        <v>49</v>
      </c>
      <c r="AW550">
        <v>11</v>
      </c>
      <c r="AX550" t="s">
        <v>74</v>
      </c>
      <c r="AY550" t="s">
        <v>74</v>
      </c>
      <c r="AZ550" t="s">
        <v>74</v>
      </c>
      <c r="BA550" t="s">
        <v>74</v>
      </c>
      <c r="BB550">
        <v>7469</v>
      </c>
      <c r="BC550">
        <v>7486</v>
      </c>
      <c r="BD550" t="s">
        <v>74</v>
      </c>
      <c r="BE550" t="s">
        <v>10849</v>
      </c>
      <c r="BF550" t="str">
        <f>HYPERLINK("http://dx.doi.org/10.1002/2013WR013508","http://dx.doi.org/10.1002/2013WR013508")</f>
        <v>http://dx.doi.org/10.1002/2013WR013508</v>
      </c>
      <c r="BG550" t="s">
        <v>74</v>
      </c>
      <c r="BH550" t="s">
        <v>74</v>
      </c>
      <c r="BI550">
        <v>18</v>
      </c>
      <c r="BJ550" t="s">
        <v>10850</v>
      </c>
      <c r="BK550" t="s">
        <v>99</v>
      </c>
      <c r="BL550" t="s">
        <v>5996</v>
      </c>
      <c r="BM550" t="s">
        <v>10851</v>
      </c>
      <c r="BN550" t="s">
        <v>74</v>
      </c>
      <c r="BO550" t="s">
        <v>1381</v>
      </c>
      <c r="BP550" t="s">
        <v>74</v>
      </c>
      <c r="BQ550" t="s">
        <v>74</v>
      </c>
      <c r="BR550" t="s">
        <v>103</v>
      </c>
      <c r="BS550" t="s">
        <v>10852</v>
      </c>
      <c r="BT550" t="str">
        <f>HYPERLINK("https%3A%2F%2Fwww.webofscience.com%2Fwos%2Fwoscc%2Ffull-record%2FWOS:000328683800022","View Full Record in Web of Science")</f>
        <v>View Full Record in Web of Science</v>
      </c>
    </row>
    <row r="551" spans="1:72" x14ac:dyDescent="0.15">
      <c r="A551" t="s">
        <v>72</v>
      </c>
      <c r="B551" t="s">
        <v>10853</v>
      </c>
      <c r="C551" t="s">
        <v>74</v>
      </c>
      <c r="D551" t="s">
        <v>74</v>
      </c>
      <c r="E551" t="s">
        <v>74</v>
      </c>
      <c r="F551" t="s">
        <v>10854</v>
      </c>
      <c r="G551" t="s">
        <v>74</v>
      </c>
      <c r="H551" t="s">
        <v>74</v>
      </c>
      <c r="I551" t="s">
        <v>10855</v>
      </c>
      <c r="J551" t="s">
        <v>8310</v>
      </c>
      <c r="K551" t="s">
        <v>74</v>
      </c>
      <c r="L551" t="s">
        <v>74</v>
      </c>
      <c r="M551" t="s">
        <v>78</v>
      </c>
      <c r="N551" t="s">
        <v>79</v>
      </c>
      <c r="O551" t="s">
        <v>74</v>
      </c>
      <c r="P551" t="s">
        <v>74</v>
      </c>
      <c r="Q551" t="s">
        <v>74</v>
      </c>
      <c r="R551" t="s">
        <v>74</v>
      </c>
      <c r="S551" t="s">
        <v>74</v>
      </c>
      <c r="T551" t="s">
        <v>10856</v>
      </c>
      <c r="U551" t="s">
        <v>10857</v>
      </c>
      <c r="V551" t="s">
        <v>10858</v>
      </c>
      <c r="W551" t="s">
        <v>10859</v>
      </c>
      <c r="X551" t="s">
        <v>10860</v>
      </c>
      <c r="Y551" t="s">
        <v>10861</v>
      </c>
      <c r="Z551" t="s">
        <v>10862</v>
      </c>
      <c r="AA551" t="s">
        <v>74</v>
      </c>
      <c r="AB551" t="s">
        <v>10863</v>
      </c>
      <c r="AC551" t="s">
        <v>74</v>
      </c>
      <c r="AD551" t="s">
        <v>74</v>
      </c>
      <c r="AE551" t="s">
        <v>74</v>
      </c>
      <c r="AF551" t="s">
        <v>74</v>
      </c>
      <c r="AG551">
        <v>29</v>
      </c>
      <c r="AH551">
        <v>10</v>
      </c>
      <c r="AI551">
        <v>10</v>
      </c>
      <c r="AJ551">
        <v>1</v>
      </c>
      <c r="AK551">
        <v>79</v>
      </c>
      <c r="AL551" t="s">
        <v>783</v>
      </c>
      <c r="AM551" t="s">
        <v>252</v>
      </c>
      <c r="AN551" t="s">
        <v>784</v>
      </c>
      <c r="AO551" t="s">
        <v>8322</v>
      </c>
      <c r="AP551" t="s">
        <v>8323</v>
      </c>
      <c r="AQ551" t="s">
        <v>74</v>
      </c>
      <c r="AR551" t="s">
        <v>8324</v>
      </c>
      <c r="AS551" t="s">
        <v>8325</v>
      </c>
      <c r="AT551" t="s">
        <v>8493</v>
      </c>
      <c r="AU551">
        <v>2013</v>
      </c>
      <c r="AV551">
        <v>141</v>
      </c>
      <c r="AW551">
        <v>1</v>
      </c>
      <c r="AX551" t="s">
        <v>74</v>
      </c>
      <c r="AY551" t="s">
        <v>74</v>
      </c>
      <c r="AZ551" t="s">
        <v>74</v>
      </c>
      <c r="BA551" t="s">
        <v>74</v>
      </c>
      <c r="BB551">
        <v>72</v>
      </c>
      <c r="BC551">
        <v>76</v>
      </c>
      <c r="BD551" t="s">
        <v>74</v>
      </c>
      <c r="BE551" t="s">
        <v>10864</v>
      </c>
      <c r="BF551" t="str">
        <f>HYPERLINK("http://dx.doi.org/10.1016/j.foodchem.2013.02.125","http://dx.doi.org/10.1016/j.foodchem.2013.02.125")</f>
        <v>http://dx.doi.org/10.1016/j.foodchem.2013.02.125</v>
      </c>
      <c r="BG551" t="s">
        <v>74</v>
      </c>
      <c r="BH551" t="s">
        <v>74</v>
      </c>
      <c r="BI551">
        <v>5</v>
      </c>
      <c r="BJ551" t="s">
        <v>8327</v>
      </c>
      <c r="BK551" t="s">
        <v>99</v>
      </c>
      <c r="BL551" t="s">
        <v>8328</v>
      </c>
      <c r="BM551" t="s">
        <v>10865</v>
      </c>
      <c r="BN551">
        <v>23768329</v>
      </c>
      <c r="BO551" t="s">
        <v>74</v>
      </c>
      <c r="BP551" t="s">
        <v>74</v>
      </c>
      <c r="BQ551" t="s">
        <v>74</v>
      </c>
      <c r="BR551" t="s">
        <v>103</v>
      </c>
      <c r="BS551" t="s">
        <v>10866</v>
      </c>
      <c r="BT551" t="str">
        <f>HYPERLINK("https%3A%2F%2Fwww.webofscience.com%2Fwos%2Fwoscc%2Ffull-record%2FWOS:000321314000012","View Full Record in Web of Science")</f>
        <v>View Full Record in Web of Science</v>
      </c>
    </row>
    <row r="552" spans="1:72" x14ac:dyDescent="0.15">
      <c r="A552" t="s">
        <v>72</v>
      </c>
      <c r="B552" t="s">
        <v>10867</v>
      </c>
      <c r="C552" t="s">
        <v>74</v>
      </c>
      <c r="D552" t="s">
        <v>74</v>
      </c>
      <c r="E552" t="s">
        <v>74</v>
      </c>
      <c r="F552" t="s">
        <v>10868</v>
      </c>
      <c r="G552" t="s">
        <v>74</v>
      </c>
      <c r="H552" t="s">
        <v>74</v>
      </c>
      <c r="I552" t="s">
        <v>10869</v>
      </c>
      <c r="J552" t="s">
        <v>8310</v>
      </c>
      <c r="K552" t="s">
        <v>74</v>
      </c>
      <c r="L552" t="s">
        <v>74</v>
      </c>
      <c r="M552" t="s">
        <v>78</v>
      </c>
      <c r="N552" t="s">
        <v>79</v>
      </c>
      <c r="O552" t="s">
        <v>74</v>
      </c>
      <c r="P552" t="s">
        <v>74</v>
      </c>
      <c r="Q552" t="s">
        <v>74</v>
      </c>
      <c r="R552" t="s">
        <v>74</v>
      </c>
      <c r="S552" t="s">
        <v>74</v>
      </c>
      <c r="T552" t="s">
        <v>10870</v>
      </c>
      <c r="U552" t="s">
        <v>10871</v>
      </c>
      <c r="V552" t="s">
        <v>10872</v>
      </c>
      <c r="W552" t="s">
        <v>10873</v>
      </c>
      <c r="X552" t="s">
        <v>10874</v>
      </c>
      <c r="Y552" t="s">
        <v>10875</v>
      </c>
      <c r="Z552" t="s">
        <v>10876</v>
      </c>
      <c r="AA552" t="s">
        <v>10877</v>
      </c>
      <c r="AB552" t="s">
        <v>10878</v>
      </c>
      <c r="AC552" t="s">
        <v>10879</v>
      </c>
      <c r="AD552" t="s">
        <v>10880</v>
      </c>
      <c r="AE552" t="s">
        <v>10881</v>
      </c>
      <c r="AF552" t="s">
        <v>74</v>
      </c>
      <c r="AG552">
        <v>30</v>
      </c>
      <c r="AH552">
        <v>20</v>
      </c>
      <c r="AI552">
        <v>23</v>
      </c>
      <c r="AJ552">
        <v>0</v>
      </c>
      <c r="AK552">
        <v>64</v>
      </c>
      <c r="AL552" t="s">
        <v>783</v>
      </c>
      <c r="AM552" t="s">
        <v>252</v>
      </c>
      <c r="AN552" t="s">
        <v>784</v>
      </c>
      <c r="AO552" t="s">
        <v>8322</v>
      </c>
      <c r="AP552" t="s">
        <v>74</v>
      </c>
      <c r="AQ552" t="s">
        <v>74</v>
      </c>
      <c r="AR552" t="s">
        <v>8324</v>
      </c>
      <c r="AS552" t="s">
        <v>8325</v>
      </c>
      <c r="AT552" t="s">
        <v>8493</v>
      </c>
      <c r="AU552">
        <v>2013</v>
      </c>
      <c r="AV552">
        <v>141</v>
      </c>
      <c r="AW552">
        <v>1</v>
      </c>
      <c r="AX552" t="s">
        <v>74</v>
      </c>
      <c r="AY552" t="s">
        <v>74</v>
      </c>
      <c r="AZ552" t="s">
        <v>74</v>
      </c>
      <c r="BA552" t="s">
        <v>74</v>
      </c>
      <c r="BB552">
        <v>236</v>
      </c>
      <c r="BC552">
        <v>244</v>
      </c>
      <c r="BD552" t="s">
        <v>74</v>
      </c>
      <c r="BE552" t="s">
        <v>10882</v>
      </c>
      <c r="BF552" t="str">
        <f>HYPERLINK("http://dx.doi.org/10.1016/j.foodchem.2013.02.032","http://dx.doi.org/10.1016/j.foodchem.2013.02.032")</f>
        <v>http://dx.doi.org/10.1016/j.foodchem.2013.02.032</v>
      </c>
      <c r="BG552" t="s">
        <v>74</v>
      </c>
      <c r="BH552" t="s">
        <v>74</v>
      </c>
      <c r="BI552">
        <v>9</v>
      </c>
      <c r="BJ552" t="s">
        <v>8327</v>
      </c>
      <c r="BK552" t="s">
        <v>99</v>
      </c>
      <c r="BL552" t="s">
        <v>8328</v>
      </c>
      <c r="BM552" t="s">
        <v>10865</v>
      </c>
      <c r="BN552">
        <v>23768353</v>
      </c>
      <c r="BO552" t="s">
        <v>74</v>
      </c>
      <c r="BP552" t="s">
        <v>74</v>
      </c>
      <c r="BQ552" t="s">
        <v>74</v>
      </c>
      <c r="BR552" t="s">
        <v>103</v>
      </c>
      <c r="BS552" t="s">
        <v>10883</v>
      </c>
      <c r="BT552" t="str">
        <f>HYPERLINK("https%3A%2F%2Fwww.webofscience.com%2Fwos%2Fwoscc%2Ffull-record%2FWOS:000321314000036","View Full Record in Web of Science")</f>
        <v>View Full Record in Web of Science</v>
      </c>
    </row>
    <row r="553" spans="1:72" x14ac:dyDescent="0.15">
      <c r="A553" t="s">
        <v>72</v>
      </c>
      <c r="B553" t="s">
        <v>10884</v>
      </c>
      <c r="C553" t="s">
        <v>74</v>
      </c>
      <c r="D553" t="s">
        <v>74</v>
      </c>
      <c r="E553" t="s">
        <v>74</v>
      </c>
      <c r="F553" t="s">
        <v>10885</v>
      </c>
      <c r="G553" t="s">
        <v>74</v>
      </c>
      <c r="H553" t="s">
        <v>74</v>
      </c>
      <c r="I553" t="s">
        <v>10886</v>
      </c>
      <c r="J553" t="s">
        <v>4311</v>
      </c>
      <c r="K553" t="s">
        <v>74</v>
      </c>
      <c r="L553" t="s">
        <v>74</v>
      </c>
      <c r="M553" t="s">
        <v>78</v>
      </c>
      <c r="N553" t="s">
        <v>79</v>
      </c>
      <c r="O553" t="s">
        <v>74</v>
      </c>
      <c r="P553" t="s">
        <v>74</v>
      </c>
      <c r="Q553" t="s">
        <v>74</v>
      </c>
      <c r="R553" t="s">
        <v>74</v>
      </c>
      <c r="S553" t="s">
        <v>74</v>
      </c>
      <c r="T553" t="s">
        <v>10887</v>
      </c>
      <c r="U553" t="s">
        <v>10888</v>
      </c>
      <c r="V553" t="s">
        <v>10889</v>
      </c>
      <c r="W553" t="s">
        <v>10890</v>
      </c>
      <c r="X553" t="s">
        <v>10891</v>
      </c>
      <c r="Y553" t="s">
        <v>10892</v>
      </c>
      <c r="Z553" t="s">
        <v>10893</v>
      </c>
      <c r="AA553" t="s">
        <v>10894</v>
      </c>
      <c r="AB553" t="s">
        <v>10895</v>
      </c>
      <c r="AC553" t="s">
        <v>10896</v>
      </c>
      <c r="AD553" t="s">
        <v>10897</v>
      </c>
      <c r="AE553" t="s">
        <v>10898</v>
      </c>
      <c r="AF553" t="s">
        <v>74</v>
      </c>
      <c r="AG553">
        <v>42</v>
      </c>
      <c r="AH553">
        <v>44</v>
      </c>
      <c r="AI553">
        <v>45</v>
      </c>
      <c r="AJ553">
        <v>2</v>
      </c>
      <c r="AK553">
        <v>61</v>
      </c>
      <c r="AL553" t="s">
        <v>4318</v>
      </c>
      <c r="AM553" t="s">
        <v>808</v>
      </c>
      <c r="AN553" t="s">
        <v>4319</v>
      </c>
      <c r="AO553" t="s">
        <v>4320</v>
      </c>
      <c r="AP553" t="s">
        <v>74</v>
      </c>
      <c r="AQ553" t="s">
        <v>74</v>
      </c>
      <c r="AR553" t="s">
        <v>4321</v>
      </c>
      <c r="AS553" t="s">
        <v>4322</v>
      </c>
      <c r="AT553" t="s">
        <v>10899</v>
      </c>
      <c r="AU553">
        <v>2013</v>
      </c>
      <c r="AV553">
        <v>110</v>
      </c>
      <c r="AW553">
        <v>44</v>
      </c>
      <c r="AX553" t="s">
        <v>74</v>
      </c>
      <c r="AY553" t="s">
        <v>74</v>
      </c>
      <c r="AZ553" t="s">
        <v>74</v>
      </c>
      <c r="BA553" t="s">
        <v>74</v>
      </c>
      <c r="BB553">
        <v>17656</v>
      </c>
      <c r="BC553">
        <v>17661</v>
      </c>
      <c r="BD553" t="s">
        <v>74</v>
      </c>
      <c r="BE553" t="s">
        <v>10900</v>
      </c>
      <c r="BF553" t="str">
        <f>HYPERLINK("http://dx.doi.org/10.1073/pnas.1213153110","http://dx.doi.org/10.1073/pnas.1213153110")</f>
        <v>http://dx.doi.org/10.1073/pnas.1213153110</v>
      </c>
      <c r="BG553" t="s">
        <v>74</v>
      </c>
      <c r="BH553" t="s">
        <v>74</v>
      </c>
      <c r="BI553">
        <v>6</v>
      </c>
      <c r="BJ553" t="s">
        <v>2652</v>
      </c>
      <c r="BK553" t="s">
        <v>99</v>
      </c>
      <c r="BL553" t="s">
        <v>2653</v>
      </c>
      <c r="BM553" t="s">
        <v>10901</v>
      </c>
      <c r="BN553">
        <v>23417298</v>
      </c>
      <c r="BO553" t="s">
        <v>1648</v>
      </c>
      <c r="BP553" t="s">
        <v>74</v>
      </c>
      <c r="BQ553" t="s">
        <v>74</v>
      </c>
      <c r="BR553" t="s">
        <v>103</v>
      </c>
      <c r="BS553" t="s">
        <v>10902</v>
      </c>
      <c r="BT553" t="str">
        <f>HYPERLINK("https%3A%2F%2Fwww.webofscience.com%2Fwos%2Fwoscc%2Ffull-record%2FWOS:000326243100024","View Full Record in Web of Science")</f>
        <v>View Full Record in Web of Science</v>
      </c>
    </row>
    <row r="554" spans="1:72" x14ac:dyDescent="0.15">
      <c r="A554" t="s">
        <v>72</v>
      </c>
      <c r="B554" t="s">
        <v>10903</v>
      </c>
      <c r="C554" t="s">
        <v>74</v>
      </c>
      <c r="D554" t="s">
        <v>74</v>
      </c>
      <c r="E554" t="s">
        <v>74</v>
      </c>
      <c r="F554" t="s">
        <v>10904</v>
      </c>
      <c r="G554" t="s">
        <v>74</v>
      </c>
      <c r="H554" t="s">
        <v>74</v>
      </c>
      <c r="I554" t="s">
        <v>10905</v>
      </c>
      <c r="J554" t="s">
        <v>4311</v>
      </c>
      <c r="K554" t="s">
        <v>74</v>
      </c>
      <c r="L554" t="s">
        <v>74</v>
      </c>
      <c r="M554" t="s">
        <v>78</v>
      </c>
      <c r="N554" t="s">
        <v>79</v>
      </c>
      <c r="O554" t="s">
        <v>74</v>
      </c>
      <c r="P554" t="s">
        <v>74</v>
      </c>
      <c r="Q554" t="s">
        <v>74</v>
      </c>
      <c r="R554" t="s">
        <v>74</v>
      </c>
      <c r="S554" t="s">
        <v>74</v>
      </c>
      <c r="T554" t="s">
        <v>10906</v>
      </c>
      <c r="U554" t="s">
        <v>10907</v>
      </c>
      <c r="V554" t="s">
        <v>10908</v>
      </c>
      <c r="W554" t="s">
        <v>10909</v>
      </c>
      <c r="X554" t="s">
        <v>10910</v>
      </c>
      <c r="Y554" t="s">
        <v>10911</v>
      </c>
      <c r="Z554" t="s">
        <v>10912</v>
      </c>
      <c r="AA554" t="s">
        <v>10913</v>
      </c>
      <c r="AB554" t="s">
        <v>10914</v>
      </c>
      <c r="AC554" t="s">
        <v>10915</v>
      </c>
      <c r="AD554" t="s">
        <v>10916</v>
      </c>
      <c r="AE554" t="s">
        <v>10917</v>
      </c>
      <c r="AF554" t="s">
        <v>74</v>
      </c>
      <c r="AG554">
        <v>48</v>
      </c>
      <c r="AH554">
        <v>47</v>
      </c>
      <c r="AI554">
        <v>52</v>
      </c>
      <c r="AJ554">
        <v>0</v>
      </c>
      <c r="AK554">
        <v>37</v>
      </c>
      <c r="AL554" t="s">
        <v>4318</v>
      </c>
      <c r="AM554" t="s">
        <v>808</v>
      </c>
      <c r="AN554" t="s">
        <v>4319</v>
      </c>
      <c r="AO554" t="s">
        <v>4320</v>
      </c>
      <c r="AP554" t="s">
        <v>74</v>
      </c>
      <c r="AQ554" t="s">
        <v>74</v>
      </c>
      <c r="AR554" t="s">
        <v>4321</v>
      </c>
      <c r="AS554" t="s">
        <v>4322</v>
      </c>
      <c r="AT554" t="s">
        <v>10899</v>
      </c>
      <c r="AU554">
        <v>2013</v>
      </c>
      <c r="AV554">
        <v>110</v>
      </c>
      <c r="AW554">
        <v>44</v>
      </c>
      <c r="AX554" t="s">
        <v>74</v>
      </c>
      <c r="AY554" t="s">
        <v>74</v>
      </c>
      <c r="AZ554" t="s">
        <v>74</v>
      </c>
      <c r="BA554" t="s">
        <v>74</v>
      </c>
      <c r="BB554">
        <v>17674</v>
      </c>
      <c r="BC554">
        <v>17679</v>
      </c>
      <c r="BD554" t="s">
        <v>74</v>
      </c>
      <c r="BE554" t="s">
        <v>10918</v>
      </c>
      <c r="BF554" t="str">
        <f>HYPERLINK("http://dx.doi.org/10.1073/pnas.1215209110","http://dx.doi.org/10.1073/pnas.1215209110")</f>
        <v>http://dx.doi.org/10.1073/pnas.1215209110</v>
      </c>
      <c r="BG554" t="s">
        <v>74</v>
      </c>
      <c r="BH554" t="s">
        <v>74</v>
      </c>
      <c r="BI554">
        <v>6</v>
      </c>
      <c r="BJ554" t="s">
        <v>2652</v>
      </c>
      <c r="BK554" t="s">
        <v>99</v>
      </c>
      <c r="BL554" t="s">
        <v>2653</v>
      </c>
      <c r="BM554" t="s">
        <v>10901</v>
      </c>
      <c r="BN554">
        <v>23798406</v>
      </c>
      <c r="BO554" t="s">
        <v>1381</v>
      </c>
      <c r="BP554" t="s">
        <v>74</v>
      </c>
      <c r="BQ554" t="s">
        <v>74</v>
      </c>
      <c r="BR554" t="s">
        <v>103</v>
      </c>
      <c r="BS554" t="s">
        <v>10919</v>
      </c>
      <c r="BT554" t="str">
        <f>HYPERLINK("https%3A%2F%2Fwww.webofscience.com%2Fwos%2Fwoscc%2Ffull-record%2FWOS:000326243100027","View Full Record in Web of Science")</f>
        <v>View Full Record in Web of Science</v>
      </c>
    </row>
    <row r="555" spans="1:72" x14ac:dyDescent="0.15">
      <c r="A555" t="s">
        <v>72</v>
      </c>
      <c r="B555" t="s">
        <v>10920</v>
      </c>
      <c r="C555" t="s">
        <v>74</v>
      </c>
      <c r="D555" t="s">
        <v>74</v>
      </c>
      <c r="E555" t="s">
        <v>74</v>
      </c>
      <c r="F555" t="s">
        <v>10921</v>
      </c>
      <c r="G555" t="s">
        <v>74</v>
      </c>
      <c r="H555" t="s">
        <v>74</v>
      </c>
      <c r="I555" t="s">
        <v>10922</v>
      </c>
      <c r="J555" t="s">
        <v>4368</v>
      </c>
      <c r="K555" t="s">
        <v>74</v>
      </c>
      <c r="L555" t="s">
        <v>74</v>
      </c>
      <c r="M555" t="s">
        <v>78</v>
      </c>
      <c r="N555" t="s">
        <v>79</v>
      </c>
      <c r="O555" t="s">
        <v>74</v>
      </c>
      <c r="P555" t="s">
        <v>74</v>
      </c>
      <c r="Q555" t="s">
        <v>74</v>
      </c>
      <c r="R555" t="s">
        <v>74</v>
      </c>
      <c r="S555" t="s">
        <v>74</v>
      </c>
      <c r="T555" t="s">
        <v>74</v>
      </c>
      <c r="U555" t="s">
        <v>10923</v>
      </c>
      <c r="V555" t="s">
        <v>10924</v>
      </c>
      <c r="W555" t="s">
        <v>10925</v>
      </c>
      <c r="X555" t="s">
        <v>10926</v>
      </c>
      <c r="Y555" t="s">
        <v>10927</v>
      </c>
      <c r="Z555" t="s">
        <v>10928</v>
      </c>
      <c r="AA555" t="s">
        <v>10929</v>
      </c>
      <c r="AB555" t="s">
        <v>10930</v>
      </c>
      <c r="AC555" t="s">
        <v>10931</v>
      </c>
      <c r="AD555" t="s">
        <v>10932</v>
      </c>
      <c r="AE555" t="s">
        <v>10933</v>
      </c>
      <c r="AF555" t="s">
        <v>74</v>
      </c>
      <c r="AG555">
        <v>27</v>
      </c>
      <c r="AH555">
        <v>16</v>
      </c>
      <c r="AI555">
        <v>17</v>
      </c>
      <c r="AJ555">
        <v>0</v>
      </c>
      <c r="AK555">
        <v>20</v>
      </c>
      <c r="AL555" t="s">
        <v>1606</v>
      </c>
      <c r="AM555" t="s">
        <v>808</v>
      </c>
      <c r="AN555" t="s">
        <v>1607</v>
      </c>
      <c r="AO555" t="s">
        <v>4379</v>
      </c>
      <c r="AP555" t="s">
        <v>4380</v>
      </c>
      <c r="AQ555" t="s">
        <v>74</v>
      </c>
      <c r="AR555" t="s">
        <v>4381</v>
      </c>
      <c r="AS555" t="s">
        <v>4382</v>
      </c>
      <c r="AT555" t="s">
        <v>10934</v>
      </c>
      <c r="AU555">
        <v>2013</v>
      </c>
      <c r="AV555">
        <v>40</v>
      </c>
      <c r="AW555">
        <v>20</v>
      </c>
      <c r="AX555" t="s">
        <v>74</v>
      </c>
      <c r="AY555" t="s">
        <v>74</v>
      </c>
      <c r="AZ555" t="s">
        <v>74</v>
      </c>
      <c r="BA555" t="s">
        <v>74</v>
      </c>
      <c r="BB555">
        <v>5456</v>
      </c>
      <c r="BC555">
        <v>5460</v>
      </c>
      <c r="BD555" t="s">
        <v>74</v>
      </c>
      <c r="BE555" t="s">
        <v>10935</v>
      </c>
      <c r="BF555" t="str">
        <f>HYPERLINK("http://dx.doi.org/10.1002/2013GL057797","http://dx.doi.org/10.1002/2013GL057797")</f>
        <v>http://dx.doi.org/10.1002/2013GL057797</v>
      </c>
      <c r="BG555" t="s">
        <v>74</v>
      </c>
      <c r="BH555" t="s">
        <v>74</v>
      </c>
      <c r="BI555">
        <v>5</v>
      </c>
      <c r="BJ555" t="s">
        <v>337</v>
      </c>
      <c r="BK555" t="s">
        <v>99</v>
      </c>
      <c r="BL555" t="s">
        <v>338</v>
      </c>
      <c r="BM555" t="s">
        <v>10936</v>
      </c>
      <c r="BN555" t="s">
        <v>74</v>
      </c>
      <c r="BO555" t="s">
        <v>10937</v>
      </c>
      <c r="BP555" t="s">
        <v>74</v>
      </c>
      <c r="BQ555" t="s">
        <v>74</v>
      </c>
      <c r="BR555" t="s">
        <v>103</v>
      </c>
      <c r="BS555" t="s">
        <v>10938</v>
      </c>
      <c r="BT555" t="str">
        <f>HYPERLINK("https%3A%2F%2Fwww.webofscience.com%2Fwos%2Fwoscc%2Ffull-record%2FWOS:000330514200023","View Full Record in Web of Science")</f>
        <v>View Full Record in Web of Science</v>
      </c>
    </row>
    <row r="556" spans="1:72" x14ac:dyDescent="0.15">
      <c r="A556" t="s">
        <v>72</v>
      </c>
      <c r="B556" t="s">
        <v>10939</v>
      </c>
      <c r="C556" t="s">
        <v>74</v>
      </c>
      <c r="D556" t="s">
        <v>74</v>
      </c>
      <c r="E556" t="s">
        <v>74</v>
      </c>
      <c r="F556" t="s">
        <v>10940</v>
      </c>
      <c r="G556" t="s">
        <v>74</v>
      </c>
      <c r="H556" t="s">
        <v>74</v>
      </c>
      <c r="I556" t="s">
        <v>10941</v>
      </c>
      <c r="J556" t="s">
        <v>4368</v>
      </c>
      <c r="K556" t="s">
        <v>74</v>
      </c>
      <c r="L556" t="s">
        <v>74</v>
      </c>
      <c r="M556" t="s">
        <v>78</v>
      </c>
      <c r="N556" t="s">
        <v>79</v>
      </c>
      <c r="O556" t="s">
        <v>74</v>
      </c>
      <c r="P556" t="s">
        <v>74</v>
      </c>
      <c r="Q556" t="s">
        <v>74</v>
      </c>
      <c r="R556" t="s">
        <v>74</v>
      </c>
      <c r="S556" t="s">
        <v>74</v>
      </c>
      <c r="T556" t="s">
        <v>74</v>
      </c>
      <c r="U556" t="s">
        <v>10942</v>
      </c>
      <c r="V556" t="s">
        <v>10943</v>
      </c>
      <c r="W556" t="s">
        <v>10944</v>
      </c>
      <c r="X556" t="s">
        <v>10945</v>
      </c>
      <c r="Y556" t="s">
        <v>10946</v>
      </c>
      <c r="Z556" t="s">
        <v>10947</v>
      </c>
      <c r="AA556" t="s">
        <v>10948</v>
      </c>
      <c r="AB556" t="s">
        <v>10949</v>
      </c>
      <c r="AC556" t="s">
        <v>10950</v>
      </c>
      <c r="AD556" t="s">
        <v>10951</v>
      </c>
      <c r="AE556" t="s">
        <v>10952</v>
      </c>
      <c r="AF556" t="s">
        <v>74</v>
      </c>
      <c r="AG556">
        <v>36</v>
      </c>
      <c r="AH556">
        <v>39</v>
      </c>
      <c r="AI556">
        <v>51</v>
      </c>
      <c r="AJ556">
        <v>0</v>
      </c>
      <c r="AK556">
        <v>21</v>
      </c>
      <c r="AL556" t="s">
        <v>1606</v>
      </c>
      <c r="AM556" t="s">
        <v>808</v>
      </c>
      <c r="AN556" t="s">
        <v>1607</v>
      </c>
      <c r="AO556" t="s">
        <v>4379</v>
      </c>
      <c r="AP556" t="s">
        <v>4380</v>
      </c>
      <c r="AQ556" t="s">
        <v>74</v>
      </c>
      <c r="AR556" t="s">
        <v>4381</v>
      </c>
      <c r="AS556" t="s">
        <v>4382</v>
      </c>
      <c r="AT556" t="s">
        <v>10934</v>
      </c>
      <c r="AU556">
        <v>2013</v>
      </c>
      <c r="AV556">
        <v>40</v>
      </c>
      <c r="AW556">
        <v>20</v>
      </c>
      <c r="AX556" t="s">
        <v>74</v>
      </c>
      <c r="AY556" t="s">
        <v>74</v>
      </c>
      <c r="AZ556" t="s">
        <v>74</v>
      </c>
      <c r="BA556" t="s">
        <v>74</v>
      </c>
      <c r="BB556">
        <v>5406</v>
      </c>
      <c r="BC556">
        <v>5411</v>
      </c>
      <c r="BD556" t="s">
        <v>74</v>
      </c>
      <c r="BE556" t="s">
        <v>10953</v>
      </c>
      <c r="BF556" t="str">
        <f>HYPERLINK("http://dx.doi.org/10.1002/2013GL057447","http://dx.doi.org/10.1002/2013GL057447")</f>
        <v>http://dx.doi.org/10.1002/2013GL057447</v>
      </c>
      <c r="BG556" t="s">
        <v>74</v>
      </c>
      <c r="BH556" t="s">
        <v>74</v>
      </c>
      <c r="BI556">
        <v>6</v>
      </c>
      <c r="BJ556" t="s">
        <v>337</v>
      </c>
      <c r="BK556" t="s">
        <v>99</v>
      </c>
      <c r="BL556" t="s">
        <v>338</v>
      </c>
      <c r="BM556" t="s">
        <v>10936</v>
      </c>
      <c r="BN556" t="s">
        <v>74</v>
      </c>
      <c r="BO556" t="s">
        <v>475</v>
      </c>
      <c r="BP556" t="s">
        <v>74</v>
      </c>
      <c r="BQ556" t="s">
        <v>74</v>
      </c>
      <c r="BR556" t="s">
        <v>103</v>
      </c>
      <c r="BS556" t="s">
        <v>10954</v>
      </c>
      <c r="BT556" t="str">
        <f>HYPERLINK("https%3A%2F%2Fwww.webofscience.com%2Fwos%2Fwoscc%2Ffull-record%2FWOS:000330514200014","View Full Record in Web of Science")</f>
        <v>View Full Record in Web of Science</v>
      </c>
    </row>
    <row r="557" spans="1:72" x14ac:dyDescent="0.15">
      <c r="A557" t="s">
        <v>72</v>
      </c>
      <c r="B557" t="s">
        <v>10955</v>
      </c>
      <c r="C557" t="s">
        <v>74</v>
      </c>
      <c r="D557" t="s">
        <v>74</v>
      </c>
      <c r="E557" t="s">
        <v>74</v>
      </c>
      <c r="F557" t="s">
        <v>10956</v>
      </c>
      <c r="G557" t="s">
        <v>74</v>
      </c>
      <c r="H557" t="s">
        <v>74</v>
      </c>
      <c r="I557" t="s">
        <v>10957</v>
      </c>
      <c r="J557" t="s">
        <v>4368</v>
      </c>
      <c r="K557" t="s">
        <v>74</v>
      </c>
      <c r="L557" t="s">
        <v>74</v>
      </c>
      <c r="M557" t="s">
        <v>78</v>
      </c>
      <c r="N557" t="s">
        <v>79</v>
      </c>
      <c r="O557" t="s">
        <v>74</v>
      </c>
      <c r="P557" t="s">
        <v>74</v>
      </c>
      <c r="Q557" t="s">
        <v>74</v>
      </c>
      <c r="R557" t="s">
        <v>74</v>
      </c>
      <c r="S557" t="s">
        <v>74</v>
      </c>
      <c r="T557" t="s">
        <v>74</v>
      </c>
      <c r="U557" t="s">
        <v>10958</v>
      </c>
      <c r="V557" t="s">
        <v>10959</v>
      </c>
      <c r="W557" t="s">
        <v>10960</v>
      </c>
      <c r="X557" t="s">
        <v>10961</v>
      </c>
      <c r="Y557" t="s">
        <v>10962</v>
      </c>
      <c r="Z557" t="s">
        <v>10963</v>
      </c>
      <c r="AA557" t="s">
        <v>10964</v>
      </c>
      <c r="AB557" t="s">
        <v>10965</v>
      </c>
      <c r="AC557" t="s">
        <v>10966</v>
      </c>
      <c r="AD557" t="s">
        <v>10967</v>
      </c>
      <c r="AE557" t="s">
        <v>10968</v>
      </c>
      <c r="AF557" t="s">
        <v>74</v>
      </c>
      <c r="AG557">
        <v>25</v>
      </c>
      <c r="AH557">
        <v>40</v>
      </c>
      <c r="AI557">
        <v>43</v>
      </c>
      <c r="AJ557">
        <v>1</v>
      </c>
      <c r="AK557">
        <v>24</v>
      </c>
      <c r="AL557" t="s">
        <v>1606</v>
      </c>
      <c r="AM557" t="s">
        <v>808</v>
      </c>
      <c r="AN557" t="s">
        <v>1607</v>
      </c>
      <c r="AO557" t="s">
        <v>4379</v>
      </c>
      <c r="AP557" t="s">
        <v>4380</v>
      </c>
      <c r="AQ557" t="s">
        <v>74</v>
      </c>
      <c r="AR557" t="s">
        <v>4381</v>
      </c>
      <c r="AS557" t="s">
        <v>4382</v>
      </c>
      <c r="AT557" t="s">
        <v>10934</v>
      </c>
      <c r="AU557">
        <v>2013</v>
      </c>
      <c r="AV557">
        <v>40</v>
      </c>
      <c r="AW557">
        <v>20</v>
      </c>
      <c r="AX557" t="s">
        <v>74</v>
      </c>
      <c r="AY557" t="s">
        <v>74</v>
      </c>
      <c r="AZ557" t="s">
        <v>74</v>
      </c>
      <c r="BA557" t="s">
        <v>74</v>
      </c>
      <c r="BB557">
        <v>5492</v>
      </c>
      <c r="BC557">
        <v>5496</v>
      </c>
      <c r="BD557" t="s">
        <v>74</v>
      </c>
      <c r="BE557" t="s">
        <v>10969</v>
      </c>
      <c r="BF557" t="str">
        <f>HYPERLINK("http://dx.doi.org/10.1002/2013GL057782","http://dx.doi.org/10.1002/2013GL057782")</f>
        <v>http://dx.doi.org/10.1002/2013GL057782</v>
      </c>
      <c r="BG557" t="s">
        <v>74</v>
      </c>
      <c r="BH557" t="s">
        <v>74</v>
      </c>
      <c r="BI557">
        <v>5</v>
      </c>
      <c r="BJ557" t="s">
        <v>337</v>
      </c>
      <c r="BK557" t="s">
        <v>99</v>
      </c>
      <c r="BL557" t="s">
        <v>338</v>
      </c>
      <c r="BM557" t="s">
        <v>10936</v>
      </c>
      <c r="BN557" t="s">
        <v>74</v>
      </c>
      <c r="BO557" t="s">
        <v>1630</v>
      </c>
      <c r="BP557" t="s">
        <v>74</v>
      </c>
      <c r="BQ557" t="s">
        <v>74</v>
      </c>
      <c r="BR557" t="s">
        <v>103</v>
      </c>
      <c r="BS557" t="s">
        <v>10970</v>
      </c>
      <c r="BT557" t="str">
        <f>HYPERLINK("https%3A%2F%2Fwww.webofscience.com%2Fwos%2Fwoscc%2Ffull-record%2FWOS:000330514200029","View Full Record in Web of Science")</f>
        <v>View Full Record in Web of Science</v>
      </c>
    </row>
    <row r="558" spans="1:72" x14ac:dyDescent="0.15">
      <c r="A558" t="s">
        <v>72</v>
      </c>
      <c r="B558" t="s">
        <v>10971</v>
      </c>
      <c r="C558" t="s">
        <v>74</v>
      </c>
      <c r="D558" t="s">
        <v>74</v>
      </c>
      <c r="E558" t="s">
        <v>74</v>
      </c>
      <c r="F558" t="s">
        <v>10972</v>
      </c>
      <c r="G558" t="s">
        <v>74</v>
      </c>
      <c r="H558" t="s">
        <v>74</v>
      </c>
      <c r="I558" t="s">
        <v>10973</v>
      </c>
      <c r="J558" t="s">
        <v>10974</v>
      </c>
      <c r="K558" t="s">
        <v>74</v>
      </c>
      <c r="L558" t="s">
        <v>74</v>
      </c>
      <c r="M558" t="s">
        <v>78</v>
      </c>
      <c r="N558" t="s">
        <v>2830</v>
      </c>
      <c r="O558" t="s">
        <v>74</v>
      </c>
      <c r="P558" t="s">
        <v>74</v>
      </c>
      <c r="Q558" t="s">
        <v>74</v>
      </c>
      <c r="R558" t="s">
        <v>74</v>
      </c>
      <c r="S558" t="s">
        <v>74</v>
      </c>
      <c r="T558" t="s">
        <v>10975</v>
      </c>
      <c r="U558" t="s">
        <v>10976</v>
      </c>
      <c r="V558" t="s">
        <v>10977</v>
      </c>
      <c r="W558" t="s">
        <v>10978</v>
      </c>
      <c r="X558" t="s">
        <v>10979</v>
      </c>
      <c r="Y558" t="s">
        <v>10980</v>
      </c>
      <c r="Z558" t="s">
        <v>10981</v>
      </c>
      <c r="AA558" t="s">
        <v>10982</v>
      </c>
      <c r="AB558" t="s">
        <v>10983</v>
      </c>
      <c r="AC558" t="s">
        <v>10984</v>
      </c>
      <c r="AD558" t="s">
        <v>1747</v>
      </c>
      <c r="AE558" t="s">
        <v>74</v>
      </c>
      <c r="AF558" t="s">
        <v>74</v>
      </c>
      <c r="AG558">
        <v>51</v>
      </c>
      <c r="AH558">
        <v>26</v>
      </c>
      <c r="AI558">
        <v>31</v>
      </c>
      <c r="AJ558">
        <v>1</v>
      </c>
      <c r="AK558">
        <v>70</v>
      </c>
      <c r="AL558" t="s">
        <v>4135</v>
      </c>
      <c r="AM558" t="s">
        <v>849</v>
      </c>
      <c r="AN558" t="s">
        <v>4136</v>
      </c>
      <c r="AO558" t="s">
        <v>10985</v>
      </c>
      <c r="AP558" t="s">
        <v>10986</v>
      </c>
      <c r="AQ558" t="s">
        <v>74</v>
      </c>
      <c r="AR558" t="s">
        <v>10987</v>
      </c>
      <c r="AS558" t="s">
        <v>10988</v>
      </c>
      <c r="AT558" t="s">
        <v>10934</v>
      </c>
      <c r="AU558">
        <v>2013</v>
      </c>
      <c r="AV558">
        <v>371</v>
      </c>
      <c r="AW558">
        <v>2001</v>
      </c>
      <c r="AX558" t="s">
        <v>74</v>
      </c>
      <c r="AY558" t="s">
        <v>74</v>
      </c>
      <c r="AZ558" t="s">
        <v>74</v>
      </c>
      <c r="BA558" t="s">
        <v>74</v>
      </c>
      <c r="BB558" t="s">
        <v>74</v>
      </c>
      <c r="BC558" t="s">
        <v>74</v>
      </c>
      <c r="BD558">
        <v>20130146</v>
      </c>
      <c r="BE558" t="s">
        <v>10989</v>
      </c>
      <c r="BF558" t="str">
        <f>HYPERLINK("http://dx.doi.org/10.1098/rsta.2013.0146","http://dx.doi.org/10.1098/rsta.2013.0146")</f>
        <v>http://dx.doi.org/10.1098/rsta.2013.0146</v>
      </c>
      <c r="BG558" t="s">
        <v>74</v>
      </c>
      <c r="BH558" t="s">
        <v>74</v>
      </c>
      <c r="BI558">
        <v>13</v>
      </c>
      <c r="BJ558" t="s">
        <v>2652</v>
      </c>
      <c r="BK558" t="s">
        <v>99</v>
      </c>
      <c r="BL558" t="s">
        <v>2653</v>
      </c>
      <c r="BM558" t="s">
        <v>10990</v>
      </c>
      <c r="BN558">
        <v>24043873</v>
      </c>
      <c r="BO558" t="s">
        <v>4419</v>
      </c>
      <c r="BP558" t="s">
        <v>74</v>
      </c>
      <c r="BQ558" t="s">
        <v>74</v>
      </c>
      <c r="BR558" t="s">
        <v>103</v>
      </c>
      <c r="BS558" t="s">
        <v>10991</v>
      </c>
      <c r="BT558" t="str">
        <f>HYPERLINK("https%3A%2F%2Fwww.webofscience.com%2Fwos%2Fwoscc%2Ffull-record%2FWOS:000330312300011","View Full Record in Web of Science")</f>
        <v>View Full Record in Web of Science</v>
      </c>
    </row>
    <row r="559" spans="1:72" x14ac:dyDescent="0.15">
      <c r="A559" t="s">
        <v>72</v>
      </c>
      <c r="B559" t="s">
        <v>10992</v>
      </c>
      <c r="C559" t="s">
        <v>74</v>
      </c>
      <c r="D559" t="s">
        <v>74</v>
      </c>
      <c r="E559" t="s">
        <v>74</v>
      </c>
      <c r="F559" t="s">
        <v>10993</v>
      </c>
      <c r="G559" t="s">
        <v>74</v>
      </c>
      <c r="H559" t="s">
        <v>74</v>
      </c>
      <c r="I559" t="s">
        <v>10994</v>
      </c>
      <c r="J559" t="s">
        <v>10974</v>
      </c>
      <c r="K559" t="s">
        <v>74</v>
      </c>
      <c r="L559" t="s">
        <v>74</v>
      </c>
      <c r="M559" t="s">
        <v>78</v>
      </c>
      <c r="N559" t="s">
        <v>79</v>
      </c>
      <c r="O559" t="s">
        <v>74</v>
      </c>
      <c r="P559" t="s">
        <v>74</v>
      </c>
      <c r="Q559" t="s">
        <v>74</v>
      </c>
      <c r="R559" t="s">
        <v>74</v>
      </c>
      <c r="S559" t="s">
        <v>74</v>
      </c>
      <c r="T559" t="s">
        <v>10995</v>
      </c>
      <c r="U559" t="s">
        <v>10996</v>
      </c>
      <c r="V559" t="s">
        <v>10997</v>
      </c>
      <c r="W559" t="s">
        <v>10998</v>
      </c>
      <c r="X559" t="s">
        <v>10999</v>
      </c>
      <c r="Y559" t="s">
        <v>11000</v>
      </c>
      <c r="Z559" t="s">
        <v>11001</v>
      </c>
      <c r="AA559" t="s">
        <v>11002</v>
      </c>
      <c r="AB559" t="s">
        <v>11003</v>
      </c>
      <c r="AC559" t="s">
        <v>11004</v>
      </c>
      <c r="AD559" t="s">
        <v>11005</v>
      </c>
      <c r="AE559" t="s">
        <v>11006</v>
      </c>
      <c r="AF559" t="s">
        <v>74</v>
      </c>
      <c r="AG559">
        <v>70</v>
      </c>
      <c r="AH559">
        <v>137</v>
      </c>
      <c r="AI559">
        <v>152</v>
      </c>
      <c r="AJ559">
        <v>1</v>
      </c>
      <c r="AK559">
        <v>31</v>
      </c>
      <c r="AL559" t="s">
        <v>4135</v>
      </c>
      <c r="AM559" t="s">
        <v>849</v>
      </c>
      <c r="AN559" t="s">
        <v>4136</v>
      </c>
      <c r="AO559" t="s">
        <v>10985</v>
      </c>
      <c r="AP559" t="s">
        <v>10986</v>
      </c>
      <c r="AQ559" t="s">
        <v>74</v>
      </c>
      <c r="AR559" t="s">
        <v>10987</v>
      </c>
      <c r="AS559" t="s">
        <v>10988</v>
      </c>
      <c r="AT559" t="s">
        <v>10934</v>
      </c>
      <c r="AU559">
        <v>2013</v>
      </c>
      <c r="AV559">
        <v>371</v>
      </c>
      <c r="AW559">
        <v>2001</v>
      </c>
      <c r="AX559" t="s">
        <v>74</v>
      </c>
      <c r="AY559" t="s">
        <v>74</v>
      </c>
      <c r="AZ559" t="s">
        <v>74</v>
      </c>
      <c r="BA559" t="s">
        <v>74</v>
      </c>
      <c r="BB559" t="s">
        <v>74</v>
      </c>
      <c r="BC559" t="s">
        <v>74</v>
      </c>
      <c r="BD559">
        <v>20130097</v>
      </c>
      <c r="BE559" t="s">
        <v>11007</v>
      </c>
      <c r="BF559" t="str">
        <f>HYPERLINK("http://dx.doi.org/10.1098/rsta.2013.0097","http://dx.doi.org/10.1098/rsta.2013.0097")</f>
        <v>http://dx.doi.org/10.1098/rsta.2013.0097</v>
      </c>
      <c r="BG559" t="s">
        <v>74</v>
      </c>
      <c r="BH559" t="s">
        <v>74</v>
      </c>
      <c r="BI559">
        <v>20</v>
      </c>
      <c r="BJ559" t="s">
        <v>2652</v>
      </c>
      <c r="BK559" t="s">
        <v>99</v>
      </c>
      <c r="BL559" t="s">
        <v>2653</v>
      </c>
      <c r="BM559" t="s">
        <v>10990</v>
      </c>
      <c r="BN559">
        <v>24043870</v>
      </c>
      <c r="BO559" t="s">
        <v>475</v>
      </c>
      <c r="BP559" t="s">
        <v>74</v>
      </c>
      <c r="BQ559" t="s">
        <v>74</v>
      </c>
      <c r="BR559" t="s">
        <v>103</v>
      </c>
      <c r="BS559" t="s">
        <v>11008</v>
      </c>
      <c r="BT559" t="str">
        <f>HYPERLINK("https%3A%2F%2Fwww.webofscience.com%2Fwos%2Fwoscc%2Ffull-record%2FWOS:000330312300008","View Full Record in Web of Science")</f>
        <v>View Full Record in Web of Science</v>
      </c>
    </row>
    <row r="560" spans="1:72" x14ac:dyDescent="0.15">
      <c r="A560" t="s">
        <v>72</v>
      </c>
      <c r="B560" t="s">
        <v>11009</v>
      </c>
      <c r="C560" t="s">
        <v>74</v>
      </c>
      <c r="D560" t="s">
        <v>74</v>
      </c>
      <c r="E560" t="s">
        <v>74</v>
      </c>
      <c r="F560" t="s">
        <v>11010</v>
      </c>
      <c r="G560" t="s">
        <v>74</v>
      </c>
      <c r="H560" t="s">
        <v>74</v>
      </c>
      <c r="I560" t="s">
        <v>11011</v>
      </c>
      <c r="J560" t="s">
        <v>10974</v>
      </c>
      <c r="K560" t="s">
        <v>74</v>
      </c>
      <c r="L560" t="s">
        <v>74</v>
      </c>
      <c r="M560" t="s">
        <v>78</v>
      </c>
      <c r="N560" t="s">
        <v>79</v>
      </c>
      <c r="O560" t="s">
        <v>74</v>
      </c>
      <c r="P560" t="s">
        <v>74</v>
      </c>
      <c r="Q560" t="s">
        <v>74</v>
      </c>
      <c r="R560" t="s">
        <v>74</v>
      </c>
      <c r="S560" t="s">
        <v>74</v>
      </c>
      <c r="T560" t="s">
        <v>11012</v>
      </c>
      <c r="U560" t="s">
        <v>11013</v>
      </c>
      <c r="V560" t="s">
        <v>11014</v>
      </c>
      <c r="W560" t="s">
        <v>11015</v>
      </c>
      <c r="X560" t="s">
        <v>11016</v>
      </c>
      <c r="Y560" t="s">
        <v>11017</v>
      </c>
      <c r="Z560" t="s">
        <v>11018</v>
      </c>
      <c r="AA560" t="s">
        <v>11019</v>
      </c>
      <c r="AB560" t="s">
        <v>11020</v>
      </c>
      <c r="AC560" t="s">
        <v>11021</v>
      </c>
      <c r="AD560" t="s">
        <v>11022</v>
      </c>
      <c r="AE560" t="s">
        <v>11023</v>
      </c>
      <c r="AF560" t="s">
        <v>74</v>
      </c>
      <c r="AG560">
        <v>97</v>
      </c>
      <c r="AH560">
        <v>328</v>
      </c>
      <c r="AI560">
        <v>357</v>
      </c>
      <c r="AJ560">
        <v>20</v>
      </c>
      <c r="AK560">
        <v>246</v>
      </c>
      <c r="AL560" t="s">
        <v>4135</v>
      </c>
      <c r="AM560" t="s">
        <v>849</v>
      </c>
      <c r="AN560" t="s">
        <v>4136</v>
      </c>
      <c r="AO560" t="s">
        <v>10985</v>
      </c>
      <c r="AP560" t="s">
        <v>10986</v>
      </c>
      <c r="AQ560" t="s">
        <v>74</v>
      </c>
      <c r="AR560" t="s">
        <v>10987</v>
      </c>
      <c r="AS560" t="s">
        <v>10988</v>
      </c>
      <c r="AT560" t="s">
        <v>10934</v>
      </c>
      <c r="AU560">
        <v>2013</v>
      </c>
      <c r="AV560">
        <v>371</v>
      </c>
      <c r="AW560">
        <v>2001</v>
      </c>
      <c r="AX560" t="s">
        <v>74</v>
      </c>
      <c r="AY560" t="s">
        <v>74</v>
      </c>
      <c r="AZ560" t="s">
        <v>74</v>
      </c>
      <c r="BA560" t="s">
        <v>74</v>
      </c>
      <c r="BB560" t="s">
        <v>74</v>
      </c>
      <c r="BC560" t="s">
        <v>74</v>
      </c>
      <c r="BD560" t="s">
        <v>11024</v>
      </c>
      <c r="BE560" t="s">
        <v>11025</v>
      </c>
      <c r="BF560" t="str">
        <f>HYPERLINK("http://dx.doi.org/10.1098/rsta.2013.0096","http://dx.doi.org/10.1098/rsta.2013.0096")</f>
        <v>http://dx.doi.org/10.1098/rsta.2013.0096</v>
      </c>
      <c r="BG560" t="s">
        <v>74</v>
      </c>
      <c r="BH560" t="s">
        <v>74</v>
      </c>
      <c r="BI560">
        <v>20</v>
      </c>
      <c r="BJ560" t="s">
        <v>2652</v>
      </c>
      <c r="BK560" t="s">
        <v>99</v>
      </c>
      <c r="BL560" t="s">
        <v>2653</v>
      </c>
      <c r="BM560" t="s">
        <v>10990</v>
      </c>
      <c r="BN560">
        <v>24043869</v>
      </c>
      <c r="BO560" t="s">
        <v>475</v>
      </c>
      <c r="BP560" t="s">
        <v>120</v>
      </c>
      <c r="BQ560" t="s">
        <v>121</v>
      </c>
      <c r="BR560" t="s">
        <v>103</v>
      </c>
      <c r="BS560" t="s">
        <v>11026</v>
      </c>
      <c r="BT560" t="str">
        <f>HYPERLINK("https%3A%2F%2Fwww.webofscience.com%2Fwos%2Fwoscc%2Ffull-record%2FWOS:000330312300007","View Full Record in Web of Science")</f>
        <v>View Full Record in Web of Science</v>
      </c>
    </row>
    <row r="561" spans="1:72" x14ac:dyDescent="0.15">
      <c r="A561" t="s">
        <v>72</v>
      </c>
      <c r="B561" t="s">
        <v>11027</v>
      </c>
      <c r="C561" t="s">
        <v>74</v>
      </c>
      <c r="D561" t="s">
        <v>74</v>
      </c>
      <c r="E561" t="s">
        <v>74</v>
      </c>
      <c r="F561" t="s">
        <v>11028</v>
      </c>
      <c r="G561" t="s">
        <v>74</v>
      </c>
      <c r="H561" t="s">
        <v>74</v>
      </c>
      <c r="I561" t="s">
        <v>11029</v>
      </c>
      <c r="J561" t="s">
        <v>4346</v>
      </c>
      <c r="K561" t="s">
        <v>74</v>
      </c>
      <c r="L561" t="s">
        <v>74</v>
      </c>
      <c r="M561" t="s">
        <v>78</v>
      </c>
      <c r="N561" t="s">
        <v>79</v>
      </c>
      <c r="O561" t="s">
        <v>74</v>
      </c>
      <c r="P561" t="s">
        <v>74</v>
      </c>
      <c r="Q561" t="s">
        <v>74</v>
      </c>
      <c r="R561" t="s">
        <v>74</v>
      </c>
      <c r="S561" t="s">
        <v>74</v>
      </c>
      <c r="T561" t="s">
        <v>74</v>
      </c>
      <c r="U561" t="s">
        <v>11030</v>
      </c>
      <c r="V561" t="s">
        <v>11031</v>
      </c>
      <c r="W561" t="s">
        <v>11032</v>
      </c>
      <c r="X561" t="s">
        <v>11033</v>
      </c>
      <c r="Y561" t="s">
        <v>11034</v>
      </c>
      <c r="Z561" t="s">
        <v>11035</v>
      </c>
      <c r="AA561" t="s">
        <v>11036</v>
      </c>
      <c r="AB561" t="s">
        <v>11037</v>
      </c>
      <c r="AC561" t="s">
        <v>11038</v>
      </c>
      <c r="AD561" t="s">
        <v>11039</v>
      </c>
      <c r="AE561" t="s">
        <v>11040</v>
      </c>
      <c r="AF561" t="s">
        <v>74</v>
      </c>
      <c r="AG561">
        <v>45</v>
      </c>
      <c r="AH561">
        <v>79</v>
      </c>
      <c r="AI561">
        <v>84</v>
      </c>
      <c r="AJ561">
        <v>4</v>
      </c>
      <c r="AK561">
        <v>54</v>
      </c>
      <c r="AL561" t="s">
        <v>1606</v>
      </c>
      <c r="AM561" t="s">
        <v>808</v>
      </c>
      <c r="AN561" t="s">
        <v>1607</v>
      </c>
      <c r="AO561" t="s">
        <v>4357</v>
      </c>
      <c r="AP561" t="s">
        <v>4358</v>
      </c>
      <c r="AQ561" t="s">
        <v>74</v>
      </c>
      <c r="AR561" t="s">
        <v>4359</v>
      </c>
      <c r="AS561" t="s">
        <v>4360</v>
      </c>
      <c r="AT561" t="s">
        <v>11041</v>
      </c>
      <c r="AU561">
        <v>2013</v>
      </c>
      <c r="AV561">
        <v>118</v>
      </c>
      <c r="AW561">
        <v>20</v>
      </c>
      <c r="AX561" t="s">
        <v>74</v>
      </c>
      <c r="AY561" t="s">
        <v>74</v>
      </c>
      <c r="AZ561" t="s">
        <v>74</v>
      </c>
      <c r="BA561" t="s">
        <v>74</v>
      </c>
      <c r="BB561">
        <v>11481</v>
      </c>
      <c r="BC561">
        <v>11492</v>
      </c>
      <c r="BD561" t="s">
        <v>74</v>
      </c>
      <c r="BE561" t="s">
        <v>11042</v>
      </c>
      <c r="BF561" t="str">
        <f>HYPERLINK("http://dx.doi.org/10.1002/jgrd.50860","http://dx.doi.org/10.1002/jgrd.50860")</f>
        <v>http://dx.doi.org/10.1002/jgrd.50860</v>
      </c>
      <c r="BG561" t="s">
        <v>74</v>
      </c>
      <c r="BH561" t="s">
        <v>74</v>
      </c>
      <c r="BI561">
        <v>12</v>
      </c>
      <c r="BJ561" t="s">
        <v>1503</v>
      </c>
      <c r="BK561" t="s">
        <v>99</v>
      </c>
      <c r="BL561" t="s">
        <v>1503</v>
      </c>
      <c r="BM561" t="s">
        <v>11043</v>
      </c>
      <c r="BN561" t="s">
        <v>74</v>
      </c>
      <c r="BO561" t="s">
        <v>74</v>
      </c>
      <c r="BP561" t="s">
        <v>74</v>
      </c>
      <c r="BQ561" t="s">
        <v>74</v>
      </c>
      <c r="BR561" t="s">
        <v>103</v>
      </c>
      <c r="BS561" t="s">
        <v>11044</v>
      </c>
      <c r="BT561" t="str">
        <f>HYPERLINK("https%3A%2F%2Fwww.webofscience.com%2Fwos%2Fwoscc%2Ffull-record%2FWOS:000209847300001","View Full Record in Web of Science")</f>
        <v>View Full Record in Web of Science</v>
      </c>
    </row>
    <row r="562" spans="1:72" x14ac:dyDescent="0.15">
      <c r="A562" t="s">
        <v>72</v>
      </c>
      <c r="B562" t="s">
        <v>11045</v>
      </c>
      <c r="C562" t="s">
        <v>74</v>
      </c>
      <c r="D562" t="s">
        <v>74</v>
      </c>
      <c r="E562" t="s">
        <v>74</v>
      </c>
      <c r="F562" t="s">
        <v>11046</v>
      </c>
      <c r="G562" t="s">
        <v>74</v>
      </c>
      <c r="H562" t="s">
        <v>74</v>
      </c>
      <c r="I562" t="s">
        <v>11047</v>
      </c>
      <c r="J562" t="s">
        <v>4346</v>
      </c>
      <c r="K562" t="s">
        <v>74</v>
      </c>
      <c r="L562" t="s">
        <v>74</v>
      </c>
      <c r="M562" t="s">
        <v>78</v>
      </c>
      <c r="N562" t="s">
        <v>79</v>
      </c>
      <c r="O562" t="s">
        <v>74</v>
      </c>
      <c r="P562" t="s">
        <v>74</v>
      </c>
      <c r="Q562" t="s">
        <v>74</v>
      </c>
      <c r="R562" t="s">
        <v>74</v>
      </c>
      <c r="S562" t="s">
        <v>74</v>
      </c>
      <c r="T562" t="s">
        <v>74</v>
      </c>
      <c r="U562" t="s">
        <v>74</v>
      </c>
      <c r="V562" t="s">
        <v>11048</v>
      </c>
      <c r="W562" t="s">
        <v>11049</v>
      </c>
      <c r="X562" t="s">
        <v>11050</v>
      </c>
      <c r="Y562" t="s">
        <v>11051</v>
      </c>
      <c r="Z562" t="s">
        <v>11052</v>
      </c>
      <c r="AA562" t="s">
        <v>11053</v>
      </c>
      <c r="AB562" t="s">
        <v>11054</v>
      </c>
      <c r="AC562" t="s">
        <v>11055</v>
      </c>
      <c r="AD562" t="s">
        <v>11056</v>
      </c>
      <c r="AE562" t="s">
        <v>11057</v>
      </c>
      <c r="AF562" t="s">
        <v>74</v>
      </c>
      <c r="AG562">
        <v>53</v>
      </c>
      <c r="AH562">
        <v>30</v>
      </c>
      <c r="AI562">
        <v>33</v>
      </c>
      <c r="AJ562">
        <v>0</v>
      </c>
      <c r="AK562">
        <v>13</v>
      </c>
      <c r="AL562" t="s">
        <v>1606</v>
      </c>
      <c r="AM562" t="s">
        <v>808</v>
      </c>
      <c r="AN562" t="s">
        <v>1607</v>
      </c>
      <c r="AO562" t="s">
        <v>4357</v>
      </c>
      <c r="AP562" t="s">
        <v>4358</v>
      </c>
      <c r="AQ562" t="s">
        <v>74</v>
      </c>
      <c r="AR562" t="s">
        <v>4359</v>
      </c>
      <c r="AS562" t="s">
        <v>4360</v>
      </c>
      <c r="AT562" t="s">
        <v>11041</v>
      </c>
      <c r="AU562">
        <v>2013</v>
      </c>
      <c r="AV562">
        <v>118</v>
      </c>
      <c r="AW562">
        <v>20</v>
      </c>
      <c r="AX562" t="s">
        <v>74</v>
      </c>
      <c r="AY562" t="s">
        <v>74</v>
      </c>
      <c r="AZ562" t="s">
        <v>74</v>
      </c>
      <c r="BA562" t="s">
        <v>74</v>
      </c>
      <c r="BB562">
        <v>11493</v>
      </c>
      <c r="BC562">
        <v>11507</v>
      </c>
      <c r="BD562" t="s">
        <v>74</v>
      </c>
      <c r="BE562" t="s">
        <v>11058</v>
      </c>
      <c r="BF562" t="str">
        <f>HYPERLINK("http://dx.doi.org/10.1002/2013JD020122","http://dx.doi.org/10.1002/2013JD020122")</f>
        <v>http://dx.doi.org/10.1002/2013JD020122</v>
      </c>
      <c r="BG562" t="s">
        <v>74</v>
      </c>
      <c r="BH562" t="s">
        <v>74</v>
      </c>
      <c r="BI562">
        <v>15</v>
      </c>
      <c r="BJ562" t="s">
        <v>1503</v>
      </c>
      <c r="BK562" t="s">
        <v>99</v>
      </c>
      <c r="BL562" t="s">
        <v>1503</v>
      </c>
      <c r="BM562" t="s">
        <v>11043</v>
      </c>
      <c r="BN562" t="s">
        <v>74</v>
      </c>
      <c r="BO562" t="s">
        <v>475</v>
      </c>
      <c r="BP562" t="s">
        <v>74</v>
      </c>
      <c r="BQ562" t="s">
        <v>74</v>
      </c>
      <c r="BR562" t="s">
        <v>103</v>
      </c>
      <c r="BS562" t="s">
        <v>11059</v>
      </c>
      <c r="BT562" t="str">
        <f>HYPERLINK("https%3A%2F%2Fwww.webofscience.com%2Fwos%2Fwoscc%2Ffull-record%2FWOS:000209847300002","View Full Record in Web of Science")</f>
        <v>View Full Record in Web of Science</v>
      </c>
    </row>
    <row r="563" spans="1:72" x14ac:dyDescent="0.15">
      <c r="A563" t="s">
        <v>72</v>
      </c>
      <c r="B563" t="s">
        <v>11060</v>
      </c>
      <c r="C563" t="s">
        <v>74</v>
      </c>
      <c r="D563" t="s">
        <v>74</v>
      </c>
      <c r="E563" t="s">
        <v>74</v>
      </c>
      <c r="F563" t="s">
        <v>11061</v>
      </c>
      <c r="G563" t="s">
        <v>74</v>
      </c>
      <c r="H563" t="s">
        <v>74</v>
      </c>
      <c r="I563" t="s">
        <v>11062</v>
      </c>
      <c r="J563" t="s">
        <v>4346</v>
      </c>
      <c r="K563" t="s">
        <v>74</v>
      </c>
      <c r="L563" t="s">
        <v>74</v>
      </c>
      <c r="M563" t="s">
        <v>78</v>
      </c>
      <c r="N563" t="s">
        <v>79</v>
      </c>
      <c r="O563" t="s">
        <v>74</v>
      </c>
      <c r="P563" t="s">
        <v>74</v>
      </c>
      <c r="Q563" t="s">
        <v>74</v>
      </c>
      <c r="R563" t="s">
        <v>74</v>
      </c>
      <c r="S563" t="s">
        <v>74</v>
      </c>
      <c r="T563" t="s">
        <v>74</v>
      </c>
      <c r="U563" t="s">
        <v>74</v>
      </c>
      <c r="V563" t="s">
        <v>11063</v>
      </c>
      <c r="W563" t="s">
        <v>11064</v>
      </c>
      <c r="X563" t="s">
        <v>11065</v>
      </c>
      <c r="Y563" t="s">
        <v>11066</v>
      </c>
      <c r="Z563" t="s">
        <v>11067</v>
      </c>
      <c r="AA563" t="s">
        <v>11068</v>
      </c>
      <c r="AB563" t="s">
        <v>11069</v>
      </c>
      <c r="AC563" t="s">
        <v>11070</v>
      </c>
      <c r="AD563" t="s">
        <v>11071</v>
      </c>
      <c r="AE563" t="s">
        <v>11072</v>
      </c>
      <c r="AF563" t="s">
        <v>74</v>
      </c>
      <c r="AG563">
        <v>58</v>
      </c>
      <c r="AH563">
        <v>17</v>
      </c>
      <c r="AI563">
        <v>17</v>
      </c>
      <c r="AJ563">
        <v>2</v>
      </c>
      <c r="AK563">
        <v>6</v>
      </c>
      <c r="AL563" t="s">
        <v>1606</v>
      </c>
      <c r="AM563" t="s">
        <v>808</v>
      </c>
      <c r="AN563" t="s">
        <v>1607</v>
      </c>
      <c r="AO563" t="s">
        <v>4357</v>
      </c>
      <c r="AP563" t="s">
        <v>4358</v>
      </c>
      <c r="AQ563" t="s">
        <v>74</v>
      </c>
      <c r="AR563" t="s">
        <v>4359</v>
      </c>
      <c r="AS563" t="s">
        <v>4360</v>
      </c>
      <c r="AT563" t="s">
        <v>11041</v>
      </c>
      <c r="AU563">
        <v>2013</v>
      </c>
      <c r="AV563">
        <v>118</v>
      </c>
      <c r="AW563">
        <v>20</v>
      </c>
      <c r="AX563" t="s">
        <v>74</v>
      </c>
      <c r="AY563" t="s">
        <v>74</v>
      </c>
      <c r="AZ563" t="s">
        <v>74</v>
      </c>
      <c r="BA563" t="s">
        <v>74</v>
      </c>
      <c r="BB563">
        <v>11625</v>
      </c>
      <c r="BC563">
        <v>11635</v>
      </c>
      <c r="BD563" t="s">
        <v>74</v>
      </c>
      <c r="BE563" t="s">
        <v>11073</v>
      </c>
      <c r="BF563" t="str">
        <f>HYPERLINK("http://dx.doi.org/10.1002/jgrd.50875","http://dx.doi.org/10.1002/jgrd.50875")</f>
        <v>http://dx.doi.org/10.1002/jgrd.50875</v>
      </c>
      <c r="BG563" t="s">
        <v>74</v>
      </c>
      <c r="BH563" t="s">
        <v>74</v>
      </c>
      <c r="BI563">
        <v>11</v>
      </c>
      <c r="BJ563" t="s">
        <v>1503</v>
      </c>
      <c r="BK563" t="s">
        <v>99</v>
      </c>
      <c r="BL563" t="s">
        <v>1503</v>
      </c>
      <c r="BM563" t="s">
        <v>11043</v>
      </c>
      <c r="BN563" t="s">
        <v>74</v>
      </c>
      <c r="BO563" t="s">
        <v>475</v>
      </c>
      <c r="BP563" t="s">
        <v>74</v>
      </c>
      <c r="BQ563" t="s">
        <v>74</v>
      </c>
      <c r="BR563" t="s">
        <v>103</v>
      </c>
      <c r="BS563" t="s">
        <v>11074</v>
      </c>
      <c r="BT563" t="str">
        <f>HYPERLINK("https%3A%2F%2Fwww.webofscience.com%2Fwos%2Fwoscc%2Ffull-record%2FWOS:000209847300012","View Full Record in Web of Science")</f>
        <v>View Full Record in Web of Science</v>
      </c>
    </row>
    <row r="564" spans="1:72" x14ac:dyDescent="0.15">
      <c r="A564" t="s">
        <v>72</v>
      </c>
      <c r="B564" t="s">
        <v>11075</v>
      </c>
      <c r="C564" t="s">
        <v>74</v>
      </c>
      <c r="D564" t="s">
        <v>74</v>
      </c>
      <c r="E564" t="s">
        <v>74</v>
      </c>
      <c r="F564" t="s">
        <v>11076</v>
      </c>
      <c r="G564" t="s">
        <v>74</v>
      </c>
      <c r="H564" t="s">
        <v>74</v>
      </c>
      <c r="I564" t="s">
        <v>11077</v>
      </c>
      <c r="J564" t="s">
        <v>11078</v>
      </c>
      <c r="K564" t="s">
        <v>74</v>
      </c>
      <c r="L564" t="s">
        <v>74</v>
      </c>
      <c r="M564" t="s">
        <v>78</v>
      </c>
      <c r="N564" t="s">
        <v>4716</v>
      </c>
      <c r="O564" t="s">
        <v>74</v>
      </c>
      <c r="P564" t="s">
        <v>74</v>
      </c>
      <c r="Q564" t="s">
        <v>74</v>
      </c>
      <c r="R564" t="s">
        <v>74</v>
      </c>
      <c r="S564" t="s">
        <v>74</v>
      </c>
      <c r="T564" t="s">
        <v>74</v>
      </c>
      <c r="U564" t="s">
        <v>74</v>
      </c>
      <c r="V564" t="s">
        <v>74</v>
      </c>
      <c r="W564" t="s">
        <v>74</v>
      </c>
      <c r="X564" t="s">
        <v>74</v>
      </c>
      <c r="Y564" t="s">
        <v>74</v>
      </c>
      <c r="Z564" t="s">
        <v>74</v>
      </c>
      <c r="AA564" t="s">
        <v>11079</v>
      </c>
      <c r="AB564" t="s">
        <v>11080</v>
      </c>
      <c r="AC564" t="s">
        <v>74</v>
      </c>
      <c r="AD564" t="s">
        <v>74</v>
      </c>
      <c r="AE564" t="s">
        <v>74</v>
      </c>
      <c r="AF564" t="s">
        <v>74</v>
      </c>
      <c r="AG564">
        <v>2</v>
      </c>
      <c r="AH564">
        <v>4</v>
      </c>
      <c r="AI564">
        <v>5</v>
      </c>
      <c r="AJ564">
        <v>1</v>
      </c>
      <c r="AK564">
        <v>35</v>
      </c>
      <c r="AL564" t="s">
        <v>1371</v>
      </c>
      <c r="AM564" t="s">
        <v>849</v>
      </c>
      <c r="AN564" t="s">
        <v>1372</v>
      </c>
      <c r="AO564" t="s">
        <v>11081</v>
      </c>
      <c r="AP564" t="s">
        <v>11082</v>
      </c>
      <c r="AQ564" t="s">
        <v>74</v>
      </c>
      <c r="AR564" t="s">
        <v>11078</v>
      </c>
      <c r="AS564" t="s">
        <v>11083</v>
      </c>
      <c r="AT564" t="s">
        <v>11084</v>
      </c>
      <c r="AU564">
        <v>2013</v>
      </c>
      <c r="AV564">
        <v>502</v>
      </c>
      <c r="AW564">
        <v>7472</v>
      </c>
      <c r="AX564" t="s">
        <v>74</v>
      </c>
      <c r="AY564" t="s">
        <v>74</v>
      </c>
      <c r="AZ564" t="s">
        <v>74</v>
      </c>
      <c r="BA564" t="s">
        <v>74</v>
      </c>
      <c r="BB564" t="s">
        <v>74</v>
      </c>
      <c r="BC564" t="s">
        <v>74</v>
      </c>
      <c r="BD564" t="s">
        <v>74</v>
      </c>
      <c r="BE564" t="s">
        <v>11085</v>
      </c>
      <c r="BF564" t="str">
        <f>HYPERLINK("http://dx.doi.org/10.1038/nature12737","http://dx.doi.org/10.1038/nature12737")</f>
        <v>http://dx.doi.org/10.1038/nature12737</v>
      </c>
      <c r="BG564" t="s">
        <v>74</v>
      </c>
      <c r="BH564" t="s">
        <v>74</v>
      </c>
      <c r="BI564">
        <v>1</v>
      </c>
      <c r="BJ564" t="s">
        <v>2652</v>
      </c>
      <c r="BK564" t="s">
        <v>99</v>
      </c>
      <c r="BL564" t="s">
        <v>2653</v>
      </c>
      <c r="BM564" t="s">
        <v>11086</v>
      </c>
      <c r="BN564" t="s">
        <v>74</v>
      </c>
      <c r="BO564" t="s">
        <v>475</v>
      </c>
      <c r="BP564" t="s">
        <v>74</v>
      </c>
      <c r="BQ564" t="s">
        <v>74</v>
      </c>
      <c r="BR564" t="s">
        <v>103</v>
      </c>
      <c r="BS564" t="s">
        <v>11087</v>
      </c>
      <c r="BT564" t="str">
        <f>HYPERLINK("https%3A%2F%2Fwww.webofscience.com%2Fwos%2Fwoscc%2Ffull-record%2FWOS:000325988400062","View Full Record in Web of Science")</f>
        <v>View Full Record in Web of Science</v>
      </c>
    </row>
    <row r="565" spans="1:72" x14ac:dyDescent="0.15">
      <c r="A565" t="s">
        <v>72</v>
      </c>
      <c r="B565" t="s">
        <v>11088</v>
      </c>
      <c r="C565" t="s">
        <v>74</v>
      </c>
      <c r="D565" t="s">
        <v>74</v>
      </c>
      <c r="E565" t="s">
        <v>74</v>
      </c>
      <c r="F565" t="s">
        <v>11089</v>
      </c>
      <c r="G565" t="s">
        <v>74</v>
      </c>
      <c r="H565" t="s">
        <v>74</v>
      </c>
      <c r="I565" t="s">
        <v>11090</v>
      </c>
      <c r="J565" t="s">
        <v>4072</v>
      </c>
      <c r="K565" t="s">
        <v>74</v>
      </c>
      <c r="L565" t="s">
        <v>74</v>
      </c>
      <c r="M565" t="s">
        <v>78</v>
      </c>
      <c r="N565" t="s">
        <v>79</v>
      </c>
      <c r="O565" t="s">
        <v>74</v>
      </c>
      <c r="P565" t="s">
        <v>74</v>
      </c>
      <c r="Q565" t="s">
        <v>74</v>
      </c>
      <c r="R565" t="s">
        <v>74</v>
      </c>
      <c r="S565" t="s">
        <v>74</v>
      </c>
      <c r="T565" t="s">
        <v>74</v>
      </c>
      <c r="U565" t="s">
        <v>11091</v>
      </c>
      <c r="V565" t="s">
        <v>11092</v>
      </c>
      <c r="W565" t="s">
        <v>11093</v>
      </c>
      <c r="X565" t="s">
        <v>11094</v>
      </c>
      <c r="Y565" t="s">
        <v>11095</v>
      </c>
      <c r="Z565" t="s">
        <v>11096</v>
      </c>
      <c r="AA565" t="s">
        <v>74</v>
      </c>
      <c r="AB565" t="s">
        <v>74</v>
      </c>
      <c r="AC565" t="s">
        <v>11097</v>
      </c>
      <c r="AD565" t="s">
        <v>11098</v>
      </c>
      <c r="AE565" t="s">
        <v>11099</v>
      </c>
      <c r="AF565" t="s">
        <v>74</v>
      </c>
      <c r="AG565">
        <v>74</v>
      </c>
      <c r="AH565">
        <v>26</v>
      </c>
      <c r="AI565">
        <v>29</v>
      </c>
      <c r="AJ565">
        <v>0</v>
      </c>
      <c r="AK565">
        <v>66</v>
      </c>
      <c r="AL565" t="s">
        <v>4084</v>
      </c>
      <c r="AM565" t="s">
        <v>4085</v>
      </c>
      <c r="AN565" t="s">
        <v>4086</v>
      </c>
      <c r="AO565" t="s">
        <v>4087</v>
      </c>
      <c r="AP565" t="s">
        <v>74</v>
      </c>
      <c r="AQ565" t="s">
        <v>74</v>
      </c>
      <c r="AR565" t="s">
        <v>4072</v>
      </c>
      <c r="AS565" t="s">
        <v>4088</v>
      </c>
      <c r="AT565" t="s">
        <v>11100</v>
      </c>
      <c r="AU565">
        <v>2013</v>
      </c>
      <c r="AV565">
        <v>8</v>
      </c>
      <c r="AW565">
        <v>10</v>
      </c>
      <c r="AX565" t="s">
        <v>74</v>
      </c>
      <c r="AY565" t="s">
        <v>74</v>
      </c>
      <c r="AZ565" t="s">
        <v>74</v>
      </c>
      <c r="BA565" t="s">
        <v>74</v>
      </c>
      <c r="BB565" t="s">
        <v>74</v>
      </c>
      <c r="BC565" t="s">
        <v>74</v>
      </c>
      <c r="BD565" t="s">
        <v>11101</v>
      </c>
      <c r="BE565" t="s">
        <v>11102</v>
      </c>
      <c r="BF565" t="str">
        <f>HYPERLINK("http://dx.doi.org/10.1371/journal.pone.0079107","http://dx.doi.org/10.1371/journal.pone.0079107")</f>
        <v>http://dx.doi.org/10.1371/journal.pone.0079107</v>
      </c>
      <c r="BG565" t="s">
        <v>74</v>
      </c>
      <c r="BH565" t="s">
        <v>74</v>
      </c>
      <c r="BI565">
        <v>7</v>
      </c>
      <c r="BJ565" t="s">
        <v>2652</v>
      </c>
      <c r="BK565" t="s">
        <v>99</v>
      </c>
      <c r="BL565" t="s">
        <v>2653</v>
      </c>
      <c r="BM565" t="s">
        <v>11103</v>
      </c>
      <c r="BN565">
        <v>24205368</v>
      </c>
      <c r="BO565" t="s">
        <v>11104</v>
      </c>
      <c r="BP565" t="s">
        <v>74</v>
      </c>
      <c r="BQ565" t="s">
        <v>74</v>
      </c>
      <c r="BR565" t="s">
        <v>103</v>
      </c>
      <c r="BS565" t="s">
        <v>11105</v>
      </c>
      <c r="BT565" t="str">
        <f>HYPERLINK("https%3A%2F%2Fwww.webofscience.com%2Fwos%2Fwoscc%2Ffull-record%2FWOS:000326032600118","View Full Record in Web of Science")</f>
        <v>View Full Record in Web of Science</v>
      </c>
    </row>
    <row r="566" spans="1:72" x14ac:dyDescent="0.15">
      <c r="A566" t="s">
        <v>72</v>
      </c>
      <c r="B566" t="s">
        <v>11106</v>
      </c>
      <c r="C566" t="s">
        <v>74</v>
      </c>
      <c r="D566" t="s">
        <v>74</v>
      </c>
      <c r="E566" t="s">
        <v>74</v>
      </c>
      <c r="F566" t="s">
        <v>11107</v>
      </c>
      <c r="G566" t="s">
        <v>74</v>
      </c>
      <c r="H566" t="s">
        <v>74</v>
      </c>
      <c r="I566" t="s">
        <v>11108</v>
      </c>
      <c r="J566" t="s">
        <v>4691</v>
      </c>
      <c r="K566" t="s">
        <v>74</v>
      </c>
      <c r="L566" t="s">
        <v>74</v>
      </c>
      <c r="M566" t="s">
        <v>78</v>
      </c>
      <c r="N566" t="s">
        <v>79</v>
      </c>
      <c r="O566" t="s">
        <v>74</v>
      </c>
      <c r="P566" t="s">
        <v>74</v>
      </c>
      <c r="Q566" t="s">
        <v>74</v>
      </c>
      <c r="R566" t="s">
        <v>74</v>
      </c>
      <c r="S566" t="s">
        <v>74</v>
      </c>
      <c r="T566" t="s">
        <v>11109</v>
      </c>
      <c r="U566" t="s">
        <v>11110</v>
      </c>
      <c r="V566" t="s">
        <v>11111</v>
      </c>
      <c r="W566" t="s">
        <v>11112</v>
      </c>
      <c r="X566" t="s">
        <v>11113</v>
      </c>
      <c r="Y566" t="s">
        <v>11114</v>
      </c>
      <c r="Z566" t="s">
        <v>11115</v>
      </c>
      <c r="AA566" t="s">
        <v>11116</v>
      </c>
      <c r="AB566" t="s">
        <v>11117</v>
      </c>
      <c r="AC566" t="s">
        <v>11118</v>
      </c>
      <c r="AD566" t="s">
        <v>11119</v>
      </c>
      <c r="AE566" t="s">
        <v>11120</v>
      </c>
      <c r="AF566" t="s">
        <v>74</v>
      </c>
      <c r="AG566">
        <v>67</v>
      </c>
      <c r="AH566">
        <v>57</v>
      </c>
      <c r="AI566">
        <v>58</v>
      </c>
      <c r="AJ566">
        <v>0</v>
      </c>
      <c r="AK566">
        <v>7</v>
      </c>
      <c r="AL566" t="s">
        <v>4206</v>
      </c>
      <c r="AM566" t="s">
        <v>4207</v>
      </c>
      <c r="AN566" t="s">
        <v>4208</v>
      </c>
      <c r="AO566" t="s">
        <v>4704</v>
      </c>
      <c r="AP566" t="s">
        <v>4705</v>
      </c>
      <c r="AQ566" t="s">
        <v>74</v>
      </c>
      <c r="AR566" t="s">
        <v>4706</v>
      </c>
      <c r="AS566" t="s">
        <v>4707</v>
      </c>
      <c r="AT566" t="s">
        <v>11121</v>
      </c>
      <c r="AU566">
        <v>2013</v>
      </c>
      <c r="AV566">
        <v>776</v>
      </c>
      <c r="AW566">
        <v>2</v>
      </c>
      <c r="AX566" t="s">
        <v>74</v>
      </c>
      <c r="AY566" t="s">
        <v>74</v>
      </c>
      <c r="AZ566" t="s">
        <v>74</v>
      </c>
      <c r="BA566" t="s">
        <v>74</v>
      </c>
      <c r="BB566" t="s">
        <v>74</v>
      </c>
      <c r="BC566" t="s">
        <v>74</v>
      </c>
      <c r="BD566">
        <v>120</v>
      </c>
      <c r="BE566" t="s">
        <v>11122</v>
      </c>
      <c r="BF566" t="str">
        <f>HYPERLINK("http://dx.doi.org/10.1088/0004-637X/776/2/120","http://dx.doi.org/10.1088/0004-637X/776/2/120")</f>
        <v>http://dx.doi.org/10.1088/0004-637X/776/2/120</v>
      </c>
      <c r="BG566" t="s">
        <v>74</v>
      </c>
      <c r="BH566" t="s">
        <v>74</v>
      </c>
      <c r="BI566">
        <v>15</v>
      </c>
      <c r="BJ566" t="s">
        <v>1705</v>
      </c>
      <c r="BK566" t="s">
        <v>99</v>
      </c>
      <c r="BL566" t="s">
        <v>1705</v>
      </c>
      <c r="BM566" t="s">
        <v>11123</v>
      </c>
      <c r="BN566" t="s">
        <v>74</v>
      </c>
      <c r="BO566" t="s">
        <v>1733</v>
      </c>
      <c r="BP566" t="s">
        <v>74</v>
      </c>
      <c r="BQ566" t="s">
        <v>74</v>
      </c>
      <c r="BR566" t="s">
        <v>103</v>
      </c>
      <c r="BS566" t="s">
        <v>11124</v>
      </c>
      <c r="BT566" t="str">
        <f>HYPERLINK("https%3A%2F%2Fwww.webofscience.com%2Fwos%2Fwoscc%2Ffull-record%2FWOS:000327216100057","View Full Record in Web of Science")</f>
        <v>View Full Record in Web of Science</v>
      </c>
    </row>
    <row r="567" spans="1:72" x14ac:dyDescent="0.15">
      <c r="A567" t="s">
        <v>72</v>
      </c>
      <c r="B567" t="s">
        <v>11125</v>
      </c>
      <c r="C567" t="s">
        <v>74</v>
      </c>
      <c r="D567" t="s">
        <v>74</v>
      </c>
      <c r="E567" t="s">
        <v>74</v>
      </c>
      <c r="F567" t="s">
        <v>11126</v>
      </c>
      <c r="G567" t="s">
        <v>74</v>
      </c>
      <c r="H567" t="s">
        <v>74</v>
      </c>
      <c r="I567" t="s">
        <v>11127</v>
      </c>
      <c r="J567" t="s">
        <v>4072</v>
      </c>
      <c r="K567" t="s">
        <v>74</v>
      </c>
      <c r="L567" t="s">
        <v>74</v>
      </c>
      <c r="M567" t="s">
        <v>78</v>
      </c>
      <c r="N567" t="s">
        <v>79</v>
      </c>
      <c r="O567" t="s">
        <v>74</v>
      </c>
      <c r="P567" t="s">
        <v>74</v>
      </c>
      <c r="Q567" t="s">
        <v>74</v>
      </c>
      <c r="R567" t="s">
        <v>74</v>
      </c>
      <c r="S567" t="s">
        <v>74</v>
      </c>
      <c r="T567" t="s">
        <v>74</v>
      </c>
      <c r="U567" t="s">
        <v>11128</v>
      </c>
      <c r="V567" t="s">
        <v>11129</v>
      </c>
      <c r="W567" t="s">
        <v>11130</v>
      </c>
      <c r="X567" t="s">
        <v>11131</v>
      </c>
      <c r="Y567" t="s">
        <v>11132</v>
      </c>
      <c r="Z567" t="s">
        <v>11133</v>
      </c>
      <c r="AA567" t="s">
        <v>11134</v>
      </c>
      <c r="AB567" t="s">
        <v>11135</v>
      </c>
      <c r="AC567" t="s">
        <v>11136</v>
      </c>
      <c r="AD567" t="s">
        <v>11137</v>
      </c>
      <c r="AE567" t="s">
        <v>11138</v>
      </c>
      <c r="AF567" t="s">
        <v>74</v>
      </c>
      <c r="AG567">
        <v>53</v>
      </c>
      <c r="AH567">
        <v>14</v>
      </c>
      <c r="AI567">
        <v>15</v>
      </c>
      <c r="AJ567">
        <v>0</v>
      </c>
      <c r="AK567">
        <v>31</v>
      </c>
      <c r="AL567" t="s">
        <v>4084</v>
      </c>
      <c r="AM567" t="s">
        <v>4085</v>
      </c>
      <c r="AN567" t="s">
        <v>4086</v>
      </c>
      <c r="AO567" t="s">
        <v>4087</v>
      </c>
      <c r="AP567" t="s">
        <v>74</v>
      </c>
      <c r="AQ567" t="s">
        <v>74</v>
      </c>
      <c r="AR567" t="s">
        <v>4072</v>
      </c>
      <c r="AS567" t="s">
        <v>4088</v>
      </c>
      <c r="AT567" t="s">
        <v>11139</v>
      </c>
      <c r="AU567">
        <v>2013</v>
      </c>
      <c r="AV567">
        <v>8</v>
      </c>
      <c r="AW567">
        <v>10</v>
      </c>
      <c r="AX567" t="s">
        <v>74</v>
      </c>
      <c r="AY567" t="s">
        <v>74</v>
      </c>
      <c r="AZ567" t="s">
        <v>74</v>
      </c>
      <c r="BA567" t="s">
        <v>74</v>
      </c>
      <c r="BB567" t="s">
        <v>74</v>
      </c>
      <c r="BC567" t="s">
        <v>74</v>
      </c>
      <c r="BD567" t="s">
        <v>11140</v>
      </c>
      <c r="BE567" t="s">
        <v>11141</v>
      </c>
      <c r="BF567" t="str">
        <f>HYPERLINK("http://dx.doi.org/10.1371/journal.pone.0077978","http://dx.doi.org/10.1371/journal.pone.0077978")</f>
        <v>http://dx.doi.org/10.1371/journal.pone.0077978</v>
      </c>
      <c r="BG567" t="s">
        <v>74</v>
      </c>
      <c r="BH567" t="s">
        <v>74</v>
      </c>
      <c r="BI567">
        <v>10</v>
      </c>
      <c r="BJ567" t="s">
        <v>2652</v>
      </c>
      <c r="BK567" t="s">
        <v>99</v>
      </c>
      <c r="BL567" t="s">
        <v>2653</v>
      </c>
      <c r="BM567" t="s">
        <v>11142</v>
      </c>
      <c r="BN567">
        <v>24250747</v>
      </c>
      <c r="BO567" t="s">
        <v>3268</v>
      </c>
      <c r="BP567" t="s">
        <v>74</v>
      </c>
      <c r="BQ567" t="s">
        <v>74</v>
      </c>
      <c r="BR567" t="s">
        <v>103</v>
      </c>
      <c r="BS567" t="s">
        <v>11143</v>
      </c>
      <c r="BT567" t="str">
        <f>HYPERLINK("https%3A%2F%2Fwww.webofscience.com%2Fwos%2Fwoscc%2Ffull-record%2FWOS:000326029300130","View Full Record in Web of Science")</f>
        <v>View Full Record in Web of Science</v>
      </c>
    </row>
    <row r="568" spans="1:72" x14ac:dyDescent="0.15">
      <c r="A568" t="s">
        <v>72</v>
      </c>
      <c r="B568" t="s">
        <v>11144</v>
      </c>
      <c r="C568" t="s">
        <v>74</v>
      </c>
      <c r="D568" t="s">
        <v>74</v>
      </c>
      <c r="E568" t="s">
        <v>74</v>
      </c>
      <c r="F568" t="s">
        <v>11145</v>
      </c>
      <c r="G568" t="s">
        <v>74</v>
      </c>
      <c r="H568" t="s">
        <v>74</v>
      </c>
      <c r="I568" t="s">
        <v>11146</v>
      </c>
      <c r="J568" t="s">
        <v>4368</v>
      </c>
      <c r="K568" t="s">
        <v>74</v>
      </c>
      <c r="L568" t="s">
        <v>74</v>
      </c>
      <c r="M568" t="s">
        <v>78</v>
      </c>
      <c r="N568" t="s">
        <v>79</v>
      </c>
      <c r="O568" t="s">
        <v>74</v>
      </c>
      <c r="P568" t="s">
        <v>74</v>
      </c>
      <c r="Q568" t="s">
        <v>74</v>
      </c>
      <c r="R568" t="s">
        <v>74</v>
      </c>
      <c r="S568" t="s">
        <v>74</v>
      </c>
      <c r="T568" t="s">
        <v>11147</v>
      </c>
      <c r="U568" t="s">
        <v>11148</v>
      </c>
      <c r="V568" t="s">
        <v>11149</v>
      </c>
      <c r="W568" t="s">
        <v>11150</v>
      </c>
      <c r="X568" t="s">
        <v>11151</v>
      </c>
      <c r="Y568" t="s">
        <v>11152</v>
      </c>
      <c r="Z568" t="s">
        <v>11153</v>
      </c>
      <c r="AA568" t="s">
        <v>11154</v>
      </c>
      <c r="AB568" t="s">
        <v>11155</v>
      </c>
      <c r="AC568" t="s">
        <v>11156</v>
      </c>
      <c r="AD568" t="s">
        <v>11157</v>
      </c>
      <c r="AE568" t="s">
        <v>11158</v>
      </c>
      <c r="AF568" t="s">
        <v>74</v>
      </c>
      <c r="AG568">
        <v>33</v>
      </c>
      <c r="AH568">
        <v>47</v>
      </c>
      <c r="AI568">
        <v>51</v>
      </c>
      <c r="AJ568">
        <v>2</v>
      </c>
      <c r="AK568">
        <v>75</v>
      </c>
      <c r="AL568" t="s">
        <v>1606</v>
      </c>
      <c r="AM568" t="s">
        <v>808</v>
      </c>
      <c r="AN568" t="s">
        <v>1607</v>
      </c>
      <c r="AO568" t="s">
        <v>4379</v>
      </c>
      <c r="AP568" t="s">
        <v>4380</v>
      </c>
      <c r="AQ568" t="s">
        <v>74</v>
      </c>
      <c r="AR568" t="s">
        <v>4381</v>
      </c>
      <c r="AS568" t="s">
        <v>4382</v>
      </c>
      <c r="AT568" t="s">
        <v>11159</v>
      </c>
      <c r="AU568">
        <v>2013</v>
      </c>
      <c r="AV568">
        <v>40</v>
      </c>
      <c r="AW568">
        <v>19</v>
      </c>
      <c r="AX568" t="s">
        <v>74</v>
      </c>
      <c r="AY568" t="s">
        <v>74</v>
      </c>
      <c r="AZ568" t="s">
        <v>74</v>
      </c>
      <c r="BA568" t="s">
        <v>74</v>
      </c>
      <c r="BB568">
        <v>5199</v>
      </c>
      <c r="BC568">
        <v>5204</v>
      </c>
      <c r="BD568" t="s">
        <v>74</v>
      </c>
      <c r="BE568" t="s">
        <v>11160</v>
      </c>
      <c r="BF568" t="str">
        <f>HYPERLINK("http://dx.doi.org/10.1002/grl.50941","http://dx.doi.org/10.1002/grl.50941")</f>
        <v>http://dx.doi.org/10.1002/grl.50941</v>
      </c>
      <c r="BG568" t="s">
        <v>74</v>
      </c>
      <c r="BH568" t="s">
        <v>74</v>
      </c>
      <c r="BI568">
        <v>6</v>
      </c>
      <c r="BJ568" t="s">
        <v>337</v>
      </c>
      <c r="BK568" t="s">
        <v>99</v>
      </c>
      <c r="BL568" t="s">
        <v>338</v>
      </c>
      <c r="BM568" t="s">
        <v>11161</v>
      </c>
      <c r="BN568" t="s">
        <v>74</v>
      </c>
      <c r="BO568" t="s">
        <v>7079</v>
      </c>
      <c r="BP568" t="s">
        <v>74</v>
      </c>
      <c r="BQ568" t="s">
        <v>74</v>
      </c>
      <c r="BR568" t="s">
        <v>103</v>
      </c>
      <c r="BS568" t="s">
        <v>11162</v>
      </c>
      <c r="BT568" t="str">
        <f>HYPERLINK("https%3A%2F%2Fwww.webofscience.com%2Fwos%2Fwoscc%2Ffull-record%2FWOS:000326311600041","View Full Record in Web of Science")</f>
        <v>View Full Record in Web of Science</v>
      </c>
    </row>
    <row r="569" spans="1:72" x14ac:dyDescent="0.15">
      <c r="A569" t="s">
        <v>72</v>
      </c>
      <c r="B569" t="s">
        <v>11163</v>
      </c>
      <c r="C569" t="s">
        <v>74</v>
      </c>
      <c r="D569" t="s">
        <v>74</v>
      </c>
      <c r="E569" t="s">
        <v>74</v>
      </c>
      <c r="F569" t="s">
        <v>11164</v>
      </c>
      <c r="G569" t="s">
        <v>74</v>
      </c>
      <c r="H569" t="s">
        <v>74</v>
      </c>
      <c r="I569" t="s">
        <v>11165</v>
      </c>
      <c r="J569" t="s">
        <v>4346</v>
      </c>
      <c r="K569" t="s">
        <v>74</v>
      </c>
      <c r="L569" t="s">
        <v>74</v>
      </c>
      <c r="M569" t="s">
        <v>78</v>
      </c>
      <c r="N569" t="s">
        <v>79</v>
      </c>
      <c r="O569" t="s">
        <v>74</v>
      </c>
      <c r="P569" t="s">
        <v>74</v>
      </c>
      <c r="Q569" t="s">
        <v>74</v>
      </c>
      <c r="R569" t="s">
        <v>74</v>
      </c>
      <c r="S569" t="s">
        <v>74</v>
      </c>
      <c r="T569" t="s">
        <v>74</v>
      </c>
      <c r="U569" t="s">
        <v>11166</v>
      </c>
      <c r="V569" t="s">
        <v>74</v>
      </c>
      <c r="W569" t="s">
        <v>11167</v>
      </c>
      <c r="X569" t="s">
        <v>11168</v>
      </c>
      <c r="Y569" t="s">
        <v>11169</v>
      </c>
      <c r="Z569" t="s">
        <v>11170</v>
      </c>
      <c r="AA569" t="s">
        <v>11171</v>
      </c>
      <c r="AB569" t="s">
        <v>74</v>
      </c>
      <c r="AC569" t="s">
        <v>11172</v>
      </c>
      <c r="AD569" t="s">
        <v>11173</v>
      </c>
      <c r="AE569" t="s">
        <v>11174</v>
      </c>
      <c r="AF569" t="s">
        <v>74</v>
      </c>
      <c r="AG569">
        <v>49</v>
      </c>
      <c r="AH569">
        <v>20</v>
      </c>
      <c r="AI569">
        <v>22</v>
      </c>
      <c r="AJ569">
        <v>0</v>
      </c>
      <c r="AK569">
        <v>14</v>
      </c>
      <c r="AL569" t="s">
        <v>1606</v>
      </c>
      <c r="AM569" t="s">
        <v>808</v>
      </c>
      <c r="AN569" t="s">
        <v>1607</v>
      </c>
      <c r="AO569" t="s">
        <v>4357</v>
      </c>
      <c r="AP569" t="s">
        <v>4358</v>
      </c>
      <c r="AQ569" t="s">
        <v>74</v>
      </c>
      <c r="AR569" t="s">
        <v>4359</v>
      </c>
      <c r="AS569" t="s">
        <v>4360</v>
      </c>
      <c r="AT569" t="s">
        <v>11159</v>
      </c>
      <c r="AU569">
        <v>2013</v>
      </c>
      <c r="AV569">
        <v>118</v>
      </c>
      <c r="AW569">
        <v>19</v>
      </c>
      <c r="AX569" t="s">
        <v>74</v>
      </c>
      <c r="AY569" t="s">
        <v>74</v>
      </c>
      <c r="AZ569" t="s">
        <v>74</v>
      </c>
      <c r="BA569" t="s">
        <v>74</v>
      </c>
      <c r="BB569">
        <v>10861</v>
      </c>
      <c r="BC569">
        <v>10869</v>
      </c>
      <c r="BD569" t="s">
        <v>74</v>
      </c>
      <c r="BE569" t="s">
        <v>11175</v>
      </c>
      <c r="BF569" t="str">
        <f>HYPERLINK("http://dx.doi.org/10.1002/jgrd.50859","http://dx.doi.org/10.1002/jgrd.50859")</f>
        <v>http://dx.doi.org/10.1002/jgrd.50859</v>
      </c>
      <c r="BG569" t="s">
        <v>74</v>
      </c>
      <c r="BH569" t="s">
        <v>74</v>
      </c>
      <c r="BI569">
        <v>9</v>
      </c>
      <c r="BJ569" t="s">
        <v>1503</v>
      </c>
      <c r="BK569" t="s">
        <v>99</v>
      </c>
      <c r="BL569" t="s">
        <v>1503</v>
      </c>
      <c r="BM569" t="s">
        <v>11176</v>
      </c>
      <c r="BN569" t="s">
        <v>74</v>
      </c>
      <c r="BO569" t="s">
        <v>1549</v>
      </c>
      <c r="BP569" t="s">
        <v>74</v>
      </c>
      <c r="BQ569" t="s">
        <v>74</v>
      </c>
      <c r="BR569" t="s">
        <v>103</v>
      </c>
      <c r="BS569" t="s">
        <v>11177</v>
      </c>
      <c r="BT569" t="str">
        <f>HYPERLINK("https%3A%2F%2Fwww.webofscience.com%2Fwos%2Fwoscc%2Ffull-record%2FWOS:000330266700013","View Full Record in Web of Science")</f>
        <v>View Full Record in Web of Science</v>
      </c>
    </row>
    <row r="570" spans="1:72" x14ac:dyDescent="0.15">
      <c r="A570" t="s">
        <v>72</v>
      </c>
      <c r="B570" t="s">
        <v>11178</v>
      </c>
      <c r="C570" t="s">
        <v>74</v>
      </c>
      <c r="D570" t="s">
        <v>74</v>
      </c>
      <c r="E570" t="s">
        <v>74</v>
      </c>
      <c r="F570" t="s">
        <v>11179</v>
      </c>
      <c r="G570" t="s">
        <v>74</v>
      </c>
      <c r="H570" t="s">
        <v>74</v>
      </c>
      <c r="I570" t="s">
        <v>11180</v>
      </c>
      <c r="J570" t="s">
        <v>4346</v>
      </c>
      <c r="K570" t="s">
        <v>74</v>
      </c>
      <c r="L570" t="s">
        <v>74</v>
      </c>
      <c r="M570" t="s">
        <v>78</v>
      </c>
      <c r="N570" t="s">
        <v>79</v>
      </c>
      <c r="O570" t="s">
        <v>74</v>
      </c>
      <c r="P570" t="s">
        <v>74</v>
      </c>
      <c r="Q570" t="s">
        <v>74</v>
      </c>
      <c r="R570" t="s">
        <v>74</v>
      </c>
      <c r="S570" t="s">
        <v>74</v>
      </c>
      <c r="T570" t="s">
        <v>74</v>
      </c>
      <c r="U570" t="s">
        <v>11181</v>
      </c>
      <c r="V570" t="s">
        <v>74</v>
      </c>
      <c r="W570" t="s">
        <v>11182</v>
      </c>
      <c r="X570" t="s">
        <v>11183</v>
      </c>
      <c r="Y570" t="s">
        <v>11184</v>
      </c>
      <c r="Z570" t="s">
        <v>11185</v>
      </c>
      <c r="AA570" t="s">
        <v>11186</v>
      </c>
      <c r="AB570" t="s">
        <v>11187</v>
      </c>
      <c r="AC570" t="s">
        <v>11188</v>
      </c>
      <c r="AD570" t="s">
        <v>11189</v>
      </c>
      <c r="AE570" t="s">
        <v>11190</v>
      </c>
      <c r="AF570" t="s">
        <v>74</v>
      </c>
      <c r="AG570">
        <v>32</v>
      </c>
      <c r="AH570">
        <v>22</v>
      </c>
      <c r="AI570">
        <v>22</v>
      </c>
      <c r="AJ570">
        <v>0</v>
      </c>
      <c r="AK570">
        <v>10</v>
      </c>
      <c r="AL570" t="s">
        <v>1606</v>
      </c>
      <c r="AM570" t="s">
        <v>808</v>
      </c>
      <c r="AN570" t="s">
        <v>1607</v>
      </c>
      <c r="AO570" t="s">
        <v>4357</v>
      </c>
      <c r="AP570" t="s">
        <v>4358</v>
      </c>
      <c r="AQ570" t="s">
        <v>74</v>
      </c>
      <c r="AR570" t="s">
        <v>4359</v>
      </c>
      <c r="AS570" t="s">
        <v>4360</v>
      </c>
      <c r="AT570" t="s">
        <v>11159</v>
      </c>
      <c r="AU570">
        <v>2013</v>
      </c>
      <c r="AV570">
        <v>118</v>
      </c>
      <c r="AW570">
        <v>19</v>
      </c>
      <c r="AX570" t="s">
        <v>74</v>
      </c>
      <c r="AY570" t="s">
        <v>74</v>
      </c>
      <c r="AZ570" t="s">
        <v>74</v>
      </c>
      <c r="BA570" t="s">
        <v>74</v>
      </c>
      <c r="BB570">
        <v>11419</v>
      </c>
      <c r="BC570">
        <v>11428</v>
      </c>
      <c r="BD570" t="s">
        <v>74</v>
      </c>
      <c r="BE570" t="s">
        <v>11191</v>
      </c>
      <c r="BF570" t="str">
        <f>HYPERLINK("http://dx.doi.org/10.1002/jgrd.50845","http://dx.doi.org/10.1002/jgrd.50845")</f>
        <v>http://dx.doi.org/10.1002/jgrd.50845</v>
      </c>
      <c r="BG570" t="s">
        <v>74</v>
      </c>
      <c r="BH570" t="s">
        <v>74</v>
      </c>
      <c r="BI570">
        <v>10</v>
      </c>
      <c r="BJ570" t="s">
        <v>1503</v>
      </c>
      <c r="BK570" t="s">
        <v>99</v>
      </c>
      <c r="BL570" t="s">
        <v>1503</v>
      </c>
      <c r="BM570" t="s">
        <v>11176</v>
      </c>
      <c r="BN570" t="s">
        <v>74</v>
      </c>
      <c r="BO570" t="s">
        <v>1549</v>
      </c>
      <c r="BP570" t="s">
        <v>74</v>
      </c>
      <c r="BQ570" t="s">
        <v>74</v>
      </c>
      <c r="BR570" t="s">
        <v>103</v>
      </c>
      <c r="BS570" t="s">
        <v>11192</v>
      </c>
      <c r="BT570" t="str">
        <f>HYPERLINK("https%3A%2F%2Fwww.webofscience.com%2Fwos%2Fwoscc%2Ffull-record%2FWOS:000330266700038","View Full Record in Web of Science")</f>
        <v>View Full Record in Web of Science</v>
      </c>
    </row>
    <row r="571" spans="1:72" x14ac:dyDescent="0.15">
      <c r="A571" t="s">
        <v>72</v>
      </c>
      <c r="B571" t="s">
        <v>11193</v>
      </c>
      <c r="C571" t="s">
        <v>74</v>
      </c>
      <c r="D571" t="s">
        <v>74</v>
      </c>
      <c r="E571" t="s">
        <v>74</v>
      </c>
      <c r="F571" t="s">
        <v>11194</v>
      </c>
      <c r="G571" t="s">
        <v>74</v>
      </c>
      <c r="H571" t="s">
        <v>74</v>
      </c>
      <c r="I571" t="s">
        <v>11195</v>
      </c>
      <c r="J571" t="s">
        <v>4072</v>
      </c>
      <c r="K571" t="s">
        <v>74</v>
      </c>
      <c r="L571" t="s">
        <v>74</v>
      </c>
      <c r="M571" t="s">
        <v>78</v>
      </c>
      <c r="N571" t="s">
        <v>79</v>
      </c>
      <c r="O571" t="s">
        <v>74</v>
      </c>
      <c r="P571" t="s">
        <v>74</v>
      </c>
      <c r="Q571" t="s">
        <v>74</v>
      </c>
      <c r="R571" t="s">
        <v>74</v>
      </c>
      <c r="S571" t="s">
        <v>74</v>
      </c>
      <c r="T571" t="s">
        <v>74</v>
      </c>
      <c r="U571" t="s">
        <v>11196</v>
      </c>
      <c r="V571" t="s">
        <v>11197</v>
      </c>
      <c r="W571" t="s">
        <v>11198</v>
      </c>
      <c r="X571" t="s">
        <v>11199</v>
      </c>
      <c r="Y571" t="s">
        <v>11200</v>
      </c>
      <c r="Z571" t="s">
        <v>11201</v>
      </c>
      <c r="AA571" t="s">
        <v>74</v>
      </c>
      <c r="AB571" t="s">
        <v>11202</v>
      </c>
      <c r="AC571" t="s">
        <v>11203</v>
      </c>
      <c r="AD571" t="s">
        <v>11204</v>
      </c>
      <c r="AE571" t="s">
        <v>11205</v>
      </c>
      <c r="AF571" t="s">
        <v>74</v>
      </c>
      <c r="AG571">
        <v>49</v>
      </c>
      <c r="AH571">
        <v>7</v>
      </c>
      <c r="AI571">
        <v>9</v>
      </c>
      <c r="AJ571">
        <v>1</v>
      </c>
      <c r="AK571">
        <v>11</v>
      </c>
      <c r="AL571" t="s">
        <v>4084</v>
      </c>
      <c r="AM571" t="s">
        <v>4085</v>
      </c>
      <c r="AN571" t="s">
        <v>4086</v>
      </c>
      <c r="AO571" t="s">
        <v>4087</v>
      </c>
      <c r="AP571" t="s">
        <v>74</v>
      </c>
      <c r="AQ571" t="s">
        <v>74</v>
      </c>
      <c r="AR571" t="s">
        <v>4072</v>
      </c>
      <c r="AS571" t="s">
        <v>4088</v>
      </c>
      <c r="AT571" t="s">
        <v>11159</v>
      </c>
      <c r="AU571">
        <v>2013</v>
      </c>
      <c r="AV571">
        <v>8</v>
      </c>
      <c r="AW571">
        <v>10</v>
      </c>
      <c r="AX571" t="s">
        <v>74</v>
      </c>
      <c r="AY571" t="s">
        <v>74</v>
      </c>
      <c r="AZ571" t="s">
        <v>74</v>
      </c>
      <c r="BA571" t="s">
        <v>74</v>
      </c>
      <c r="BB571" t="s">
        <v>74</v>
      </c>
      <c r="BC571" t="s">
        <v>74</v>
      </c>
      <c r="BD571" t="s">
        <v>11206</v>
      </c>
      <c r="BE571" t="s">
        <v>11207</v>
      </c>
      <c r="BF571" t="str">
        <f>HYPERLINK("http://dx.doi.org/10.1371/journal.pone.0076685","http://dx.doi.org/10.1371/journal.pone.0076685")</f>
        <v>http://dx.doi.org/10.1371/journal.pone.0076685</v>
      </c>
      <c r="BG571" t="s">
        <v>74</v>
      </c>
      <c r="BH571" t="s">
        <v>74</v>
      </c>
      <c r="BI571">
        <v>8</v>
      </c>
      <c r="BJ571" t="s">
        <v>2652</v>
      </c>
      <c r="BK571" t="s">
        <v>99</v>
      </c>
      <c r="BL571" t="s">
        <v>2653</v>
      </c>
      <c r="BM571" t="s">
        <v>11208</v>
      </c>
      <c r="BN571">
        <v>24146909</v>
      </c>
      <c r="BO571" t="s">
        <v>4951</v>
      </c>
      <c r="BP571" t="s">
        <v>74</v>
      </c>
      <c r="BQ571" t="s">
        <v>74</v>
      </c>
      <c r="BR571" t="s">
        <v>103</v>
      </c>
      <c r="BS571" t="s">
        <v>11209</v>
      </c>
      <c r="BT571" t="str">
        <f>HYPERLINK("https%3A%2F%2Fwww.webofscience.com%2Fwos%2Fwoscc%2Ffull-record%2FWOS:000326019400081","View Full Record in Web of Science")</f>
        <v>View Full Record in Web of Science</v>
      </c>
    </row>
    <row r="572" spans="1:72" x14ac:dyDescent="0.15">
      <c r="A572" t="s">
        <v>72</v>
      </c>
      <c r="B572" t="s">
        <v>11210</v>
      </c>
      <c r="C572" t="s">
        <v>74</v>
      </c>
      <c r="D572" t="s">
        <v>74</v>
      </c>
      <c r="E572" t="s">
        <v>74</v>
      </c>
      <c r="F572" t="s">
        <v>11211</v>
      </c>
      <c r="G572" t="s">
        <v>74</v>
      </c>
      <c r="H572" t="s">
        <v>74</v>
      </c>
      <c r="I572" t="s">
        <v>11212</v>
      </c>
      <c r="J572" t="s">
        <v>11213</v>
      </c>
      <c r="K572" t="s">
        <v>74</v>
      </c>
      <c r="L572" t="s">
        <v>74</v>
      </c>
      <c r="M572" t="s">
        <v>78</v>
      </c>
      <c r="N572" t="s">
        <v>11214</v>
      </c>
      <c r="O572" t="s">
        <v>74</v>
      </c>
      <c r="P572" t="s">
        <v>74</v>
      </c>
      <c r="Q572" t="s">
        <v>74</v>
      </c>
      <c r="R572" t="s">
        <v>74</v>
      </c>
      <c r="S572" t="s">
        <v>74</v>
      </c>
      <c r="T572" t="s">
        <v>74</v>
      </c>
      <c r="U572" t="s">
        <v>74</v>
      </c>
      <c r="V572" t="s">
        <v>74</v>
      </c>
      <c r="W572" t="s">
        <v>11215</v>
      </c>
      <c r="X572" t="s">
        <v>11216</v>
      </c>
      <c r="Y572" t="s">
        <v>11217</v>
      </c>
      <c r="Z572" t="s">
        <v>11218</v>
      </c>
      <c r="AA572" t="s">
        <v>11219</v>
      </c>
      <c r="AB572" t="s">
        <v>74</v>
      </c>
      <c r="AC572" t="s">
        <v>74</v>
      </c>
      <c r="AD572" t="s">
        <v>74</v>
      </c>
      <c r="AE572" t="s">
        <v>74</v>
      </c>
      <c r="AF572" t="s">
        <v>74</v>
      </c>
      <c r="AG572">
        <v>0</v>
      </c>
      <c r="AH572">
        <v>3</v>
      </c>
      <c r="AI572">
        <v>4</v>
      </c>
      <c r="AJ572">
        <v>1</v>
      </c>
      <c r="AK572">
        <v>2</v>
      </c>
      <c r="AL572" t="s">
        <v>872</v>
      </c>
      <c r="AM572" t="s">
        <v>252</v>
      </c>
      <c r="AN572" t="s">
        <v>873</v>
      </c>
      <c r="AO572" t="s">
        <v>11220</v>
      </c>
      <c r="AP572" t="s">
        <v>11221</v>
      </c>
      <c r="AQ572" t="s">
        <v>74</v>
      </c>
      <c r="AR572" t="s">
        <v>11222</v>
      </c>
      <c r="AS572" t="s">
        <v>11223</v>
      </c>
      <c r="AT572" t="s">
        <v>11224</v>
      </c>
      <c r="AU572">
        <v>2013</v>
      </c>
      <c r="AV572">
        <v>95</v>
      </c>
      <c r="AW572" t="s">
        <v>74</v>
      </c>
      <c r="AX572" t="s">
        <v>74</v>
      </c>
      <c r="AY572" t="s">
        <v>74</v>
      </c>
      <c r="AZ572" t="s">
        <v>74</v>
      </c>
      <c r="BA572" t="s">
        <v>74</v>
      </c>
      <c r="BB572">
        <v>1</v>
      </c>
      <c r="BC572">
        <v>2</v>
      </c>
      <c r="BD572" t="s">
        <v>74</v>
      </c>
      <c r="BE572" t="s">
        <v>11225</v>
      </c>
      <c r="BF572" t="str">
        <f>HYPERLINK("http://dx.doi.org/10.1016/j.dsr22013.05.038","http://dx.doi.org/10.1016/j.dsr22013.05.038")</f>
        <v>http://dx.doi.org/10.1016/j.dsr22013.05.038</v>
      </c>
      <c r="BG572" t="s">
        <v>74</v>
      </c>
      <c r="BH572" t="s">
        <v>74</v>
      </c>
      <c r="BI572">
        <v>2</v>
      </c>
      <c r="BJ572" t="s">
        <v>1613</v>
      </c>
      <c r="BK572" t="s">
        <v>99</v>
      </c>
      <c r="BL572" t="s">
        <v>1613</v>
      </c>
      <c r="BM572" t="s">
        <v>11226</v>
      </c>
      <c r="BN572" t="s">
        <v>74</v>
      </c>
      <c r="BO572" t="s">
        <v>74</v>
      </c>
      <c r="BP572" t="s">
        <v>74</v>
      </c>
      <c r="BQ572" t="s">
        <v>74</v>
      </c>
      <c r="BR572" t="s">
        <v>103</v>
      </c>
      <c r="BS572" t="s">
        <v>11227</v>
      </c>
      <c r="BT572" t="str">
        <f>HYPERLINK("https%3A%2F%2Fwww.webofscience.com%2Fwos%2Fwoscc%2Ffull-record%2FWOS:000328592400001","View Full Record in Web of Science")</f>
        <v>View Full Record in Web of Science</v>
      </c>
    </row>
    <row r="573" spans="1:72" x14ac:dyDescent="0.15">
      <c r="A573" t="s">
        <v>72</v>
      </c>
      <c r="B573" t="s">
        <v>11228</v>
      </c>
      <c r="C573" t="s">
        <v>74</v>
      </c>
      <c r="D573" t="s">
        <v>74</v>
      </c>
      <c r="E573" t="s">
        <v>74</v>
      </c>
      <c r="F573" t="s">
        <v>11229</v>
      </c>
      <c r="G573" t="s">
        <v>74</v>
      </c>
      <c r="H573" t="s">
        <v>74</v>
      </c>
      <c r="I573" t="s">
        <v>11230</v>
      </c>
      <c r="J573" t="s">
        <v>11231</v>
      </c>
      <c r="K573" t="s">
        <v>74</v>
      </c>
      <c r="L573" t="s">
        <v>74</v>
      </c>
      <c r="M573" t="s">
        <v>78</v>
      </c>
      <c r="N573" t="s">
        <v>79</v>
      </c>
      <c r="O573" t="s">
        <v>74</v>
      </c>
      <c r="P573" t="s">
        <v>74</v>
      </c>
      <c r="Q573" t="s">
        <v>74</v>
      </c>
      <c r="R573" t="s">
        <v>74</v>
      </c>
      <c r="S573" t="s">
        <v>74</v>
      </c>
      <c r="T573" t="s">
        <v>11232</v>
      </c>
      <c r="U573" t="s">
        <v>11233</v>
      </c>
      <c r="V573" t="s">
        <v>11234</v>
      </c>
      <c r="W573" t="s">
        <v>11235</v>
      </c>
      <c r="X573" t="s">
        <v>11236</v>
      </c>
      <c r="Y573" t="s">
        <v>11237</v>
      </c>
      <c r="Z573" t="s">
        <v>11238</v>
      </c>
      <c r="AA573" t="s">
        <v>11239</v>
      </c>
      <c r="AB573" t="s">
        <v>11240</v>
      </c>
      <c r="AC573" t="s">
        <v>74</v>
      </c>
      <c r="AD573" t="s">
        <v>74</v>
      </c>
      <c r="AE573" t="s">
        <v>74</v>
      </c>
      <c r="AF573" t="s">
        <v>74</v>
      </c>
      <c r="AG573">
        <v>45</v>
      </c>
      <c r="AH573">
        <v>57</v>
      </c>
      <c r="AI573">
        <v>62</v>
      </c>
      <c r="AJ573">
        <v>1</v>
      </c>
      <c r="AK573">
        <v>115</v>
      </c>
      <c r="AL573" t="s">
        <v>582</v>
      </c>
      <c r="AM573" t="s">
        <v>305</v>
      </c>
      <c r="AN573" t="s">
        <v>583</v>
      </c>
      <c r="AO573" t="s">
        <v>11241</v>
      </c>
      <c r="AP573" t="s">
        <v>11242</v>
      </c>
      <c r="AQ573" t="s">
        <v>74</v>
      </c>
      <c r="AR573" t="s">
        <v>11231</v>
      </c>
      <c r="AS573" t="s">
        <v>11243</v>
      </c>
      <c r="AT573" t="s">
        <v>11224</v>
      </c>
      <c r="AU573">
        <v>2013</v>
      </c>
      <c r="AV573">
        <v>115</v>
      </c>
      <c r="AW573" t="s">
        <v>74</v>
      </c>
      <c r="AX573" t="s">
        <v>74</v>
      </c>
      <c r="AY573" t="s">
        <v>74</v>
      </c>
      <c r="AZ573" t="s">
        <v>74</v>
      </c>
      <c r="BA573" t="s">
        <v>74</v>
      </c>
      <c r="BB573">
        <v>999</v>
      </c>
      <c r="BC573">
        <v>1010</v>
      </c>
      <c r="BD573" t="s">
        <v>74</v>
      </c>
      <c r="BE573" t="s">
        <v>11244</v>
      </c>
      <c r="BF573" t="str">
        <f>HYPERLINK("http://dx.doi.org/10.1016/j.talanta.2013.06.054","http://dx.doi.org/10.1016/j.talanta.2013.06.054")</f>
        <v>http://dx.doi.org/10.1016/j.talanta.2013.06.054</v>
      </c>
      <c r="BG573" t="s">
        <v>74</v>
      </c>
      <c r="BH573" t="s">
        <v>74</v>
      </c>
      <c r="BI573">
        <v>12</v>
      </c>
      <c r="BJ573" t="s">
        <v>11245</v>
      </c>
      <c r="BK573" t="s">
        <v>99</v>
      </c>
      <c r="BL573" t="s">
        <v>4975</v>
      </c>
      <c r="BM573" t="s">
        <v>11246</v>
      </c>
      <c r="BN573">
        <v>24054694</v>
      </c>
      <c r="BO573" t="s">
        <v>74</v>
      </c>
      <c r="BP573" t="s">
        <v>74</v>
      </c>
      <c r="BQ573" t="s">
        <v>74</v>
      </c>
      <c r="BR573" t="s">
        <v>103</v>
      </c>
      <c r="BS573" t="s">
        <v>11247</v>
      </c>
      <c r="BT573" t="str">
        <f>HYPERLINK("https%3A%2F%2Fwww.webofscience.com%2Fwos%2Fwoscc%2Ffull-record%2FWOS:000328095600142","View Full Record in Web of Science")</f>
        <v>View Full Record in Web of Science</v>
      </c>
    </row>
    <row r="574" spans="1:72" x14ac:dyDescent="0.15">
      <c r="A574" t="s">
        <v>72</v>
      </c>
      <c r="B574" t="s">
        <v>11248</v>
      </c>
      <c r="C574" t="s">
        <v>74</v>
      </c>
      <c r="D574" t="s">
        <v>74</v>
      </c>
      <c r="E574" t="s">
        <v>74</v>
      </c>
      <c r="F574" t="s">
        <v>11249</v>
      </c>
      <c r="G574" t="s">
        <v>74</v>
      </c>
      <c r="H574" t="s">
        <v>74</v>
      </c>
      <c r="I574" t="s">
        <v>11250</v>
      </c>
      <c r="J574" t="s">
        <v>3405</v>
      </c>
      <c r="K574" t="s">
        <v>74</v>
      </c>
      <c r="L574" t="s">
        <v>74</v>
      </c>
      <c r="M574" t="s">
        <v>78</v>
      </c>
      <c r="N574" t="s">
        <v>79</v>
      </c>
      <c r="O574" t="s">
        <v>74</v>
      </c>
      <c r="P574" t="s">
        <v>74</v>
      </c>
      <c r="Q574" t="s">
        <v>74</v>
      </c>
      <c r="R574" t="s">
        <v>74</v>
      </c>
      <c r="S574" t="s">
        <v>74</v>
      </c>
      <c r="T574" t="s">
        <v>11251</v>
      </c>
      <c r="U574" t="s">
        <v>11252</v>
      </c>
      <c r="V574" t="s">
        <v>11253</v>
      </c>
      <c r="W574" t="s">
        <v>11254</v>
      </c>
      <c r="X574" t="s">
        <v>11255</v>
      </c>
      <c r="Y574" t="s">
        <v>11256</v>
      </c>
      <c r="Z574" t="s">
        <v>11257</v>
      </c>
      <c r="AA574" t="s">
        <v>11258</v>
      </c>
      <c r="AB574" t="s">
        <v>11259</v>
      </c>
      <c r="AC574" t="s">
        <v>11260</v>
      </c>
      <c r="AD574" t="s">
        <v>11261</v>
      </c>
      <c r="AE574" t="s">
        <v>11262</v>
      </c>
      <c r="AF574" t="s">
        <v>74</v>
      </c>
      <c r="AG574">
        <v>94</v>
      </c>
      <c r="AH574">
        <v>41</v>
      </c>
      <c r="AI574">
        <v>41</v>
      </c>
      <c r="AJ574">
        <v>0</v>
      </c>
      <c r="AK574">
        <v>24</v>
      </c>
      <c r="AL574" t="s">
        <v>872</v>
      </c>
      <c r="AM574" t="s">
        <v>252</v>
      </c>
      <c r="AN574" t="s">
        <v>873</v>
      </c>
      <c r="AO574" t="s">
        <v>3416</v>
      </c>
      <c r="AP574" t="s">
        <v>74</v>
      </c>
      <c r="AQ574" t="s">
        <v>74</v>
      </c>
      <c r="AR574" t="s">
        <v>3417</v>
      </c>
      <c r="AS574" t="s">
        <v>3418</v>
      </c>
      <c r="AT574" t="s">
        <v>11224</v>
      </c>
      <c r="AU574">
        <v>2013</v>
      </c>
      <c r="AV574">
        <v>78</v>
      </c>
      <c r="AW574" t="s">
        <v>74</v>
      </c>
      <c r="AX574" t="s">
        <v>74</v>
      </c>
      <c r="AY574" t="s">
        <v>74</v>
      </c>
      <c r="AZ574" t="s">
        <v>74</v>
      </c>
      <c r="BA574" t="s">
        <v>74</v>
      </c>
      <c r="BB574">
        <v>108</v>
      </c>
      <c r="BC574">
        <v>125</v>
      </c>
      <c r="BD574" t="s">
        <v>74</v>
      </c>
      <c r="BE574" t="s">
        <v>11263</v>
      </c>
      <c r="BF574" t="str">
        <f>HYPERLINK("http://dx.doi.org/10.1016/j.quascirev.2013.08.005","http://dx.doi.org/10.1016/j.quascirev.2013.08.005")</f>
        <v>http://dx.doi.org/10.1016/j.quascirev.2013.08.005</v>
      </c>
      <c r="BG574" t="s">
        <v>74</v>
      </c>
      <c r="BH574" t="s">
        <v>74</v>
      </c>
      <c r="BI574">
        <v>18</v>
      </c>
      <c r="BJ574" t="s">
        <v>98</v>
      </c>
      <c r="BK574" t="s">
        <v>99</v>
      </c>
      <c r="BL574" t="s">
        <v>100</v>
      </c>
      <c r="BM574" t="s">
        <v>11264</v>
      </c>
      <c r="BN574" t="s">
        <v>74</v>
      </c>
      <c r="BO574" t="s">
        <v>74</v>
      </c>
      <c r="BP574" t="s">
        <v>74</v>
      </c>
      <c r="BQ574" t="s">
        <v>74</v>
      </c>
      <c r="BR574" t="s">
        <v>103</v>
      </c>
      <c r="BS574" t="s">
        <v>11265</v>
      </c>
      <c r="BT574" t="str">
        <f>HYPERLINK("https%3A%2F%2Fwww.webofscience.com%2Fwos%2Fwoscc%2Ffull-record%2FWOS:000327908900008","View Full Record in Web of Science")</f>
        <v>View Full Record in Web of Science</v>
      </c>
    </row>
    <row r="575" spans="1:72" x14ac:dyDescent="0.15">
      <c r="A575" t="s">
        <v>72</v>
      </c>
      <c r="B575" t="s">
        <v>11266</v>
      </c>
      <c r="C575" t="s">
        <v>74</v>
      </c>
      <c r="D575" t="s">
        <v>74</v>
      </c>
      <c r="E575" t="s">
        <v>74</v>
      </c>
      <c r="F575" t="s">
        <v>11267</v>
      </c>
      <c r="G575" t="s">
        <v>74</v>
      </c>
      <c r="H575" t="s">
        <v>74</v>
      </c>
      <c r="I575" t="s">
        <v>11268</v>
      </c>
      <c r="J575" t="s">
        <v>3405</v>
      </c>
      <c r="K575" t="s">
        <v>74</v>
      </c>
      <c r="L575" t="s">
        <v>74</v>
      </c>
      <c r="M575" t="s">
        <v>78</v>
      </c>
      <c r="N575" t="s">
        <v>79</v>
      </c>
      <c r="O575" t="s">
        <v>74</v>
      </c>
      <c r="P575" t="s">
        <v>74</v>
      </c>
      <c r="Q575" t="s">
        <v>74</v>
      </c>
      <c r="R575" t="s">
        <v>74</v>
      </c>
      <c r="S575" t="s">
        <v>74</v>
      </c>
      <c r="T575" t="s">
        <v>11269</v>
      </c>
      <c r="U575" t="s">
        <v>11270</v>
      </c>
      <c r="V575" t="s">
        <v>11271</v>
      </c>
      <c r="W575" t="s">
        <v>11272</v>
      </c>
      <c r="X575" t="s">
        <v>11273</v>
      </c>
      <c r="Y575" t="s">
        <v>11274</v>
      </c>
      <c r="Z575" t="s">
        <v>11275</v>
      </c>
      <c r="AA575" t="s">
        <v>11276</v>
      </c>
      <c r="AB575" t="s">
        <v>11277</v>
      </c>
      <c r="AC575" t="s">
        <v>11278</v>
      </c>
      <c r="AD575" t="s">
        <v>11278</v>
      </c>
      <c r="AE575" t="s">
        <v>11279</v>
      </c>
      <c r="AF575" t="s">
        <v>74</v>
      </c>
      <c r="AG575">
        <v>91</v>
      </c>
      <c r="AH575">
        <v>16</v>
      </c>
      <c r="AI575">
        <v>16</v>
      </c>
      <c r="AJ575">
        <v>0</v>
      </c>
      <c r="AK575">
        <v>39</v>
      </c>
      <c r="AL575" t="s">
        <v>872</v>
      </c>
      <c r="AM575" t="s">
        <v>252</v>
      </c>
      <c r="AN575" t="s">
        <v>873</v>
      </c>
      <c r="AO575" t="s">
        <v>3416</v>
      </c>
      <c r="AP575" t="s">
        <v>74</v>
      </c>
      <c r="AQ575" t="s">
        <v>74</v>
      </c>
      <c r="AR575" t="s">
        <v>3417</v>
      </c>
      <c r="AS575" t="s">
        <v>3418</v>
      </c>
      <c r="AT575" t="s">
        <v>11224</v>
      </c>
      <c r="AU575">
        <v>2013</v>
      </c>
      <c r="AV575">
        <v>78</v>
      </c>
      <c r="AW575" t="s">
        <v>74</v>
      </c>
      <c r="AX575" t="s">
        <v>74</v>
      </c>
      <c r="AY575" t="s">
        <v>74</v>
      </c>
      <c r="AZ575" t="s">
        <v>74</v>
      </c>
      <c r="BA575" t="s">
        <v>74</v>
      </c>
      <c r="BB575">
        <v>248</v>
      </c>
      <c r="BC575">
        <v>265</v>
      </c>
      <c r="BD575" t="s">
        <v>74</v>
      </c>
      <c r="BE575" t="s">
        <v>11280</v>
      </c>
      <c r="BF575" t="str">
        <f>HYPERLINK("http://dx.doi.org/10.1016/j.quascirev.2013.08.012","http://dx.doi.org/10.1016/j.quascirev.2013.08.012")</f>
        <v>http://dx.doi.org/10.1016/j.quascirev.2013.08.012</v>
      </c>
      <c r="BG575" t="s">
        <v>74</v>
      </c>
      <c r="BH575" t="s">
        <v>74</v>
      </c>
      <c r="BI575">
        <v>18</v>
      </c>
      <c r="BJ575" t="s">
        <v>98</v>
      </c>
      <c r="BK575" t="s">
        <v>99</v>
      </c>
      <c r="BL575" t="s">
        <v>100</v>
      </c>
      <c r="BM575" t="s">
        <v>11264</v>
      </c>
      <c r="BN575" t="s">
        <v>74</v>
      </c>
      <c r="BO575" t="s">
        <v>74</v>
      </c>
      <c r="BP575" t="s">
        <v>74</v>
      </c>
      <c r="BQ575" t="s">
        <v>74</v>
      </c>
      <c r="BR575" t="s">
        <v>103</v>
      </c>
      <c r="BS575" t="s">
        <v>11281</v>
      </c>
      <c r="BT575" t="str">
        <f>HYPERLINK("https%3A%2F%2Fwww.webofscience.com%2Fwos%2Fwoscc%2Ffull-record%2FWOS:000327908900016","View Full Record in Web of Science")</f>
        <v>View Full Record in Web of Science</v>
      </c>
    </row>
    <row r="576" spans="1:72" x14ac:dyDescent="0.15">
      <c r="A576" t="s">
        <v>72</v>
      </c>
      <c r="B576" t="s">
        <v>11282</v>
      </c>
      <c r="C576" t="s">
        <v>74</v>
      </c>
      <c r="D576" t="s">
        <v>74</v>
      </c>
      <c r="E576" t="s">
        <v>74</v>
      </c>
      <c r="F576" t="s">
        <v>11283</v>
      </c>
      <c r="G576" t="s">
        <v>74</v>
      </c>
      <c r="H576" t="s">
        <v>74</v>
      </c>
      <c r="I576" t="s">
        <v>11284</v>
      </c>
      <c r="J576" t="s">
        <v>4548</v>
      </c>
      <c r="K576" t="s">
        <v>74</v>
      </c>
      <c r="L576" t="s">
        <v>74</v>
      </c>
      <c r="M576" t="s">
        <v>78</v>
      </c>
      <c r="N576" t="s">
        <v>79</v>
      </c>
      <c r="O576" t="s">
        <v>74</v>
      </c>
      <c r="P576" t="s">
        <v>74</v>
      </c>
      <c r="Q576" t="s">
        <v>74</v>
      </c>
      <c r="R576" t="s">
        <v>74</v>
      </c>
      <c r="S576" t="s">
        <v>74</v>
      </c>
      <c r="T576" t="s">
        <v>11285</v>
      </c>
      <c r="U576" t="s">
        <v>11286</v>
      </c>
      <c r="V576" t="s">
        <v>11287</v>
      </c>
      <c r="W576" t="s">
        <v>11288</v>
      </c>
      <c r="X576" t="s">
        <v>11289</v>
      </c>
      <c r="Y576" t="s">
        <v>11290</v>
      </c>
      <c r="Z576" t="s">
        <v>11291</v>
      </c>
      <c r="AA576" t="s">
        <v>11292</v>
      </c>
      <c r="AB576" t="s">
        <v>11293</v>
      </c>
      <c r="AC576" t="s">
        <v>11294</v>
      </c>
      <c r="AD576" t="s">
        <v>11295</v>
      </c>
      <c r="AE576" t="s">
        <v>11296</v>
      </c>
      <c r="AF576" t="s">
        <v>74</v>
      </c>
      <c r="AG576">
        <v>59</v>
      </c>
      <c r="AH576">
        <v>23</v>
      </c>
      <c r="AI576">
        <v>25</v>
      </c>
      <c r="AJ576">
        <v>2</v>
      </c>
      <c r="AK576">
        <v>51</v>
      </c>
      <c r="AL576" t="s">
        <v>872</v>
      </c>
      <c r="AM576" t="s">
        <v>252</v>
      </c>
      <c r="AN576" t="s">
        <v>873</v>
      </c>
      <c r="AO576" t="s">
        <v>4561</v>
      </c>
      <c r="AP576" t="s">
        <v>4562</v>
      </c>
      <c r="AQ576" t="s">
        <v>74</v>
      </c>
      <c r="AR576" t="s">
        <v>4563</v>
      </c>
      <c r="AS576" t="s">
        <v>4564</v>
      </c>
      <c r="AT576" t="s">
        <v>11224</v>
      </c>
      <c r="AU576">
        <v>2013</v>
      </c>
      <c r="AV576">
        <v>75</v>
      </c>
      <c r="AW576" t="s">
        <v>953</v>
      </c>
      <c r="AX576" t="s">
        <v>74</v>
      </c>
      <c r="AY576" t="s">
        <v>74</v>
      </c>
      <c r="AZ576" t="s">
        <v>74</v>
      </c>
      <c r="BA576" t="s">
        <v>74</v>
      </c>
      <c r="BB576">
        <v>244</v>
      </c>
      <c r="BC576">
        <v>249</v>
      </c>
      <c r="BD576" t="s">
        <v>74</v>
      </c>
      <c r="BE576" t="s">
        <v>11297</v>
      </c>
      <c r="BF576" t="str">
        <f>HYPERLINK("http://dx.doi.org/10.1016/j.marpolbul.2013.08.003","http://dx.doi.org/10.1016/j.marpolbul.2013.08.003")</f>
        <v>http://dx.doi.org/10.1016/j.marpolbul.2013.08.003</v>
      </c>
      <c r="BG576" t="s">
        <v>74</v>
      </c>
      <c r="BH576" t="s">
        <v>74</v>
      </c>
      <c r="BI576">
        <v>6</v>
      </c>
      <c r="BJ576" t="s">
        <v>679</v>
      </c>
      <c r="BK576" t="s">
        <v>99</v>
      </c>
      <c r="BL576" t="s">
        <v>680</v>
      </c>
      <c r="BM576" t="s">
        <v>11298</v>
      </c>
      <c r="BN576">
        <v>23993395</v>
      </c>
      <c r="BO576" t="s">
        <v>74</v>
      </c>
      <c r="BP576" t="s">
        <v>74</v>
      </c>
      <c r="BQ576" t="s">
        <v>74</v>
      </c>
      <c r="BR576" t="s">
        <v>103</v>
      </c>
      <c r="BS576" t="s">
        <v>11299</v>
      </c>
      <c r="BT576" t="str">
        <f>HYPERLINK("https%3A%2F%2Fwww.webofscience.com%2Fwos%2Fwoscc%2Ffull-record%2FWOS:000326768200040","View Full Record in Web of Science")</f>
        <v>View Full Record in Web of Science</v>
      </c>
    </row>
    <row r="577" spans="1:72" x14ac:dyDescent="0.15">
      <c r="A577" t="s">
        <v>72</v>
      </c>
      <c r="B577" t="s">
        <v>11300</v>
      </c>
      <c r="C577" t="s">
        <v>74</v>
      </c>
      <c r="D577" t="s">
        <v>74</v>
      </c>
      <c r="E577" t="s">
        <v>74</v>
      </c>
      <c r="F577" t="s">
        <v>11301</v>
      </c>
      <c r="G577" t="s">
        <v>74</v>
      </c>
      <c r="H577" t="s">
        <v>74</v>
      </c>
      <c r="I577" t="s">
        <v>11302</v>
      </c>
      <c r="J577" t="s">
        <v>4311</v>
      </c>
      <c r="K577" t="s">
        <v>74</v>
      </c>
      <c r="L577" t="s">
        <v>74</v>
      </c>
      <c r="M577" t="s">
        <v>78</v>
      </c>
      <c r="N577" t="s">
        <v>79</v>
      </c>
      <c r="O577" t="s">
        <v>74</v>
      </c>
      <c r="P577" t="s">
        <v>74</v>
      </c>
      <c r="Q577" t="s">
        <v>74</v>
      </c>
      <c r="R577" t="s">
        <v>74</v>
      </c>
      <c r="S577" t="s">
        <v>74</v>
      </c>
      <c r="T577" t="s">
        <v>11303</v>
      </c>
      <c r="U577" t="s">
        <v>11304</v>
      </c>
      <c r="V577" t="s">
        <v>11305</v>
      </c>
      <c r="W577" t="s">
        <v>11306</v>
      </c>
      <c r="X577" t="s">
        <v>11307</v>
      </c>
      <c r="Y577" t="s">
        <v>11308</v>
      </c>
      <c r="Z577" t="s">
        <v>11309</v>
      </c>
      <c r="AA577" t="s">
        <v>11310</v>
      </c>
      <c r="AB577" t="s">
        <v>11311</v>
      </c>
      <c r="AC577" t="s">
        <v>11312</v>
      </c>
      <c r="AD577" t="s">
        <v>11313</v>
      </c>
      <c r="AE577" t="s">
        <v>11314</v>
      </c>
      <c r="AF577" t="s">
        <v>74</v>
      </c>
      <c r="AG577">
        <v>49</v>
      </c>
      <c r="AH577">
        <v>83</v>
      </c>
      <c r="AI577">
        <v>93</v>
      </c>
      <c r="AJ577">
        <v>1</v>
      </c>
      <c r="AK577">
        <v>61</v>
      </c>
      <c r="AL577" t="s">
        <v>4318</v>
      </c>
      <c r="AM577" t="s">
        <v>808</v>
      </c>
      <c r="AN577" t="s">
        <v>4319</v>
      </c>
      <c r="AO577" t="s">
        <v>4320</v>
      </c>
      <c r="AP577" t="s">
        <v>11315</v>
      </c>
      <c r="AQ577" t="s">
        <v>74</v>
      </c>
      <c r="AR577" t="s">
        <v>4321</v>
      </c>
      <c r="AS577" t="s">
        <v>4322</v>
      </c>
      <c r="AT577" t="s">
        <v>11224</v>
      </c>
      <c r="AU577">
        <v>2013</v>
      </c>
      <c r="AV577">
        <v>110</v>
      </c>
      <c r="AW577">
        <v>42</v>
      </c>
      <c r="AX577" t="s">
        <v>74</v>
      </c>
      <c r="AY577" t="s">
        <v>74</v>
      </c>
      <c r="AZ577" t="s">
        <v>74</v>
      </c>
      <c r="BA577" t="s">
        <v>74</v>
      </c>
      <c r="BB577">
        <v>16939</v>
      </c>
      <c r="BC577">
        <v>16944</v>
      </c>
      <c r="BD577" t="s">
        <v>74</v>
      </c>
      <c r="BE577" t="s">
        <v>11316</v>
      </c>
      <c r="BF577" t="str">
        <f>HYPERLINK("http://dx.doi.org/10.1073/pnas.1307090110","http://dx.doi.org/10.1073/pnas.1307090110")</f>
        <v>http://dx.doi.org/10.1073/pnas.1307090110</v>
      </c>
      <c r="BG577" t="s">
        <v>74</v>
      </c>
      <c r="BH577" t="s">
        <v>74</v>
      </c>
      <c r="BI577">
        <v>6</v>
      </c>
      <c r="BJ577" t="s">
        <v>2652</v>
      </c>
      <c r="BK577" t="s">
        <v>99</v>
      </c>
      <c r="BL577" t="s">
        <v>2653</v>
      </c>
      <c r="BM577" t="s">
        <v>11317</v>
      </c>
      <c r="BN577">
        <v>24082106</v>
      </c>
      <c r="BO577" t="s">
        <v>11318</v>
      </c>
      <c r="BP577" t="s">
        <v>74</v>
      </c>
      <c r="BQ577" t="s">
        <v>74</v>
      </c>
      <c r="BR577" t="s">
        <v>103</v>
      </c>
      <c r="BS577" t="s">
        <v>11319</v>
      </c>
      <c r="BT577" t="str">
        <f>HYPERLINK("https%3A%2F%2Fwww.webofscience.com%2Fwos%2Fwoscc%2Ffull-record%2FWOS:000325634200056","View Full Record in Web of Science")</f>
        <v>View Full Record in Web of Science</v>
      </c>
    </row>
    <row r="578" spans="1:72" x14ac:dyDescent="0.15">
      <c r="A578" t="s">
        <v>72</v>
      </c>
      <c r="B578" t="s">
        <v>11320</v>
      </c>
      <c r="C578" t="s">
        <v>74</v>
      </c>
      <c r="D578" t="s">
        <v>74</v>
      </c>
      <c r="E578" t="s">
        <v>74</v>
      </c>
      <c r="F578" t="s">
        <v>11321</v>
      </c>
      <c r="G578" t="s">
        <v>74</v>
      </c>
      <c r="H578" t="s">
        <v>74</v>
      </c>
      <c r="I578" t="s">
        <v>11322</v>
      </c>
      <c r="J578" t="s">
        <v>11323</v>
      </c>
      <c r="K578" t="s">
        <v>74</v>
      </c>
      <c r="L578" t="s">
        <v>74</v>
      </c>
      <c r="M578" t="s">
        <v>78</v>
      </c>
      <c r="N578" t="s">
        <v>79</v>
      </c>
      <c r="O578" t="s">
        <v>74</v>
      </c>
      <c r="P578" t="s">
        <v>74</v>
      </c>
      <c r="Q578" t="s">
        <v>74</v>
      </c>
      <c r="R578" t="s">
        <v>74</v>
      </c>
      <c r="S578" t="s">
        <v>74</v>
      </c>
      <c r="T578" t="s">
        <v>11324</v>
      </c>
      <c r="U578" t="s">
        <v>11325</v>
      </c>
      <c r="V578" t="s">
        <v>11326</v>
      </c>
      <c r="W578" t="s">
        <v>11327</v>
      </c>
      <c r="X578" t="s">
        <v>11328</v>
      </c>
      <c r="Y578" t="s">
        <v>11329</v>
      </c>
      <c r="Z578" t="s">
        <v>11330</v>
      </c>
      <c r="AA578" t="s">
        <v>11331</v>
      </c>
      <c r="AB578" t="s">
        <v>74</v>
      </c>
      <c r="AC578" t="s">
        <v>11332</v>
      </c>
      <c r="AD578" t="s">
        <v>11333</v>
      </c>
      <c r="AE578" t="s">
        <v>11334</v>
      </c>
      <c r="AF578" t="s">
        <v>74</v>
      </c>
      <c r="AG578">
        <v>38</v>
      </c>
      <c r="AH578">
        <v>3</v>
      </c>
      <c r="AI578">
        <v>3</v>
      </c>
      <c r="AJ578">
        <v>2</v>
      </c>
      <c r="AK578">
        <v>22</v>
      </c>
      <c r="AL578" t="s">
        <v>783</v>
      </c>
      <c r="AM578" t="s">
        <v>252</v>
      </c>
      <c r="AN578" t="s">
        <v>784</v>
      </c>
      <c r="AO578" t="s">
        <v>11335</v>
      </c>
      <c r="AP578" t="s">
        <v>11336</v>
      </c>
      <c r="AQ578" t="s">
        <v>74</v>
      </c>
      <c r="AR578" t="s">
        <v>11337</v>
      </c>
      <c r="AS578" t="s">
        <v>11338</v>
      </c>
      <c r="AT578" t="s">
        <v>11224</v>
      </c>
      <c r="AU578">
        <v>2013</v>
      </c>
      <c r="AV578">
        <v>52</v>
      </c>
      <c r="AW578">
        <v>8</v>
      </c>
      <c r="AX578" t="s">
        <v>74</v>
      </c>
      <c r="AY578" t="s">
        <v>74</v>
      </c>
      <c r="AZ578" t="s">
        <v>74</v>
      </c>
      <c r="BA578" t="s">
        <v>74</v>
      </c>
      <c r="BB578">
        <v>1467</v>
      </c>
      <c r="BC578">
        <v>1475</v>
      </c>
      <c r="BD578" t="s">
        <v>74</v>
      </c>
      <c r="BE578" t="s">
        <v>11339</v>
      </c>
      <c r="BF578" t="str">
        <f>HYPERLINK("http://dx.doi.org/10.1016/j.asr.2013.07.023","http://dx.doi.org/10.1016/j.asr.2013.07.023")</f>
        <v>http://dx.doi.org/10.1016/j.asr.2013.07.023</v>
      </c>
      <c r="BG578" t="s">
        <v>74</v>
      </c>
      <c r="BH578" t="s">
        <v>74</v>
      </c>
      <c r="BI578">
        <v>9</v>
      </c>
      <c r="BJ578" t="s">
        <v>11340</v>
      </c>
      <c r="BK578" t="s">
        <v>99</v>
      </c>
      <c r="BL578" t="s">
        <v>11341</v>
      </c>
      <c r="BM578" t="s">
        <v>11342</v>
      </c>
      <c r="BN578" t="s">
        <v>74</v>
      </c>
      <c r="BO578" t="s">
        <v>74</v>
      </c>
      <c r="BP578" t="s">
        <v>74</v>
      </c>
      <c r="BQ578" t="s">
        <v>74</v>
      </c>
      <c r="BR578" t="s">
        <v>103</v>
      </c>
      <c r="BS578" t="s">
        <v>11343</v>
      </c>
      <c r="BT578" t="str">
        <f>HYPERLINK("https%3A%2F%2Fwww.webofscience.com%2Fwos%2Fwoscc%2Ffull-record%2FWOS:000325592100007","View Full Record in Web of Science")</f>
        <v>View Full Record in Web of Science</v>
      </c>
    </row>
    <row r="579" spans="1:72" x14ac:dyDescent="0.15">
      <c r="A579" t="s">
        <v>72</v>
      </c>
      <c r="B579" t="s">
        <v>11344</v>
      </c>
      <c r="C579" t="s">
        <v>74</v>
      </c>
      <c r="D579" t="s">
        <v>74</v>
      </c>
      <c r="E579" t="s">
        <v>74</v>
      </c>
      <c r="F579" t="s">
        <v>11345</v>
      </c>
      <c r="G579" t="s">
        <v>74</v>
      </c>
      <c r="H579" t="s">
        <v>74</v>
      </c>
      <c r="I579" t="s">
        <v>11346</v>
      </c>
      <c r="J579" t="s">
        <v>11213</v>
      </c>
      <c r="K579" t="s">
        <v>74</v>
      </c>
      <c r="L579" t="s">
        <v>74</v>
      </c>
      <c r="M579" t="s">
        <v>78</v>
      </c>
      <c r="N579" t="s">
        <v>2830</v>
      </c>
      <c r="O579" t="s">
        <v>74</v>
      </c>
      <c r="P579" t="s">
        <v>74</v>
      </c>
      <c r="Q579" t="s">
        <v>74</v>
      </c>
      <c r="R579" t="s">
        <v>74</v>
      </c>
      <c r="S579" t="s">
        <v>74</v>
      </c>
      <c r="T579" t="s">
        <v>74</v>
      </c>
      <c r="U579" t="s">
        <v>11347</v>
      </c>
      <c r="V579" t="s">
        <v>74</v>
      </c>
      <c r="W579" t="s">
        <v>11348</v>
      </c>
      <c r="X579" t="s">
        <v>11349</v>
      </c>
      <c r="Y579" t="s">
        <v>11350</v>
      </c>
      <c r="Z579" t="s">
        <v>11351</v>
      </c>
      <c r="AA579" t="s">
        <v>11219</v>
      </c>
      <c r="AB579" t="s">
        <v>74</v>
      </c>
      <c r="AC579" t="s">
        <v>1627</v>
      </c>
      <c r="AD579" t="s">
        <v>1628</v>
      </c>
      <c r="AE579" t="s">
        <v>74</v>
      </c>
      <c r="AF579" t="s">
        <v>74</v>
      </c>
      <c r="AG579">
        <v>45</v>
      </c>
      <c r="AH579">
        <v>12</v>
      </c>
      <c r="AI579">
        <v>14</v>
      </c>
      <c r="AJ579">
        <v>0</v>
      </c>
      <c r="AK579">
        <v>24</v>
      </c>
      <c r="AL579" t="s">
        <v>872</v>
      </c>
      <c r="AM579" t="s">
        <v>252</v>
      </c>
      <c r="AN579" t="s">
        <v>873</v>
      </c>
      <c r="AO579" t="s">
        <v>11220</v>
      </c>
      <c r="AP579" t="s">
        <v>11221</v>
      </c>
      <c r="AQ579" t="s">
        <v>74</v>
      </c>
      <c r="AR579" t="s">
        <v>11222</v>
      </c>
      <c r="AS579" t="s">
        <v>11223</v>
      </c>
      <c r="AT579" t="s">
        <v>11224</v>
      </c>
      <c r="AU579">
        <v>2013</v>
      </c>
      <c r="AV579">
        <v>95</v>
      </c>
      <c r="AW579" t="s">
        <v>74</v>
      </c>
      <c r="AX579" t="s">
        <v>74</v>
      </c>
      <c r="AY579" t="s">
        <v>74</v>
      </c>
      <c r="AZ579" t="s">
        <v>74</v>
      </c>
      <c r="BA579" t="s">
        <v>74</v>
      </c>
      <c r="BB579">
        <v>3</v>
      </c>
      <c r="BC579">
        <v>6</v>
      </c>
      <c r="BD579" t="s">
        <v>74</v>
      </c>
      <c r="BE579" t="s">
        <v>11352</v>
      </c>
      <c r="BF579" t="str">
        <f>HYPERLINK("http://dx.doi.org/10.1016/j.dsr2.2013.05.008","http://dx.doi.org/10.1016/j.dsr2.2013.05.008")</f>
        <v>http://dx.doi.org/10.1016/j.dsr2.2013.05.008</v>
      </c>
      <c r="BG579" t="s">
        <v>74</v>
      </c>
      <c r="BH579" t="s">
        <v>74</v>
      </c>
      <c r="BI579">
        <v>4</v>
      </c>
      <c r="BJ579" t="s">
        <v>1613</v>
      </c>
      <c r="BK579" t="s">
        <v>99</v>
      </c>
      <c r="BL579" t="s">
        <v>1613</v>
      </c>
      <c r="BM579" t="s">
        <v>11226</v>
      </c>
      <c r="BN579" t="s">
        <v>74</v>
      </c>
      <c r="BO579" t="s">
        <v>74</v>
      </c>
      <c r="BP579" t="s">
        <v>74</v>
      </c>
      <c r="BQ579" t="s">
        <v>74</v>
      </c>
      <c r="BR579" t="s">
        <v>103</v>
      </c>
      <c r="BS579" t="s">
        <v>11353</v>
      </c>
      <c r="BT579" t="str">
        <f>HYPERLINK("https%3A%2F%2Fwww.webofscience.com%2Fwos%2Fwoscc%2Ffull-record%2FWOS:000328592400002","View Full Record in Web of Science")</f>
        <v>View Full Record in Web of Science</v>
      </c>
    </row>
    <row r="580" spans="1:72" x14ac:dyDescent="0.15">
      <c r="A580" t="s">
        <v>72</v>
      </c>
      <c r="B580" t="s">
        <v>11354</v>
      </c>
      <c r="C580" t="s">
        <v>74</v>
      </c>
      <c r="D580" t="s">
        <v>74</v>
      </c>
      <c r="E580" t="s">
        <v>74</v>
      </c>
      <c r="F580" t="s">
        <v>11355</v>
      </c>
      <c r="G580" t="s">
        <v>74</v>
      </c>
      <c r="H580" t="s">
        <v>74</v>
      </c>
      <c r="I580" t="s">
        <v>11356</v>
      </c>
      <c r="J580" t="s">
        <v>11213</v>
      </c>
      <c r="K580" t="s">
        <v>74</v>
      </c>
      <c r="L580" t="s">
        <v>74</v>
      </c>
      <c r="M580" t="s">
        <v>78</v>
      </c>
      <c r="N580" t="s">
        <v>79</v>
      </c>
      <c r="O580" t="s">
        <v>74</v>
      </c>
      <c r="P580" t="s">
        <v>74</v>
      </c>
      <c r="Q580" t="s">
        <v>74</v>
      </c>
      <c r="R580" t="s">
        <v>74</v>
      </c>
      <c r="S580" t="s">
        <v>74</v>
      </c>
      <c r="T580" t="s">
        <v>11357</v>
      </c>
      <c r="U580" t="s">
        <v>11358</v>
      </c>
      <c r="V580" t="s">
        <v>11359</v>
      </c>
      <c r="W580" t="s">
        <v>11360</v>
      </c>
      <c r="X580" t="s">
        <v>74</v>
      </c>
      <c r="Y580" t="s">
        <v>11361</v>
      </c>
      <c r="Z580" t="s">
        <v>11362</v>
      </c>
      <c r="AA580" t="s">
        <v>74</v>
      </c>
      <c r="AB580" t="s">
        <v>74</v>
      </c>
      <c r="AC580" t="s">
        <v>11363</v>
      </c>
      <c r="AD580" t="s">
        <v>11363</v>
      </c>
      <c r="AE580" t="s">
        <v>11364</v>
      </c>
      <c r="AF580" t="s">
        <v>74</v>
      </c>
      <c r="AG580">
        <v>87</v>
      </c>
      <c r="AH580">
        <v>49</v>
      </c>
      <c r="AI580">
        <v>60</v>
      </c>
      <c r="AJ580">
        <v>2</v>
      </c>
      <c r="AK580">
        <v>30</v>
      </c>
      <c r="AL580" t="s">
        <v>872</v>
      </c>
      <c r="AM580" t="s">
        <v>252</v>
      </c>
      <c r="AN580" t="s">
        <v>873</v>
      </c>
      <c r="AO580" t="s">
        <v>11220</v>
      </c>
      <c r="AP580" t="s">
        <v>11221</v>
      </c>
      <c r="AQ580" t="s">
        <v>74</v>
      </c>
      <c r="AR580" t="s">
        <v>11222</v>
      </c>
      <c r="AS580" t="s">
        <v>11223</v>
      </c>
      <c r="AT580" t="s">
        <v>11224</v>
      </c>
      <c r="AU580">
        <v>2013</v>
      </c>
      <c r="AV580">
        <v>95</v>
      </c>
      <c r="AW580" t="s">
        <v>74</v>
      </c>
      <c r="AX580" t="s">
        <v>74</v>
      </c>
      <c r="AY580" t="s">
        <v>74</v>
      </c>
      <c r="AZ580" t="s">
        <v>74</v>
      </c>
      <c r="BA580" t="s">
        <v>74</v>
      </c>
      <c r="BB580">
        <v>7</v>
      </c>
      <c r="BC580">
        <v>20</v>
      </c>
      <c r="BD580" t="s">
        <v>74</v>
      </c>
      <c r="BE580" t="s">
        <v>11365</v>
      </c>
      <c r="BF580" t="str">
        <f>HYPERLINK("http://dx.doi.org/10.1016/j.dsr2.2012.07.003","http://dx.doi.org/10.1016/j.dsr2.2012.07.003")</f>
        <v>http://dx.doi.org/10.1016/j.dsr2.2012.07.003</v>
      </c>
      <c r="BG580" t="s">
        <v>74</v>
      </c>
      <c r="BH580" t="s">
        <v>74</v>
      </c>
      <c r="BI580">
        <v>14</v>
      </c>
      <c r="BJ580" t="s">
        <v>1613</v>
      </c>
      <c r="BK580" t="s">
        <v>99</v>
      </c>
      <c r="BL580" t="s">
        <v>1613</v>
      </c>
      <c r="BM580" t="s">
        <v>11226</v>
      </c>
      <c r="BN580" t="s">
        <v>74</v>
      </c>
      <c r="BO580" t="s">
        <v>74</v>
      </c>
      <c r="BP580" t="s">
        <v>74</v>
      </c>
      <c r="BQ580" t="s">
        <v>74</v>
      </c>
      <c r="BR580" t="s">
        <v>103</v>
      </c>
      <c r="BS580" t="s">
        <v>11366</v>
      </c>
      <c r="BT580" t="str">
        <f>HYPERLINK("https%3A%2F%2Fwww.webofscience.com%2Fwos%2Fwoscc%2Ffull-record%2FWOS:000328592400003","View Full Record in Web of Science")</f>
        <v>View Full Record in Web of Science</v>
      </c>
    </row>
    <row r="581" spans="1:72" x14ac:dyDescent="0.15">
      <c r="A581" t="s">
        <v>72</v>
      </c>
      <c r="B581" t="s">
        <v>11367</v>
      </c>
      <c r="C581" t="s">
        <v>74</v>
      </c>
      <c r="D581" t="s">
        <v>74</v>
      </c>
      <c r="E581" t="s">
        <v>74</v>
      </c>
      <c r="F581" t="s">
        <v>11368</v>
      </c>
      <c r="G581" t="s">
        <v>74</v>
      </c>
      <c r="H581" t="s">
        <v>74</v>
      </c>
      <c r="I581" t="s">
        <v>11369</v>
      </c>
      <c r="J581" t="s">
        <v>11213</v>
      </c>
      <c r="K581" t="s">
        <v>74</v>
      </c>
      <c r="L581" t="s">
        <v>74</v>
      </c>
      <c r="M581" t="s">
        <v>78</v>
      </c>
      <c r="N581" t="s">
        <v>79</v>
      </c>
      <c r="O581" t="s">
        <v>74</v>
      </c>
      <c r="P581" t="s">
        <v>74</v>
      </c>
      <c r="Q581" t="s">
        <v>74</v>
      </c>
      <c r="R581" t="s">
        <v>74</v>
      </c>
      <c r="S581" t="s">
        <v>74</v>
      </c>
      <c r="T581" t="s">
        <v>11370</v>
      </c>
      <c r="U581" t="s">
        <v>11371</v>
      </c>
      <c r="V581" t="s">
        <v>11372</v>
      </c>
      <c r="W581" t="s">
        <v>11373</v>
      </c>
      <c r="X581" t="s">
        <v>709</v>
      </c>
      <c r="Y581" t="s">
        <v>11217</v>
      </c>
      <c r="Z581" t="s">
        <v>11218</v>
      </c>
      <c r="AA581" t="s">
        <v>74</v>
      </c>
      <c r="AB581" t="s">
        <v>74</v>
      </c>
      <c r="AC581" t="s">
        <v>1627</v>
      </c>
      <c r="AD581" t="s">
        <v>1628</v>
      </c>
      <c r="AE581" t="s">
        <v>74</v>
      </c>
      <c r="AF581" t="s">
        <v>74</v>
      </c>
      <c r="AG581">
        <v>94</v>
      </c>
      <c r="AH581">
        <v>48</v>
      </c>
      <c r="AI581">
        <v>54</v>
      </c>
      <c r="AJ581">
        <v>8</v>
      </c>
      <c r="AK581">
        <v>116</v>
      </c>
      <c r="AL581" t="s">
        <v>872</v>
      </c>
      <c r="AM581" t="s">
        <v>252</v>
      </c>
      <c r="AN581" t="s">
        <v>873</v>
      </c>
      <c r="AO581" t="s">
        <v>11220</v>
      </c>
      <c r="AP581" t="s">
        <v>11221</v>
      </c>
      <c r="AQ581" t="s">
        <v>74</v>
      </c>
      <c r="AR581" t="s">
        <v>11222</v>
      </c>
      <c r="AS581" t="s">
        <v>11223</v>
      </c>
      <c r="AT581" t="s">
        <v>11224</v>
      </c>
      <c r="AU581">
        <v>2013</v>
      </c>
      <c r="AV581">
        <v>95</v>
      </c>
      <c r="AW581" t="s">
        <v>74</v>
      </c>
      <c r="AX581" t="s">
        <v>74</v>
      </c>
      <c r="AY581" t="s">
        <v>74</v>
      </c>
      <c r="AZ581" t="s">
        <v>74</v>
      </c>
      <c r="BA581" t="s">
        <v>74</v>
      </c>
      <c r="BB581">
        <v>129</v>
      </c>
      <c r="BC581">
        <v>138</v>
      </c>
      <c r="BD581" t="s">
        <v>74</v>
      </c>
      <c r="BE581" t="s">
        <v>11374</v>
      </c>
      <c r="BF581" t="str">
        <f>HYPERLINK("http://dx.doi.org/10.1016/j.dsr2.2012.07.001","http://dx.doi.org/10.1016/j.dsr2.2012.07.001")</f>
        <v>http://dx.doi.org/10.1016/j.dsr2.2012.07.001</v>
      </c>
      <c r="BG581" t="s">
        <v>74</v>
      </c>
      <c r="BH581" t="s">
        <v>74</v>
      </c>
      <c r="BI581">
        <v>10</v>
      </c>
      <c r="BJ581" t="s">
        <v>1613</v>
      </c>
      <c r="BK581" t="s">
        <v>99</v>
      </c>
      <c r="BL581" t="s">
        <v>1613</v>
      </c>
      <c r="BM581" t="s">
        <v>11226</v>
      </c>
      <c r="BN581" t="s">
        <v>74</v>
      </c>
      <c r="BO581" t="s">
        <v>74</v>
      </c>
      <c r="BP581" t="s">
        <v>74</v>
      </c>
      <c r="BQ581" t="s">
        <v>74</v>
      </c>
      <c r="BR581" t="s">
        <v>103</v>
      </c>
      <c r="BS581" t="s">
        <v>11375</v>
      </c>
      <c r="BT581" t="str">
        <f>HYPERLINK("https%3A%2F%2Fwww.webofscience.com%2Fwos%2Fwoscc%2Ffull-record%2FWOS:000328592400014","View Full Record in Web of Science")</f>
        <v>View Full Record in Web of Science</v>
      </c>
    </row>
    <row r="582" spans="1:72" x14ac:dyDescent="0.15">
      <c r="A582" t="s">
        <v>72</v>
      </c>
      <c r="B582" t="s">
        <v>11376</v>
      </c>
      <c r="C582" t="s">
        <v>74</v>
      </c>
      <c r="D582" t="s">
        <v>74</v>
      </c>
      <c r="E582" t="s">
        <v>74</v>
      </c>
      <c r="F582" t="s">
        <v>11377</v>
      </c>
      <c r="G582" t="s">
        <v>74</v>
      </c>
      <c r="H582" t="s">
        <v>74</v>
      </c>
      <c r="I582" t="s">
        <v>11378</v>
      </c>
      <c r="J582" t="s">
        <v>4072</v>
      </c>
      <c r="K582" t="s">
        <v>74</v>
      </c>
      <c r="L582" t="s">
        <v>74</v>
      </c>
      <c r="M582" t="s">
        <v>78</v>
      </c>
      <c r="N582" t="s">
        <v>79</v>
      </c>
      <c r="O582" t="s">
        <v>74</v>
      </c>
      <c r="P582" t="s">
        <v>74</v>
      </c>
      <c r="Q582" t="s">
        <v>74</v>
      </c>
      <c r="R582" t="s">
        <v>74</v>
      </c>
      <c r="S582" t="s">
        <v>74</v>
      </c>
      <c r="T582" t="s">
        <v>74</v>
      </c>
      <c r="U582" t="s">
        <v>11379</v>
      </c>
      <c r="V582" t="s">
        <v>11380</v>
      </c>
      <c r="W582" t="s">
        <v>11381</v>
      </c>
      <c r="X582" t="s">
        <v>11382</v>
      </c>
      <c r="Y582" t="s">
        <v>11383</v>
      </c>
      <c r="Z582" t="s">
        <v>11384</v>
      </c>
      <c r="AA582" t="s">
        <v>74</v>
      </c>
      <c r="AB582" t="s">
        <v>11385</v>
      </c>
      <c r="AC582" t="s">
        <v>11386</v>
      </c>
      <c r="AD582" t="s">
        <v>11387</v>
      </c>
      <c r="AE582" t="s">
        <v>11388</v>
      </c>
      <c r="AF582" t="s">
        <v>74</v>
      </c>
      <c r="AG582">
        <v>51</v>
      </c>
      <c r="AH582">
        <v>17</v>
      </c>
      <c r="AI582">
        <v>18</v>
      </c>
      <c r="AJ582">
        <v>0</v>
      </c>
      <c r="AK582">
        <v>33</v>
      </c>
      <c r="AL582" t="s">
        <v>4084</v>
      </c>
      <c r="AM582" t="s">
        <v>4085</v>
      </c>
      <c r="AN582" t="s">
        <v>4086</v>
      </c>
      <c r="AO582" t="s">
        <v>4087</v>
      </c>
      <c r="AP582" t="s">
        <v>74</v>
      </c>
      <c r="AQ582" t="s">
        <v>74</v>
      </c>
      <c r="AR582" t="s">
        <v>4072</v>
      </c>
      <c r="AS582" t="s">
        <v>4088</v>
      </c>
      <c r="AT582" t="s">
        <v>11224</v>
      </c>
      <c r="AU582">
        <v>2013</v>
      </c>
      <c r="AV582">
        <v>8</v>
      </c>
      <c r="AW582">
        <v>10</v>
      </c>
      <c r="AX582" t="s">
        <v>74</v>
      </c>
      <c r="AY582" t="s">
        <v>74</v>
      </c>
      <c r="AZ582" t="s">
        <v>74</v>
      </c>
      <c r="BA582" t="s">
        <v>74</v>
      </c>
      <c r="BB582" t="s">
        <v>74</v>
      </c>
      <c r="BC582" t="s">
        <v>74</v>
      </c>
      <c r="BD582" t="s">
        <v>11389</v>
      </c>
      <c r="BE582" t="s">
        <v>11390</v>
      </c>
      <c r="BF582" t="str">
        <f>HYPERLINK("http://dx.doi.org/10.1371/journal.pone.0077498","http://dx.doi.org/10.1371/journal.pone.0077498")</f>
        <v>http://dx.doi.org/10.1371/journal.pone.0077498</v>
      </c>
      <c r="BG582" t="s">
        <v>74</v>
      </c>
      <c r="BH582" t="s">
        <v>74</v>
      </c>
      <c r="BI582">
        <v>9</v>
      </c>
      <c r="BJ582" t="s">
        <v>2652</v>
      </c>
      <c r="BK582" t="s">
        <v>99</v>
      </c>
      <c r="BL582" t="s">
        <v>2653</v>
      </c>
      <c r="BM582" t="s">
        <v>11391</v>
      </c>
      <c r="BN582">
        <v>24143238</v>
      </c>
      <c r="BO582" t="s">
        <v>4951</v>
      </c>
      <c r="BP582" t="s">
        <v>74</v>
      </c>
      <c r="BQ582" t="s">
        <v>74</v>
      </c>
      <c r="BR582" t="s">
        <v>103</v>
      </c>
      <c r="BS582" t="s">
        <v>11392</v>
      </c>
      <c r="BT582" t="str">
        <f>HYPERLINK("https%3A%2F%2Fwww.webofscience.com%2Fwos%2Fwoscc%2Ffull-record%2FWOS:000325894100076","View Full Record in Web of Science")</f>
        <v>View Full Record in Web of Science</v>
      </c>
    </row>
    <row r="583" spans="1:72" x14ac:dyDescent="0.15">
      <c r="A583" t="s">
        <v>72</v>
      </c>
      <c r="B583" t="s">
        <v>11393</v>
      </c>
      <c r="C583" t="s">
        <v>74</v>
      </c>
      <c r="D583" t="s">
        <v>74</v>
      </c>
      <c r="E583" t="s">
        <v>74</v>
      </c>
      <c r="F583" t="s">
        <v>11394</v>
      </c>
      <c r="G583" t="s">
        <v>74</v>
      </c>
      <c r="H583" t="s">
        <v>74</v>
      </c>
      <c r="I583" t="s">
        <v>11395</v>
      </c>
      <c r="J583" t="s">
        <v>4311</v>
      </c>
      <c r="K583" t="s">
        <v>74</v>
      </c>
      <c r="L583" t="s">
        <v>74</v>
      </c>
      <c r="M583" t="s">
        <v>78</v>
      </c>
      <c r="N583" t="s">
        <v>79</v>
      </c>
      <c r="O583" t="s">
        <v>74</v>
      </c>
      <c r="P583" t="s">
        <v>74</v>
      </c>
      <c r="Q583" t="s">
        <v>74</v>
      </c>
      <c r="R583" t="s">
        <v>74</v>
      </c>
      <c r="S583" t="s">
        <v>74</v>
      </c>
      <c r="T583" t="s">
        <v>11396</v>
      </c>
      <c r="U583" t="s">
        <v>11397</v>
      </c>
      <c r="V583" t="s">
        <v>11398</v>
      </c>
      <c r="W583" t="s">
        <v>11399</v>
      </c>
      <c r="X583" t="s">
        <v>11400</v>
      </c>
      <c r="Y583" t="s">
        <v>11401</v>
      </c>
      <c r="Z583" t="s">
        <v>11402</v>
      </c>
      <c r="AA583" t="s">
        <v>11403</v>
      </c>
      <c r="AB583" t="s">
        <v>11404</v>
      </c>
      <c r="AC583" t="s">
        <v>11405</v>
      </c>
      <c r="AD583" t="s">
        <v>11406</v>
      </c>
      <c r="AE583" t="s">
        <v>11407</v>
      </c>
      <c r="AF583" t="s">
        <v>74</v>
      </c>
      <c r="AG583">
        <v>84</v>
      </c>
      <c r="AH583">
        <v>169</v>
      </c>
      <c r="AI583">
        <v>181</v>
      </c>
      <c r="AJ583">
        <v>0</v>
      </c>
      <c r="AK583">
        <v>89</v>
      </c>
      <c r="AL583" t="s">
        <v>4318</v>
      </c>
      <c r="AM583" t="s">
        <v>808</v>
      </c>
      <c r="AN583" t="s">
        <v>4319</v>
      </c>
      <c r="AO583" t="s">
        <v>4320</v>
      </c>
      <c r="AP583" t="s">
        <v>74</v>
      </c>
      <c r="AQ583" t="s">
        <v>74</v>
      </c>
      <c r="AR583" t="s">
        <v>4321</v>
      </c>
      <c r="AS583" t="s">
        <v>4322</v>
      </c>
      <c r="AT583" t="s">
        <v>11224</v>
      </c>
      <c r="AU583">
        <v>2013</v>
      </c>
      <c r="AV583">
        <v>110</v>
      </c>
      <c r="AW583">
        <v>42</v>
      </c>
      <c r="AX583" t="s">
        <v>74</v>
      </c>
      <c r="AY583" t="s">
        <v>74</v>
      </c>
      <c r="AZ583" t="s">
        <v>74</v>
      </c>
      <c r="BA583" t="s">
        <v>74</v>
      </c>
      <c r="BB583">
        <v>16742</v>
      </c>
      <c r="BC583">
        <v>16747</v>
      </c>
      <c r="BD583" t="s">
        <v>74</v>
      </c>
      <c r="BE583" t="s">
        <v>11408</v>
      </c>
      <c r="BF583" t="str">
        <f>HYPERLINK("http://dx.doi.org/10.1073/pnas.1307520110","http://dx.doi.org/10.1073/pnas.1307520110")</f>
        <v>http://dx.doi.org/10.1073/pnas.1307520110</v>
      </c>
      <c r="BG583" t="s">
        <v>74</v>
      </c>
      <c r="BH583" t="s">
        <v>74</v>
      </c>
      <c r="BI583">
        <v>6</v>
      </c>
      <c r="BJ583" t="s">
        <v>2652</v>
      </c>
      <c r="BK583" t="s">
        <v>99</v>
      </c>
      <c r="BL583" t="s">
        <v>2653</v>
      </c>
      <c r="BM583" t="s">
        <v>11317</v>
      </c>
      <c r="BN583">
        <v>24082132</v>
      </c>
      <c r="BO583" t="s">
        <v>11409</v>
      </c>
      <c r="BP583" t="s">
        <v>74</v>
      </c>
      <c r="BQ583" t="s">
        <v>74</v>
      </c>
      <c r="BR583" t="s">
        <v>103</v>
      </c>
      <c r="BS583" t="s">
        <v>11410</v>
      </c>
      <c r="BT583" t="str">
        <f>HYPERLINK("https%3A%2F%2Fwww.webofscience.com%2Fwos%2Fwoscc%2Ffull-record%2FWOS:000325634200023","View Full Record in Web of Science")</f>
        <v>View Full Record in Web of Science</v>
      </c>
    </row>
    <row r="584" spans="1:72" x14ac:dyDescent="0.15">
      <c r="A584" t="s">
        <v>72</v>
      </c>
      <c r="B584" t="s">
        <v>11411</v>
      </c>
      <c r="C584" t="s">
        <v>74</v>
      </c>
      <c r="D584" t="s">
        <v>74</v>
      </c>
      <c r="E584" t="s">
        <v>74</v>
      </c>
      <c r="F584" t="s">
        <v>11412</v>
      </c>
      <c r="G584" t="s">
        <v>74</v>
      </c>
      <c r="H584" t="s">
        <v>74</v>
      </c>
      <c r="I584" t="s">
        <v>11413</v>
      </c>
      <c r="J584" t="s">
        <v>3405</v>
      </c>
      <c r="K584" t="s">
        <v>74</v>
      </c>
      <c r="L584" t="s">
        <v>74</v>
      </c>
      <c r="M584" t="s">
        <v>78</v>
      </c>
      <c r="N584" t="s">
        <v>79</v>
      </c>
      <c r="O584" t="s">
        <v>74</v>
      </c>
      <c r="P584" t="s">
        <v>74</v>
      </c>
      <c r="Q584" t="s">
        <v>74</v>
      </c>
      <c r="R584" t="s">
        <v>74</v>
      </c>
      <c r="S584" t="s">
        <v>74</v>
      </c>
      <c r="T584" t="s">
        <v>11414</v>
      </c>
      <c r="U584" t="s">
        <v>11415</v>
      </c>
      <c r="V584" t="s">
        <v>11416</v>
      </c>
      <c r="W584" t="s">
        <v>11417</v>
      </c>
      <c r="X584" t="s">
        <v>11418</v>
      </c>
      <c r="Y584" t="s">
        <v>11419</v>
      </c>
      <c r="Z584" t="s">
        <v>11420</v>
      </c>
      <c r="AA584" t="s">
        <v>11421</v>
      </c>
      <c r="AB584" t="s">
        <v>11422</v>
      </c>
      <c r="AC584" t="s">
        <v>11423</v>
      </c>
      <c r="AD584" t="s">
        <v>11424</v>
      </c>
      <c r="AE584" t="s">
        <v>11425</v>
      </c>
      <c r="AF584" t="s">
        <v>74</v>
      </c>
      <c r="AG584">
        <v>46</v>
      </c>
      <c r="AH584">
        <v>47</v>
      </c>
      <c r="AI584">
        <v>50</v>
      </c>
      <c r="AJ584">
        <v>0</v>
      </c>
      <c r="AK584">
        <v>13</v>
      </c>
      <c r="AL584" t="s">
        <v>872</v>
      </c>
      <c r="AM584" t="s">
        <v>252</v>
      </c>
      <c r="AN584" t="s">
        <v>873</v>
      </c>
      <c r="AO584" t="s">
        <v>3416</v>
      </c>
      <c r="AP584" t="s">
        <v>74</v>
      </c>
      <c r="AQ584" t="s">
        <v>74</v>
      </c>
      <c r="AR584" t="s">
        <v>3417</v>
      </c>
      <c r="AS584" t="s">
        <v>3418</v>
      </c>
      <c r="AT584" t="s">
        <v>11224</v>
      </c>
      <c r="AU584">
        <v>2013</v>
      </c>
      <c r="AV584">
        <v>78</v>
      </c>
      <c r="AW584" t="s">
        <v>74</v>
      </c>
      <c r="AX584" t="s">
        <v>74</v>
      </c>
      <c r="AY584" t="s">
        <v>74</v>
      </c>
      <c r="AZ584" t="s">
        <v>74</v>
      </c>
      <c r="BA584" t="s">
        <v>74</v>
      </c>
      <c r="BB584">
        <v>98</v>
      </c>
      <c r="BC584">
        <v>107</v>
      </c>
      <c r="BD584" t="s">
        <v>74</v>
      </c>
      <c r="BE584" t="s">
        <v>11426</v>
      </c>
      <c r="BF584" t="str">
        <f>HYPERLINK("http://dx.doi.org/10.1016/j.quascirev.2013.08.003","http://dx.doi.org/10.1016/j.quascirev.2013.08.003")</f>
        <v>http://dx.doi.org/10.1016/j.quascirev.2013.08.003</v>
      </c>
      <c r="BG584" t="s">
        <v>74</v>
      </c>
      <c r="BH584" t="s">
        <v>74</v>
      </c>
      <c r="BI584">
        <v>10</v>
      </c>
      <c r="BJ584" t="s">
        <v>98</v>
      </c>
      <c r="BK584" t="s">
        <v>99</v>
      </c>
      <c r="BL584" t="s">
        <v>100</v>
      </c>
      <c r="BM584" t="s">
        <v>11264</v>
      </c>
      <c r="BN584" t="s">
        <v>74</v>
      </c>
      <c r="BO584" t="s">
        <v>5837</v>
      </c>
      <c r="BP584" t="s">
        <v>74</v>
      </c>
      <c r="BQ584" t="s">
        <v>74</v>
      </c>
      <c r="BR584" t="s">
        <v>103</v>
      </c>
      <c r="BS584" t="s">
        <v>11427</v>
      </c>
      <c r="BT584" t="str">
        <f>HYPERLINK("https%3A%2F%2Fwww.webofscience.com%2Fwos%2Fwoscc%2Ffull-record%2FWOS:000327908900007","View Full Record in Web of Science")</f>
        <v>View Full Record in Web of Science</v>
      </c>
    </row>
    <row r="585" spans="1:72" x14ac:dyDescent="0.15">
      <c r="A585" t="s">
        <v>72</v>
      </c>
      <c r="B585" t="s">
        <v>11428</v>
      </c>
      <c r="C585" t="s">
        <v>74</v>
      </c>
      <c r="D585" t="s">
        <v>74</v>
      </c>
      <c r="E585" t="s">
        <v>74</v>
      </c>
      <c r="F585" t="s">
        <v>11429</v>
      </c>
      <c r="G585" t="s">
        <v>74</v>
      </c>
      <c r="H585" t="s">
        <v>74</v>
      </c>
      <c r="I585" t="s">
        <v>11430</v>
      </c>
      <c r="J585" t="s">
        <v>3405</v>
      </c>
      <c r="K585" t="s">
        <v>74</v>
      </c>
      <c r="L585" t="s">
        <v>74</v>
      </c>
      <c r="M585" t="s">
        <v>78</v>
      </c>
      <c r="N585" t="s">
        <v>79</v>
      </c>
      <c r="O585" t="s">
        <v>74</v>
      </c>
      <c r="P585" t="s">
        <v>74</v>
      </c>
      <c r="Q585" t="s">
        <v>74</v>
      </c>
      <c r="R585" t="s">
        <v>74</v>
      </c>
      <c r="S585" t="s">
        <v>74</v>
      </c>
      <c r="T585" t="s">
        <v>11431</v>
      </c>
      <c r="U585" t="s">
        <v>11432</v>
      </c>
      <c r="V585" t="s">
        <v>11433</v>
      </c>
      <c r="W585" t="s">
        <v>11434</v>
      </c>
      <c r="X585" t="s">
        <v>11435</v>
      </c>
      <c r="Y585" t="s">
        <v>11436</v>
      </c>
      <c r="Z585" t="s">
        <v>11437</v>
      </c>
      <c r="AA585" t="s">
        <v>11438</v>
      </c>
      <c r="AB585" t="s">
        <v>11439</v>
      </c>
      <c r="AC585" t="s">
        <v>11440</v>
      </c>
      <c r="AD585" t="s">
        <v>11441</v>
      </c>
      <c r="AE585" t="s">
        <v>11442</v>
      </c>
      <c r="AF585" t="s">
        <v>74</v>
      </c>
      <c r="AG585">
        <v>174</v>
      </c>
      <c r="AH585">
        <v>86</v>
      </c>
      <c r="AI585">
        <v>93</v>
      </c>
      <c r="AJ585">
        <v>5</v>
      </c>
      <c r="AK585">
        <v>63</v>
      </c>
      <c r="AL585" t="s">
        <v>872</v>
      </c>
      <c r="AM585" t="s">
        <v>252</v>
      </c>
      <c r="AN585" t="s">
        <v>873</v>
      </c>
      <c r="AO585" t="s">
        <v>3416</v>
      </c>
      <c r="AP585" t="s">
        <v>74</v>
      </c>
      <c r="AQ585" t="s">
        <v>74</v>
      </c>
      <c r="AR585" t="s">
        <v>3417</v>
      </c>
      <c r="AS585" t="s">
        <v>3418</v>
      </c>
      <c r="AT585" t="s">
        <v>11224</v>
      </c>
      <c r="AU585">
        <v>2013</v>
      </c>
      <c r="AV585">
        <v>78</v>
      </c>
      <c r="AW585" t="s">
        <v>74</v>
      </c>
      <c r="AX585" t="s">
        <v>74</v>
      </c>
      <c r="AY585" t="s">
        <v>74</v>
      </c>
      <c r="AZ585" t="s">
        <v>74</v>
      </c>
      <c r="BA585" t="s">
        <v>74</v>
      </c>
      <c r="BB585">
        <v>225</v>
      </c>
      <c r="BC585">
        <v>247</v>
      </c>
      <c r="BD585" t="s">
        <v>74</v>
      </c>
      <c r="BE585" t="s">
        <v>11443</v>
      </c>
      <c r="BF585" t="str">
        <f>HYPERLINK("http://dx.doi.org/10.1016/j.quascirev.2013.08.011","http://dx.doi.org/10.1016/j.quascirev.2013.08.011")</f>
        <v>http://dx.doi.org/10.1016/j.quascirev.2013.08.011</v>
      </c>
      <c r="BG585" t="s">
        <v>74</v>
      </c>
      <c r="BH585" t="s">
        <v>74</v>
      </c>
      <c r="BI585">
        <v>23</v>
      </c>
      <c r="BJ585" t="s">
        <v>98</v>
      </c>
      <c r="BK585" t="s">
        <v>99</v>
      </c>
      <c r="BL585" t="s">
        <v>100</v>
      </c>
      <c r="BM585" t="s">
        <v>11264</v>
      </c>
      <c r="BN585" t="s">
        <v>74</v>
      </c>
      <c r="BO585" t="s">
        <v>74</v>
      </c>
      <c r="BP585" t="s">
        <v>74</v>
      </c>
      <c r="BQ585" t="s">
        <v>74</v>
      </c>
      <c r="BR585" t="s">
        <v>103</v>
      </c>
      <c r="BS585" t="s">
        <v>11444</v>
      </c>
      <c r="BT585" t="str">
        <f>HYPERLINK("https%3A%2F%2Fwww.webofscience.com%2Fwos%2Fwoscc%2Ffull-record%2FWOS:000327908900015","View Full Record in Web of Science")</f>
        <v>View Full Record in Web of Science</v>
      </c>
    </row>
    <row r="586" spans="1:72" x14ac:dyDescent="0.15">
      <c r="A586" t="s">
        <v>72</v>
      </c>
      <c r="B586" t="s">
        <v>1016</v>
      </c>
      <c r="C586" t="s">
        <v>74</v>
      </c>
      <c r="D586" t="s">
        <v>74</v>
      </c>
      <c r="E586" t="s">
        <v>74</v>
      </c>
      <c r="F586" t="s">
        <v>1016</v>
      </c>
      <c r="G586" t="s">
        <v>74</v>
      </c>
      <c r="H586" t="s">
        <v>74</v>
      </c>
      <c r="I586" t="s">
        <v>11445</v>
      </c>
      <c r="J586" t="s">
        <v>11446</v>
      </c>
      <c r="K586" t="s">
        <v>74</v>
      </c>
      <c r="L586" t="s">
        <v>74</v>
      </c>
      <c r="M586" t="s">
        <v>1004</v>
      </c>
      <c r="N586" t="s">
        <v>2830</v>
      </c>
      <c r="O586" t="s">
        <v>74</v>
      </c>
      <c r="P586" t="s">
        <v>74</v>
      </c>
      <c r="Q586" t="s">
        <v>74</v>
      </c>
      <c r="R586" t="s">
        <v>74</v>
      </c>
      <c r="S586" t="s">
        <v>74</v>
      </c>
      <c r="T586" t="s">
        <v>74</v>
      </c>
      <c r="U586" t="s">
        <v>74</v>
      </c>
      <c r="V586" t="s">
        <v>74</v>
      </c>
      <c r="W586" t="s">
        <v>74</v>
      </c>
      <c r="X586" t="s">
        <v>74</v>
      </c>
      <c r="Y586" t="s">
        <v>74</v>
      </c>
      <c r="Z586" t="s">
        <v>74</v>
      </c>
      <c r="AA586" t="s">
        <v>74</v>
      </c>
      <c r="AB586" t="s">
        <v>74</v>
      </c>
      <c r="AC586" t="s">
        <v>74</v>
      </c>
      <c r="AD586" t="s">
        <v>74</v>
      </c>
      <c r="AE586" t="s">
        <v>74</v>
      </c>
      <c r="AF586" t="s">
        <v>74</v>
      </c>
      <c r="AG586">
        <v>0</v>
      </c>
      <c r="AH586">
        <v>0</v>
      </c>
      <c r="AI586">
        <v>0</v>
      </c>
      <c r="AJ586">
        <v>0</v>
      </c>
      <c r="AK586">
        <v>0</v>
      </c>
      <c r="AL586" t="s">
        <v>11447</v>
      </c>
      <c r="AM586" t="s">
        <v>11448</v>
      </c>
      <c r="AN586" t="s">
        <v>11449</v>
      </c>
      <c r="AO586" t="s">
        <v>11450</v>
      </c>
      <c r="AP586" t="s">
        <v>74</v>
      </c>
      <c r="AQ586" t="s">
        <v>74</v>
      </c>
      <c r="AR586" t="s">
        <v>11451</v>
      </c>
      <c r="AS586" t="s">
        <v>11452</v>
      </c>
      <c r="AT586" t="s">
        <v>11224</v>
      </c>
      <c r="AU586">
        <v>2013</v>
      </c>
      <c r="AV586">
        <v>133</v>
      </c>
      <c r="AW586">
        <v>10</v>
      </c>
      <c r="AX586" t="s">
        <v>74</v>
      </c>
      <c r="AY586" t="s">
        <v>74</v>
      </c>
      <c r="AZ586" t="s">
        <v>74</v>
      </c>
      <c r="BA586" t="s">
        <v>74</v>
      </c>
      <c r="BB586">
        <v>82</v>
      </c>
      <c r="BC586">
        <v>82</v>
      </c>
      <c r="BD586" t="s">
        <v>74</v>
      </c>
      <c r="BE586" t="s">
        <v>74</v>
      </c>
      <c r="BF586" t="s">
        <v>74</v>
      </c>
      <c r="BG586" t="s">
        <v>74</v>
      </c>
      <c r="BH586" t="s">
        <v>74</v>
      </c>
      <c r="BI586">
        <v>1</v>
      </c>
      <c r="BJ586" t="s">
        <v>11453</v>
      </c>
      <c r="BK586" t="s">
        <v>99</v>
      </c>
      <c r="BL586" t="s">
        <v>11453</v>
      </c>
      <c r="BM586" t="s">
        <v>11454</v>
      </c>
      <c r="BN586" t="s">
        <v>74</v>
      </c>
      <c r="BO586" t="s">
        <v>74</v>
      </c>
      <c r="BP586" t="s">
        <v>74</v>
      </c>
      <c r="BQ586" t="s">
        <v>74</v>
      </c>
      <c r="BR586" t="s">
        <v>103</v>
      </c>
      <c r="BS586" t="s">
        <v>11455</v>
      </c>
      <c r="BT586" t="str">
        <f>HYPERLINK("https%3A%2F%2Fwww.webofscience.com%2Fwos%2Fwoscc%2Ffull-record%2FWOS:000326670000023","View Full Record in Web of Science")</f>
        <v>View Full Record in Web of Science</v>
      </c>
    </row>
    <row r="587" spans="1:72" x14ac:dyDescent="0.15">
      <c r="A587" t="s">
        <v>72</v>
      </c>
      <c r="B587" t="s">
        <v>11456</v>
      </c>
      <c r="C587" t="s">
        <v>74</v>
      </c>
      <c r="D587" t="s">
        <v>74</v>
      </c>
      <c r="E587" t="s">
        <v>74</v>
      </c>
      <c r="F587" t="s">
        <v>11457</v>
      </c>
      <c r="G587" t="s">
        <v>74</v>
      </c>
      <c r="H587" t="s">
        <v>11458</v>
      </c>
      <c r="I587" t="s">
        <v>11459</v>
      </c>
      <c r="J587" t="s">
        <v>11460</v>
      </c>
      <c r="K587" t="s">
        <v>74</v>
      </c>
      <c r="L587" t="s">
        <v>74</v>
      </c>
      <c r="M587" t="s">
        <v>78</v>
      </c>
      <c r="N587" t="s">
        <v>7910</v>
      </c>
      <c r="O587" t="s">
        <v>11461</v>
      </c>
      <c r="P587" t="s">
        <v>11462</v>
      </c>
      <c r="Q587" t="s">
        <v>11463</v>
      </c>
      <c r="R587" t="s">
        <v>74</v>
      </c>
      <c r="S587" t="s">
        <v>74</v>
      </c>
      <c r="T587" t="s">
        <v>11464</v>
      </c>
      <c r="U587" t="s">
        <v>11465</v>
      </c>
      <c r="V587" t="s">
        <v>11466</v>
      </c>
      <c r="W587" t="s">
        <v>11467</v>
      </c>
      <c r="X587" t="s">
        <v>11468</v>
      </c>
      <c r="Y587" t="s">
        <v>11469</v>
      </c>
      <c r="Z587" t="s">
        <v>11470</v>
      </c>
      <c r="AA587" t="s">
        <v>11471</v>
      </c>
      <c r="AB587" t="s">
        <v>11472</v>
      </c>
      <c r="AC587" t="s">
        <v>11473</v>
      </c>
      <c r="AD587" t="s">
        <v>11474</v>
      </c>
      <c r="AE587" t="s">
        <v>74</v>
      </c>
      <c r="AF587" t="s">
        <v>74</v>
      </c>
      <c r="AG587">
        <v>17</v>
      </c>
      <c r="AH587">
        <v>0</v>
      </c>
      <c r="AI587">
        <v>0</v>
      </c>
      <c r="AJ587">
        <v>0</v>
      </c>
      <c r="AK587">
        <v>10</v>
      </c>
      <c r="AL587" t="s">
        <v>582</v>
      </c>
      <c r="AM587" t="s">
        <v>305</v>
      </c>
      <c r="AN587" t="s">
        <v>583</v>
      </c>
      <c r="AO587" t="s">
        <v>11475</v>
      </c>
      <c r="AP587" t="s">
        <v>11476</v>
      </c>
      <c r="AQ587" t="s">
        <v>74</v>
      </c>
      <c r="AR587" t="s">
        <v>11477</v>
      </c>
      <c r="AS587" t="s">
        <v>11478</v>
      </c>
      <c r="AT587" t="s">
        <v>11479</v>
      </c>
      <c r="AU587">
        <v>2013</v>
      </c>
      <c r="AV587">
        <v>725</v>
      </c>
      <c r="AW587" t="s">
        <v>74</v>
      </c>
      <c r="AX587" t="s">
        <v>74</v>
      </c>
      <c r="AY587" t="s">
        <v>74</v>
      </c>
      <c r="AZ587" t="s">
        <v>74</v>
      </c>
      <c r="BA587" t="s">
        <v>74</v>
      </c>
      <c r="BB587">
        <v>18</v>
      </c>
      <c r="BC587">
        <v>22</v>
      </c>
      <c r="BD587" t="s">
        <v>74</v>
      </c>
      <c r="BE587" t="s">
        <v>11480</v>
      </c>
      <c r="BF587" t="str">
        <f>HYPERLINK("http://dx.doi.org/10.1016/j.nima.2012.11.128","http://dx.doi.org/10.1016/j.nima.2012.11.128")</f>
        <v>http://dx.doi.org/10.1016/j.nima.2012.11.128</v>
      </c>
      <c r="BG587" t="s">
        <v>74</v>
      </c>
      <c r="BH587" t="s">
        <v>74</v>
      </c>
      <c r="BI587">
        <v>5</v>
      </c>
      <c r="BJ587" t="s">
        <v>11481</v>
      </c>
      <c r="BK587" t="s">
        <v>11482</v>
      </c>
      <c r="BL587" t="s">
        <v>11483</v>
      </c>
      <c r="BM587" t="s">
        <v>11484</v>
      </c>
      <c r="BN587" t="s">
        <v>74</v>
      </c>
      <c r="BO587" t="s">
        <v>74</v>
      </c>
      <c r="BP587" t="s">
        <v>74</v>
      </c>
      <c r="BQ587" t="s">
        <v>74</v>
      </c>
      <c r="BR587" t="s">
        <v>103</v>
      </c>
      <c r="BS587" t="s">
        <v>11485</v>
      </c>
      <c r="BT587" t="str">
        <f>HYPERLINK("https%3A%2F%2Fwww.webofscience.com%2Fwos%2Fwoscc%2Ffull-record%2FWOS:000322629200006","View Full Record in Web of Science")</f>
        <v>View Full Record in Web of Science</v>
      </c>
    </row>
    <row r="588" spans="1:72" x14ac:dyDescent="0.15">
      <c r="A588" t="s">
        <v>72</v>
      </c>
      <c r="B588" t="s">
        <v>4712</v>
      </c>
      <c r="C588" t="s">
        <v>74</v>
      </c>
      <c r="D588" t="s">
        <v>74</v>
      </c>
      <c r="E588" t="s">
        <v>74</v>
      </c>
      <c r="F588" t="s">
        <v>4713</v>
      </c>
      <c r="G588" t="s">
        <v>74</v>
      </c>
      <c r="H588" t="s">
        <v>74</v>
      </c>
      <c r="I588" t="s">
        <v>11486</v>
      </c>
      <c r="J588" t="s">
        <v>4715</v>
      </c>
      <c r="K588" t="s">
        <v>74</v>
      </c>
      <c r="L588" t="s">
        <v>74</v>
      </c>
      <c r="M588" t="s">
        <v>78</v>
      </c>
      <c r="N588" t="s">
        <v>79</v>
      </c>
      <c r="O588" t="s">
        <v>74</v>
      </c>
      <c r="P588" t="s">
        <v>74</v>
      </c>
      <c r="Q588" t="s">
        <v>74</v>
      </c>
      <c r="R588" t="s">
        <v>74</v>
      </c>
      <c r="S588" t="s">
        <v>74</v>
      </c>
      <c r="T588" t="s">
        <v>11487</v>
      </c>
      <c r="U588" t="s">
        <v>11488</v>
      </c>
      <c r="V588" t="s">
        <v>11489</v>
      </c>
      <c r="W588" t="s">
        <v>11490</v>
      </c>
      <c r="X588" t="s">
        <v>4718</v>
      </c>
      <c r="Y588" t="s">
        <v>11491</v>
      </c>
      <c r="Z588" t="s">
        <v>4720</v>
      </c>
      <c r="AA588" t="s">
        <v>11492</v>
      </c>
      <c r="AB588" t="s">
        <v>11493</v>
      </c>
      <c r="AC588" t="s">
        <v>11494</v>
      </c>
      <c r="AD588" t="s">
        <v>11494</v>
      </c>
      <c r="AE588" t="s">
        <v>11495</v>
      </c>
      <c r="AF588" t="s">
        <v>74</v>
      </c>
      <c r="AG588">
        <v>42</v>
      </c>
      <c r="AH588">
        <v>19</v>
      </c>
      <c r="AI588">
        <v>20</v>
      </c>
      <c r="AJ588">
        <v>2</v>
      </c>
      <c r="AK588">
        <v>34</v>
      </c>
      <c r="AL588" t="s">
        <v>4723</v>
      </c>
      <c r="AM588" t="s">
        <v>921</v>
      </c>
      <c r="AN588" t="s">
        <v>4724</v>
      </c>
      <c r="AO588" t="s">
        <v>4725</v>
      </c>
      <c r="AP588" t="s">
        <v>4726</v>
      </c>
      <c r="AQ588" t="s">
        <v>74</v>
      </c>
      <c r="AR588" t="s">
        <v>4727</v>
      </c>
      <c r="AS588" t="s">
        <v>4728</v>
      </c>
      <c r="AT588" t="s">
        <v>11496</v>
      </c>
      <c r="AU588">
        <v>2013</v>
      </c>
      <c r="AV588">
        <v>53</v>
      </c>
      <c r="AW588">
        <v>5</v>
      </c>
      <c r="AX588" t="s">
        <v>74</v>
      </c>
      <c r="AY588" t="s">
        <v>74</v>
      </c>
      <c r="AZ588" t="s">
        <v>74</v>
      </c>
      <c r="BA588" t="s">
        <v>74</v>
      </c>
      <c r="BB588">
        <v>331</v>
      </c>
      <c r="BC588">
        <v>338</v>
      </c>
      <c r="BD588" t="s">
        <v>74</v>
      </c>
      <c r="BE588" t="s">
        <v>11497</v>
      </c>
      <c r="BF588" t="str">
        <f>HYPERLINK("http://dx.doi.org/10.1016/j.enzmictec.2013.07.005","http://dx.doi.org/10.1016/j.enzmictec.2013.07.005")</f>
        <v>http://dx.doi.org/10.1016/j.enzmictec.2013.07.005</v>
      </c>
      <c r="BG588" t="s">
        <v>74</v>
      </c>
      <c r="BH588" t="s">
        <v>74</v>
      </c>
      <c r="BI588">
        <v>8</v>
      </c>
      <c r="BJ588" t="s">
        <v>3957</v>
      </c>
      <c r="BK588" t="s">
        <v>99</v>
      </c>
      <c r="BL588" t="s">
        <v>3957</v>
      </c>
      <c r="BM588" t="s">
        <v>11498</v>
      </c>
      <c r="BN588">
        <v>24034432</v>
      </c>
      <c r="BO588" t="s">
        <v>74</v>
      </c>
      <c r="BP588" t="s">
        <v>74</v>
      </c>
      <c r="BQ588" t="s">
        <v>74</v>
      </c>
      <c r="BR588" t="s">
        <v>103</v>
      </c>
      <c r="BS588" t="s">
        <v>11499</v>
      </c>
      <c r="BT588" t="str">
        <f>HYPERLINK("https%3A%2F%2Fwww.webofscience.com%2Fwos%2Fwoscc%2Ffull-record%2FWOS:000325446900006","View Full Record in Web of Science")</f>
        <v>View Full Record in Web of Science</v>
      </c>
    </row>
    <row r="589" spans="1:72" x14ac:dyDescent="0.15">
      <c r="A589" t="s">
        <v>72</v>
      </c>
      <c r="B589" t="s">
        <v>11500</v>
      </c>
      <c r="C589" t="s">
        <v>74</v>
      </c>
      <c r="D589" t="s">
        <v>74</v>
      </c>
      <c r="E589" t="s">
        <v>74</v>
      </c>
      <c r="F589" t="s">
        <v>11501</v>
      </c>
      <c r="G589" t="s">
        <v>74</v>
      </c>
      <c r="H589" t="s">
        <v>74</v>
      </c>
      <c r="I589" t="s">
        <v>11502</v>
      </c>
      <c r="J589" t="s">
        <v>4784</v>
      </c>
      <c r="K589" t="s">
        <v>74</v>
      </c>
      <c r="L589" t="s">
        <v>74</v>
      </c>
      <c r="M589" t="s">
        <v>78</v>
      </c>
      <c r="N589" t="s">
        <v>79</v>
      </c>
      <c r="O589" t="s">
        <v>74</v>
      </c>
      <c r="P589" t="s">
        <v>74</v>
      </c>
      <c r="Q589" t="s">
        <v>74</v>
      </c>
      <c r="R589" t="s">
        <v>74</v>
      </c>
      <c r="S589" t="s">
        <v>74</v>
      </c>
      <c r="T589" t="s">
        <v>11503</v>
      </c>
      <c r="U589" t="s">
        <v>11504</v>
      </c>
      <c r="V589" t="s">
        <v>11505</v>
      </c>
      <c r="W589" t="s">
        <v>11506</v>
      </c>
      <c r="X589" t="s">
        <v>11507</v>
      </c>
      <c r="Y589" t="s">
        <v>11508</v>
      </c>
      <c r="Z589" t="s">
        <v>11509</v>
      </c>
      <c r="AA589" t="s">
        <v>11510</v>
      </c>
      <c r="AB589" t="s">
        <v>11511</v>
      </c>
      <c r="AC589" t="s">
        <v>11512</v>
      </c>
      <c r="AD589" t="s">
        <v>11513</v>
      </c>
      <c r="AE589" t="s">
        <v>11514</v>
      </c>
      <c r="AF589" t="s">
        <v>74</v>
      </c>
      <c r="AG589">
        <v>43</v>
      </c>
      <c r="AH589">
        <v>43</v>
      </c>
      <c r="AI589">
        <v>47</v>
      </c>
      <c r="AJ589">
        <v>1</v>
      </c>
      <c r="AK589">
        <v>88</v>
      </c>
      <c r="AL589" t="s">
        <v>4135</v>
      </c>
      <c r="AM589" t="s">
        <v>849</v>
      </c>
      <c r="AN589" t="s">
        <v>4136</v>
      </c>
      <c r="AO589" t="s">
        <v>4794</v>
      </c>
      <c r="AP589" t="s">
        <v>4795</v>
      </c>
      <c r="AQ589" t="s">
        <v>74</v>
      </c>
      <c r="AR589" t="s">
        <v>4796</v>
      </c>
      <c r="AS589" t="s">
        <v>4797</v>
      </c>
      <c r="AT589" t="s">
        <v>11515</v>
      </c>
      <c r="AU589">
        <v>2013</v>
      </c>
      <c r="AV589">
        <v>280</v>
      </c>
      <c r="AW589">
        <v>1768</v>
      </c>
      <c r="AX589" t="s">
        <v>74</v>
      </c>
      <c r="AY589" t="s">
        <v>74</v>
      </c>
      <c r="AZ589" t="s">
        <v>74</v>
      </c>
      <c r="BA589" t="s">
        <v>74</v>
      </c>
      <c r="BB589" t="s">
        <v>74</v>
      </c>
      <c r="BC589" t="s">
        <v>74</v>
      </c>
      <c r="BD589">
        <v>20131390</v>
      </c>
      <c r="BE589" t="s">
        <v>11516</v>
      </c>
      <c r="BF589" t="str">
        <f>HYPERLINK("http://dx.doi.org/10.1098/rspb.2013.1390","http://dx.doi.org/10.1098/rspb.2013.1390")</f>
        <v>http://dx.doi.org/10.1098/rspb.2013.1390</v>
      </c>
      <c r="BG589" t="s">
        <v>74</v>
      </c>
      <c r="BH589" t="s">
        <v>74</v>
      </c>
      <c r="BI589">
        <v>10</v>
      </c>
      <c r="BJ589" t="s">
        <v>4143</v>
      </c>
      <c r="BK589" t="s">
        <v>99</v>
      </c>
      <c r="BL589" t="s">
        <v>4144</v>
      </c>
      <c r="BM589" t="s">
        <v>11517</v>
      </c>
      <c r="BN589">
        <v>23945684</v>
      </c>
      <c r="BO589" t="s">
        <v>4419</v>
      </c>
      <c r="BP589" t="s">
        <v>74</v>
      </c>
      <c r="BQ589" t="s">
        <v>74</v>
      </c>
      <c r="BR589" t="s">
        <v>103</v>
      </c>
      <c r="BS589" t="s">
        <v>11518</v>
      </c>
      <c r="BT589" t="str">
        <f>HYPERLINK("https%3A%2F%2Fwww.webofscience.com%2Fwos%2Fwoscc%2Ffull-record%2FWOS:000330321300012","View Full Record in Web of Science")</f>
        <v>View Full Record in Web of Science</v>
      </c>
    </row>
    <row r="590" spans="1:72" x14ac:dyDescent="0.15">
      <c r="A590" t="s">
        <v>72</v>
      </c>
      <c r="B590" t="s">
        <v>11519</v>
      </c>
      <c r="C590" t="s">
        <v>74</v>
      </c>
      <c r="D590" t="s">
        <v>74</v>
      </c>
      <c r="E590" t="s">
        <v>74</v>
      </c>
      <c r="F590" t="s">
        <v>11520</v>
      </c>
      <c r="G590" t="s">
        <v>74</v>
      </c>
      <c r="H590" t="s">
        <v>74</v>
      </c>
      <c r="I590" t="s">
        <v>11521</v>
      </c>
      <c r="J590" t="s">
        <v>11522</v>
      </c>
      <c r="K590" t="s">
        <v>74</v>
      </c>
      <c r="L590" t="s">
        <v>74</v>
      </c>
      <c r="M590" t="s">
        <v>78</v>
      </c>
      <c r="N590" t="s">
        <v>7135</v>
      </c>
      <c r="O590" t="s">
        <v>74</v>
      </c>
      <c r="P590" t="s">
        <v>74</v>
      </c>
      <c r="Q590" t="s">
        <v>74</v>
      </c>
      <c r="R590" t="s">
        <v>74</v>
      </c>
      <c r="S590" t="s">
        <v>74</v>
      </c>
      <c r="T590" t="s">
        <v>74</v>
      </c>
      <c r="U590" t="s">
        <v>11523</v>
      </c>
      <c r="V590" t="s">
        <v>74</v>
      </c>
      <c r="W590" t="s">
        <v>10404</v>
      </c>
      <c r="X590" t="s">
        <v>2317</v>
      </c>
      <c r="Y590" t="s">
        <v>11524</v>
      </c>
      <c r="Z590" t="s">
        <v>11525</v>
      </c>
      <c r="AA590" t="s">
        <v>11526</v>
      </c>
      <c r="AB590" t="s">
        <v>11527</v>
      </c>
      <c r="AC590" t="s">
        <v>74</v>
      </c>
      <c r="AD590" t="s">
        <v>74</v>
      </c>
      <c r="AE590" t="s">
        <v>74</v>
      </c>
      <c r="AF590" t="s">
        <v>74</v>
      </c>
      <c r="AG590">
        <v>6</v>
      </c>
      <c r="AH590">
        <v>1</v>
      </c>
      <c r="AI590">
        <v>1</v>
      </c>
      <c r="AJ590">
        <v>0</v>
      </c>
      <c r="AK590">
        <v>2</v>
      </c>
      <c r="AL590" t="s">
        <v>11528</v>
      </c>
      <c r="AM590" t="s">
        <v>488</v>
      </c>
      <c r="AN590" t="s">
        <v>11529</v>
      </c>
      <c r="AO590" t="s">
        <v>11530</v>
      </c>
      <c r="AP590" t="s">
        <v>11531</v>
      </c>
      <c r="AQ590" t="s">
        <v>74</v>
      </c>
      <c r="AR590" t="s">
        <v>11532</v>
      </c>
      <c r="AS590" t="s">
        <v>11533</v>
      </c>
      <c r="AT590" t="s">
        <v>11515</v>
      </c>
      <c r="AU590">
        <v>2013</v>
      </c>
      <c r="AV590">
        <v>199</v>
      </c>
      <c r="AW590">
        <v>7</v>
      </c>
      <c r="AX590" t="s">
        <v>74</v>
      </c>
      <c r="AY590" t="s">
        <v>74</v>
      </c>
      <c r="AZ590" t="s">
        <v>74</v>
      </c>
      <c r="BA590" t="s">
        <v>74</v>
      </c>
      <c r="BB590">
        <v>456</v>
      </c>
      <c r="BC590">
        <v>457</v>
      </c>
      <c r="BD590" t="s">
        <v>74</v>
      </c>
      <c r="BE590" t="s">
        <v>11534</v>
      </c>
      <c r="BF590" t="str">
        <f>HYPERLINK("http://dx.doi.org/10.5694/mja13.10034","http://dx.doi.org/10.5694/mja13.10034")</f>
        <v>http://dx.doi.org/10.5694/mja13.10034</v>
      </c>
      <c r="BG590" t="s">
        <v>74</v>
      </c>
      <c r="BH590" t="s">
        <v>74</v>
      </c>
      <c r="BI590">
        <v>2</v>
      </c>
      <c r="BJ590" t="s">
        <v>4258</v>
      </c>
      <c r="BK590" t="s">
        <v>99</v>
      </c>
      <c r="BL590" t="s">
        <v>4260</v>
      </c>
      <c r="BM590" t="s">
        <v>11535</v>
      </c>
      <c r="BN590">
        <v>24099195</v>
      </c>
      <c r="BO590" t="s">
        <v>74</v>
      </c>
      <c r="BP590" t="s">
        <v>74</v>
      </c>
      <c r="BQ590" t="s">
        <v>74</v>
      </c>
      <c r="BR590" t="s">
        <v>103</v>
      </c>
      <c r="BS590" t="s">
        <v>11536</v>
      </c>
      <c r="BT590" t="str">
        <f>HYPERLINK("https%3A%2F%2Fwww.webofscience.com%2Fwos%2Fwoscc%2Ffull-record%2FWOS:000326127500017","View Full Record in Web of Science")</f>
        <v>View Full Record in Web of Science</v>
      </c>
    </row>
    <row r="591" spans="1:72" x14ac:dyDescent="0.15">
      <c r="A591" t="s">
        <v>72</v>
      </c>
      <c r="B591" t="s">
        <v>11537</v>
      </c>
      <c r="C591" t="s">
        <v>74</v>
      </c>
      <c r="D591" t="s">
        <v>74</v>
      </c>
      <c r="E591" t="s">
        <v>74</v>
      </c>
      <c r="F591" t="s">
        <v>11538</v>
      </c>
      <c r="G591" t="s">
        <v>74</v>
      </c>
      <c r="H591" t="s">
        <v>74</v>
      </c>
      <c r="I591" t="s">
        <v>11521</v>
      </c>
      <c r="J591" t="s">
        <v>11522</v>
      </c>
      <c r="K591" t="s">
        <v>74</v>
      </c>
      <c r="L591" t="s">
        <v>74</v>
      </c>
      <c r="M591" t="s">
        <v>78</v>
      </c>
      <c r="N591" t="s">
        <v>7135</v>
      </c>
      <c r="O591" t="s">
        <v>74</v>
      </c>
      <c r="P591" t="s">
        <v>74</v>
      </c>
      <c r="Q591" t="s">
        <v>74</v>
      </c>
      <c r="R591" t="s">
        <v>74</v>
      </c>
      <c r="S591" t="s">
        <v>74</v>
      </c>
      <c r="T591" t="s">
        <v>74</v>
      </c>
      <c r="U591" t="s">
        <v>74</v>
      </c>
      <c r="V591" t="s">
        <v>74</v>
      </c>
      <c r="W591" t="s">
        <v>11539</v>
      </c>
      <c r="X591" t="s">
        <v>2317</v>
      </c>
      <c r="Y591" t="s">
        <v>11540</v>
      </c>
      <c r="Z591" t="s">
        <v>11541</v>
      </c>
      <c r="AA591" t="s">
        <v>11542</v>
      </c>
      <c r="AB591" t="s">
        <v>11543</v>
      </c>
      <c r="AC591" t="s">
        <v>74</v>
      </c>
      <c r="AD591" t="s">
        <v>74</v>
      </c>
      <c r="AE591" t="s">
        <v>74</v>
      </c>
      <c r="AF591" t="s">
        <v>74</v>
      </c>
      <c r="AG591">
        <v>6</v>
      </c>
      <c r="AH591">
        <v>1</v>
      </c>
      <c r="AI591">
        <v>1</v>
      </c>
      <c r="AJ591">
        <v>0</v>
      </c>
      <c r="AK591">
        <v>0</v>
      </c>
      <c r="AL591" t="s">
        <v>11528</v>
      </c>
      <c r="AM591" t="s">
        <v>488</v>
      </c>
      <c r="AN591" t="s">
        <v>11529</v>
      </c>
      <c r="AO591" t="s">
        <v>11530</v>
      </c>
      <c r="AP591" t="s">
        <v>11531</v>
      </c>
      <c r="AQ591" t="s">
        <v>74</v>
      </c>
      <c r="AR591" t="s">
        <v>11532</v>
      </c>
      <c r="AS591" t="s">
        <v>11533</v>
      </c>
      <c r="AT591" t="s">
        <v>11515</v>
      </c>
      <c r="AU591">
        <v>2013</v>
      </c>
      <c r="AV591">
        <v>199</v>
      </c>
      <c r="AW591">
        <v>7</v>
      </c>
      <c r="AX591" t="s">
        <v>74</v>
      </c>
      <c r="AY591" t="s">
        <v>74</v>
      </c>
      <c r="AZ591" t="s">
        <v>74</v>
      </c>
      <c r="BA591" t="s">
        <v>74</v>
      </c>
      <c r="BB591">
        <v>456</v>
      </c>
      <c r="BC591">
        <v>456</v>
      </c>
      <c r="BD591" t="s">
        <v>74</v>
      </c>
      <c r="BE591" t="s">
        <v>11544</v>
      </c>
      <c r="BF591" t="str">
        <f>HYPERLINK("http://dx.doi.org/10.5694/mja12.11845","http://dx.doi.org/10.5694/mja12.11845")</f>
        <v>http://dx.doi.org/10.5694/mja12.11845</v>
      </c>
      <c r="BG591" t="s">
        <v>74</v>
      </c>
      <c r="BH591" t="s">
        <v>74</v>
      </c>
      <c r="BI591">
        <v>1</v>
      </c>
      <c r="BJ591" t="s">
        <v>4258</v>
      </c>
      <c r="BK591" t="s">
        <v>99</v>
      </c>
      <c r="BL591" t="s">
        <v>4260</v>
      </c>
      <c r="BM591" t="s">
        <v>11535</v>
      </c>
      <c r="BN591">
        <v>24099194</v>
      </c>
      <c r="BO591" t="s">
        <v>74</v>
      </c>
      <c r="BP591" t="s">
        <v>74</v>
      </c>
      <c r="BQ591" t="s">
        <v>74</v>
      </c>
      <c r="BR591" t="s">
        <v>103</v>
      </c>
      <c r="BS591" t="s">
        <v>11545</v>
      </c>
      <c r="BT591" t="str">
        <f>HYPERLINK("https%3A%2F%2Fwww.webofscience.com%2Fwos%2Fwoscc%2Ffull-record%2FWOS:000326127500016","View Full Record in Web of Science")</f>
        <v>View Full Record in Web of Science</v>
      </c>
    </row>
    <row r="592" spans="1:72" x14ac:dyDescent="0.15">
      <c r="A592" t="s">
        <v>72</v>
      </c>
      <c r="B592" t="s">
        <v>11546</v>
      </c>
      <c r="C592" t="s">
        <v>74</v>
      </c>
      <c r="D592" t="s">
        <v>74</v>
      </c>
      <c r="E592" t="s">
        <v>74</v>
      </c>
      <c r="F592" t="s">
        <v>11547</v>
      </c>
      <c r="G592" t="s">
        <v>74</v>
      </c>
      <c r="H592" t="s">
        <v>74</v>
      </c>
      <c r="I592" t="s">
        <v>11548</v>
      </c>
      <c r="J592" t="s">
        <v>4736</v>
      </c>
      <c r="K592" t="s">
        <v>74</v>
      </c>
      <c r="L592" t="s">
        <v>74</v>
      </c>
      <c r="M592" t="s">
        <v>78</v>
      </c>
      <c r="N592" t="s">
        <v>79</v>
      </c>
      <c r="O592" t="s">
        <v>74</v>
      </c>
      <c r="P592" t="s">
        <v>74</v>
      </c>
      <c r="Q592" t="s">
        <v>74</v>
      </c>
      <c r="R592" t="s">
        <v>74</v>
      </c>
      <c r="S592" t="s">
        <v>74</v>
      </c>
      <c r="T592" t="s">
        <v>11549</v>
      </c>
      <c r="U592" t="s">
        <v>11550</v>
      </c>
      <c r="V592" t="s">
        <v>11551</v>
      </c>
      <c r="W592" t="s">
        <v>11552</v>
      </c>
      <c r="X592" t="s">
        <v>11553</v>
      </c>
      <c r="Y592" t="s">
        <v>11554</v>
      </c>
      <c r="Z592" t="s">
        <v>11555</v>
      </c>
      <c r="AA592" t="s">
        <v>74</v>
      </c>
      <c r="AB592" t="s">
        <v>74</v>
      </c>
      <c r="AC592" t="s">
        <v>11556</v>
      </c>
      <c r="AD592" t="s">
        <v>5974</v>
      </c>
      <c r="AE592" t="s">
        <v>11557</v>
      </c>
      <c r="AF592" t="s">
        <v>74</v>
      </c>
      <c r="AG592">
        <v>51</v>
      </c>
      <c r="AH592">
        <v>3</v>
      </c>
      <c r="AI592">
        <v>4</v>
      </c>
      <c r="AJ592">
        <v>1</v>
      </c>
      <c r="AK592">
        <v>4</v>
      </c>
      <c r="AL592" t="s">
        <v>4749</v>
      </c>
      <c r="AM592" t="s">
        <v>4750</v>
      </c>
      <c r="AN592" t="s">
        <v>4751</v>
      </c>
      <c r="AO592" t="s">
        <v>4752</v>
      </c>
      <c r="AP592" t="s">
        <v>4753</v>
      </c>
      <c r="AQ592" t="s">
        <v>74</v>
      </c>
      <c r="AR592" t="s">
        <v>4736</v>
      </c>
      <c r="AS592" t="s">
        <v>4754</v>
      </c>
      <c r="AT592" t="s">
        <v>11558</v>
      </c>
      <c r="AU592">
        <v>2013</v>
      </c>
      <c r="AV592">
        <v>3718</v>
      </c>
      <c r="AW592">
        <v>2</v>
      </c>
      <c r="AX592" t="s">
        <v>74</v>
      </c>
      <c r="AY592" t="s">
        <v>74</v>
      </c>
      <c r="AZ592" t="s">
        <v>74</v>
      </c>
      <c r="BA592" t="s">
        <v>74</v>
      </c>
      <c r="BB592">
        <v>183</v>
      </c>
      <c r="BC592">
        <v>192</v>
      </c>
      <c r="BD592" t="s">
        <v>74</v>
      </c>
      <c r="BE592" t="s">
        <v>74</v>
      </c>
      <c r="BF592" t="s">
        <v>74</v>
      </c>
      <c r="BG592" t="s">
        <v>74</v>
      </c>
      <c r="BH592" t="s">
        <v>74</v>
      </c>
      <c r="BI592">
        <v>10</v>
      </c>
      <c r="BJ592" t="s">
        <v>448</v>
      </c>
      <c r="BK592" t="s">
        <v>99</v>
      </c>
      <c r="BL592" t="s">
        <v>448</v>
      </c>
      <c r="BM592" t="s">
        <v>11559</v>
      </c>
      <c r="BN592">
        <v>26258218</v>
      </c>
      <c r="BO592" t="s">
        <v>74</v>
      </c>
      <c r="BP592" t="s">
        <v>74</v>
      </c>
      <c r="BQ592" t="s">
        <v>74</v>
      </c>
      <c r="BR592" t="s">
        <v>103</v>
      </c>
      <c r="BS592" t="s">
        <v>11560</v>
      </c>
      <c r="BT592" t="str">
        <f>HYPERLINK("https%3A%2F%2Fwww.webofscience.com%2Fwos%2Fwoscc%2Ffull-record%2FWOS:000325128300006","View Full Record in Web of Science")</f>
        <v>View Full Record in Web of Science</v>
      </c>
    </row>
    <row r="593" spans="1:72" x14ac:dyDescent="0.15">
      <c r="A593" t="s">
        <v>72</v>
      </c>
      <c r="B593" t="s">
        <v>11075</v>
      </c>
      <c r="C593" t="s">
        <v>74</v>
      </c>
      <c r="D593" t="s">
        <v>74</v>
      </c>
      <c r="E593" t="s">
        <v>74</v>
      </c>
      <c r="F593" t="s">
        <v>11076</v>
      </c>
      <c r="G593" t="s">
        <v>74</v>
      </c>
      <c r="H593" t="s">
        <v>74</v>
      </c>
      <c r="I593" t="s">
        <v>11561</v>
      </c>
      <c r="J593" t="s">
        <v>11078</v>
      </c>
      <c r="K593" t="s">
        <v>74</v>
      </c>
      <c r="L593" t="s">
        <v>74</v>
      </c>
      <c r="M593" t="s">
        <v>78</v>
      </c>
      <c r="N593" t="s">
        <v>79</v>
      </c>
      <c r="O593" t="s">
        <v>74</v>
      </c>
      <c r="P593" t="s">
        <v>74</v>
      </c>
      <c r="Q593" t="s">
        <v>74</v>
      </c>
      <c r="R593" t="s">
        <v>74</v>
      </c>
      <c r="S593" t="s">
        <v>74</v>
      </c>
      <c r="T593" t="s">
        <v>74</v>
      </c>
      <c r="U593" t="s">
        <v>11562</v>
      </c>
      <c r="V593" t="s">
        <v>11563</v>
      </c>
      <c r="W593" t="s">
        <v>11564</v>
      </c>
      <c r="X593" t="s">
        <v>11565</v>
      </c>
      <c r="Y593" t="s">
        <v>11566</v>
      </c>
      <c r="Z593" t="s">
        <v>11567</v>
      </c>
      <c r="AA593" t="s">
        <v>11568</v>
      </c>
      <c r="AB593" t="s">
        <v>11569</v>
      </c>
      <c r="AC593" t="s">
        <v>11570</v>
      </c>
      <c r="AD593" t="s">
        <v>11571</v>
      </c>
      <c r="AE593" t="s">
        <v>11572</v>
      </c>
      <c r="AF593" t="s">
        <v>74</v>
      </c>
      <c r="AG593">
        <v>31</v>
      </c>
      <c r="AH593">
        <v>460</v>
      </c>
      <c r="AI593">
        <v>507</v>
      </c>
      <c r="AJ593">
        <v>10</v>
      </c>
      <c r="AK593">
        <v>189</v>
      </c>
      <c r="AL593" t="s">
        <v>1371</v>
      </c>
      <c r="AM593" t="s">
        <v>849</v>
      </c>
      <c r="AN593" t="s">
        <v>1372</v>
      </c>
      <c r="AO593" t="s">
        <v>11081</v>
      </c>
      <c r="AP593" t="s">
        <v>11082</v>
      </c>
      <c r="AQ593" t="s">
        <v>74</v>
      </c>
      <c r="AR593" t="s">
        <v>11078</v>
      </c>
      <c r="AS593" t="s">
        <v>11083</v>
      </c>
      <c r="AT593" t="s">
        <v>11558</v>
      </c>
      <c r="AU593">
        <v>2013</v>
      </c>
      <c r="AV593">
        <v>502</v>
      </c>
      <c r="AW593">
        <v>7469</v>
      </c>
      <c r="AX593" t="s">
        <v>74</v>
      </c>
      <c r="AY593" t="s">
        <v>74</v>
      </c>
      <c r="AZ593" t="s">
        <v>74</v>
      </c>
      <c r="BA593" t="s">
        <v>74</v>
      </c>
      <c r="BB593">
        <v>89</v>
      </c>
      <c r="BC593" t="s">
        <v>629</v>
      </c>
      <c r="BD593" t="s">
        <v>74</v>
      </c>
      <c r="BE593" t="s">
        <v>11573</v>
      </c>
      <c r="BF593" t="str">
        <f>HYPERLINK("http://dx.doi.org/10.1038/nature12567","http://dx.doi.org/10.1038/nature12567")</f>
        <v>http://dx.doi.org/10.1038/nature12567</v>
      </c>
      <c r="BG593" t="s">
        <v>74</v>
      </c>
      <c r="BH593" t="s">
        <v>74</v>
      </c>
      <c r="BI593">
        <v>5</v>
      </c>
      <c r="BJ593" t="s">
        <v>2652</v>
      </c>
      <c r="BK593" t="s">
        <v>99</v>
      </c>
      <c r="BL593" t="s">
        <v>2653</v>
      </c>
      <c r="BM593" t="s">
        <v>11574</v>
      </c>
      <c r="BN593">
        <v>24037377</v>
      </c>
      <c r="BO593" t="s">
        <v>74</v>
      </c>
      <c r="BP593" t="s">
        <v>120</v>
      </c>
      <c r="BQ593" t="s">
        <v>121</v>
      </c>
      <c r="BR593" t="s">
        <v>103</v>
      </c>
      <c r="BS593" t="s">
        <v>11575</v>
      </c>
      <c r="BT593" t="str">
        <f>HYPERLINK("https%3A%2F%2Fwww.webofscience.com%2Fwos%2Fwoscc%2Ffull-record%2FWOS:000325106000036","View Full Record in Web of Science")</f>
        <v>View Full Record in Web of Science</v>
      </c>
    </row>
    <row r="594" spans="1:72" x14ac:dyDescent="0.15">
      <c r="A594" t="s">
        <v>72</v>
      </c>
      <c r="B594" t="s">
        <v>11576</v>
      </c>
      <c r="C594" t="s">
        <v>74</v>
      </c>
      <c r="D594" t="s">
        <v>74</v>
      </c>
      <c r="E594" t="s">
        <v>74</v>
      </c>
      <c r="F594" t="s">
        <v>11577</v>
      </c>
      <c r="G594" t="s">
        <v>74</v>
      </c>
      <c r="H594" t="s">
        <v>74</v>
      </c>
      <c r="I594" t="s">
        <v>11578</v>
      </c>
      <c r="J594" t="s">
        <v>11579</v>
      </c>
      <c r="K594" t="s">
        <v>74</v>
      </c>
      <c r="L594" t="s">
        <v>74</v>
      </c>
      <c r="M594" t="s">
        <v>78</v>
      </c>
      <c r="N594" t="s">
        <v>79</v>
      </c>
      <c r="O594" t="s">
        <v>74</v>
      </c>
      <c r="P594" t="s">
        <v>74</v>
      </c>
      <c r="Q594" t="s">
        <v>74</v>
      </c>
      <c r="R594" t="s">
        <v>74</v>
      </c>
      <c r="S594" t="s">
        <v>74</v>
      </c>
      <c r="T594" t="s">
        <v>11580</v>
      </c>
      <c r="U594" t="s">
        <v>11581</v>
      </c>
      <c r="V594" t="s">
        <v>11582</v>
      </c>
      <c r="W594" t="s">
        <v>11583</v>
      </c>
      <c r="X594" t="s">
        <v>2317</v>
      </c>
      <c r="Y594" t="s">
        <v>11584</v>
      </c>
      <c r="Z594" t="s">
        <v>11541</v>
      </c>
      <c r="AA594" t="s">
        <v>11585</v>
      </c>
      <c r="AB594" t="s">
        <v>11586</v>
      </c>
      <c r="AC594" t="s">
        <v>74</v>
      </c>
      <c r="AD594" t="s">
        <v>74</v>
      </c>
      <c r="AE594" t="s">
        <v>74</v>
      </c>
      <c r="AF594" t="s">
        <v>74</v>
      </c>
      <c r="AG594">
        <v>56</v>
      </c>
      <c r="AH594">
        <v>10</v>
      </c>
      <c r="AI594">
        <v>10</v>
      </c>
      <c r="AJ594">
        <v>0</v>
      </c>
      <c r="AK594">
        <v>33</v>
      </c>
      <c r="AL594" t="s">
        <v>2140</v>
      </c>
      <c r="AM594" t="s">
        <v>2141</v>
      </c>
      <c r="AN594" t="s">
        <v>2142</v>
      </c>
      <c r="AO594" t="s">
        <v>11587</v>
      </c>
      <c r="AP594" t="s">
        <v>11588</v>
      </c>
      <c r="AQ594" t="s">
        <v>74</v>
      </c>
      <c r="AR594" t="s">
        <v>11589</v>
      </c>
      <c r="AS594" t="s">
        <v>11590</v>
      </c>
      <c r="AT594" t="s">
        <v>11591</v>
      </c>
      <c r="AU594">
        <v>2013</v>
      </c>
      <c r="AV594">
        <v>21</v>
      </c>
      <c r="AW594" t="s">
        <v>5856</v>
      </c>
      <c r="AX594" t="s">
        <v>74</v>
      </c>
      <c r="AY594" t="s">
        <v>74</v>
      </c>
      <c r="AZ594" t="s">
        <v>283</v>
      </c>
      <c r="BA594" t="s">
        <v>74</v>
      </c>
      <c r="BB594">
        <v>258</v>
      </c>
      <c r="BC594">
        <v>266</v>
      </c>
      <c r="BD594" t="s">
        <v>74</v>
      </c>
      <c r="BE594" t="s">
        <v>11592</v>
      </c>
      <c r="BF594" t="str">
        <f>HYPERLINK("http://dx.doi.org/10.1080/10641262.2013.799389","http://dx.doi.org/10.1080/10641262.2013.799389")</f>
        <v>http://dx.doi.org/10.1080/10641262.2013.799389</v>
      </c>
      <c r="BG594" t="s">
        <v>74</v>
      </c>
      <c r="BH594" t="s">
        <v>74</v>
      </c>
      <c r="BI594">
        <v>9</v>
      </c>
      <c r="BJ594" t="s">
        <v>589</v>
      </c>
      <c r="BK594" t="s">
        <v>99</v>
      </c>
      <c r="BL594" t="s">
        <v>589</v>
      </c>
      <c r="BM594" t="s">
        <v>11593</v>
      </c>
      <c r="BN594" t="s">
        <v>74</v>
      </c>
      <c r="BO594" t="s">
        <v>475</v>
      </c>
      <c r="BP594" t="s">
        <v>74</v>
      </c>
      <c r="BQ594" t="s">
        <v>74</v>
      </c>
      <c r="BR594" t="s">
        <v>103</v>
      </c>
      <c r="BS594" t="s">
        <v>11594</v>
      </c>
      <c r="BT594" t="str">
        <f>HYPERLINK("https%3A%2F%2Fwww.webofscience.com%2Fwos%2Fwoscc%2Ffull-record%2FWOS:000327013000005","View Full Record in Web of Science")</f>
        <v>View Full Record in Web of Science</v>
      </c>
    </row>
    <row r="595" spans="1:72" x14ac:dyDescent="0.15">
      <c r="A595" t="s">
        <v>72</v>
      </c>
      <c r="B595" t="s">
        <v>11595</v>
      </c>
      <c r="C595" t="s">
        <v>74</v>
      </c>
      <c r="D595" t="s">
        <v>74</v>
      </c>
      <c r="E595" t="s">
        <v>74</v>
      </c>
      <c r="F595" t="s">
        <v>11596</v>
      </c>
      <c r="G595" t="s">
        <v>74</v>
      </c>
      <c r="H595" t="s">
        <v>74</v>
      </c>
      <c r="I595" t="s">
        <v>11597</v>
      </c>
      <c r="J595" t="s">
        <v>11598</v>
      </c>
      <c r="K595" t="s">
        <v>74</v>
      </c>
      <c r="L595" t="s">
        <v>74</v>
      </c>
      <c r="M595" t="s">
        <v>78</v>
      </c>
      <c r="N595" t="s">
        <v>79</v>
      </c>
      <c r="O595" t="s">
        <v>74</v>
      </c>
      <c r="P595" t="s">
        <v>74</v>
      </c>
      <c r="Q595" t="s">
        <v>74</v>
      </c>
      <c r="R595" t="s">
        <v>74</v>
      </c>
      <c r="S595" t="s">
        <v>74</v>
      </c>
      <c r="T595" t="s">
        <v>11599</v>
      </c>
      <c r="U595" t="s">
        <v>74</v>
      </c>
      <c r="V595" t="s">
        <v>11600</v>
      </c>
      <c r="W595" t="s">
        <v>11601</v>
      </c>
      <c r="X595" t="s">
        <v>11602</v>
      </c>
      <c r="Y595" t="s">
        <v>11603</v>
      </c>
      <c r="Z595" t="s">
        <v>11604</v>
      </c>
      <c r="AA595" t="s">
        <v>11605</v>
      </c>
      <c r="AB595" t="s">
        <v>11606</v>
      </c>
      <c r="AC595" t="s">
        <v>11607</v>
      </c>
      <c r="AD595" t="s">
        <v>11608</v>
      </c>
      <c r="AE595" t="s">
        <v>11609</v>
      </c>
      <c r="AF595" t="s">
        <v>74</v>
      </c>
      <c r="AG595">
        <v>8</v>
      </c>
      <c r="AH595">
        <v>4</v>
      </c>
      <c r="AI595">
        <v>4</v>
      </c>
      <c r="AJ595">
        <v>0</v>
      </c>
      <c r="AK595">
        <v>2</v>
      </c>
      <c r="AL595" t="s">
        <v>11610</v>
      </c>
      <c r="AM595" t="s">
        <v>11611</v>
      </c>
      <c r="AN595" t="s">
        <v>11612</v>
      </c>
      <c r="AO595" t="s">
        <v>11613</v>
      </c>
      <c r="AP595" t="s">
        <v>74</v>
      </c>
      <c r="AQ595" t="s">
        <v>74</v>
      </c>
      <c r="AR595" t="s">
        <v>11598</v>
      </c>
      <c r="AS595" t="s">
        <v>11614</v>
      </c>
      <c r="AT595" t="s">
        <v>11615</v>
      </c>
      <c r="AU595">
        <v>2013</v>
      </c>
      <c r="AV595">
        <v>126</v>
      </c>
      <c r="AW595" t="s">
        <v>74</v>
      </c>
      <c r="AX595" t="s">
        <v>74</v>
      </c>
      <c r="AY595" t="s">
        <v>74</v>
      </c>
      <c r="AZ595" t="s">
        <v>74</v>
      </c>
      <c r="BA595" t="s">
        <v>74</v>
      </c>
      <c r="BB595">
        <v>31</v>
      </c>
      <c r="BC595">
        <v>36</v>
      </c>
      <c r="BD595" t="s">
        <v>74</v>
      </c>
      <c r="BE595" t="s">
        <v>11616</v>
      </c>
      <c r="BF595" t="str">
        <f>HYPERLINK("http://dx.doi.org/10.5248/126.31","http://dx.doi.org/10.5248/126.31")</f>
        <v>http://dx.doi.org/10.5248/126.31</v>
      </c>
      <c r="BG595" t="s">
        <v>74</v>
      </c>
      <c r="BH595" t="s">
        <v>74</v>
      </c>
      <c r="BI595">
        <v>6</v>
      </c>
      <c r="BJ595" t="s">
        <v>790</v>
      </c>
      <c r="BK595" t="s">
        <v>99</v>
      </c>
      <c r="BL595" t="s">
        <v>790</v>
      </c>
      <c r="BM595" t="s">
        <v>11617</v>
      </c>
      <c r="BN595" t="s">
        <v>74</v>
      </c>
      <c r="BO595" t="s">
        <v>524</v>
      </c>
      <c r="BP595" t="s">
        <v>74</v>
      </c>
      <c r="BQ595" t="s">
        <v>74</v>
      </c>
      <c r="BR595" t="s">
        <v>103</v>
      </c>
      <c r="BS595" t="s">
        <v>11618</v>
      </c>
      <c r="BT595" t="str">
        <f>HYPERLINK("https%3A%2F%2Fwww.webofscience.com%2Fwos%2Fwoscc%2Ffull-record%2FWOS:000333423400005","View Full Record in Web of Science")</f>
        <v>View Full Record in Web of Science</v>
      </c>
    </row>
    <row r="596" spans="1:72" x14ac:dyDescent="0.15">
      <c r="A596" t="s">
        <v>72</v>
      </c>
      <c r="B596" t="s">
        <v>11619</v>
      </c>
      <c r="C596" t="s">
        <v>74</v>
      </c>
      <c r="D596" t="s">
        <v>74</v>
      </c>
      <c r="E596" t="s">
        <v>74</v>
      </c>
      <c r="F596" t="s">
        <v>11620</v>
      </c>
      <c r="G596" t="s">
        <v>74</v>
      </c>
      <c r="H596" t="s">
        <v>74</v>
      </c>
      <c r="I596" t="s">
        <v>11621</v>
      </c>
      <c r="J596" t="s">
        <v>11622</v>
      </c>
      <c r="K596" t="s">
        <v>74</v>
      </c>
      <c r="L596" t="s">
        <v>74</v>
      </c>
      <c r="M596" t="s">
        <v>78</v>
      </c>
      <c r="N596" t="s">
        <v>79</v>
      </c>
      <c r="O596" t="s">
        <v>74</v>
      </c>
      <c r="P596" t="s">
        <v>74</v>
      </c>
      <c r="Q596" t="s">
        <v>74</v>
      </c>
      <c r="R596" t="s">
        <v>74</v>
      </c>
      <c r="S596" t="s">
        <v>74</v>
      </c>
      <c r="T596" t="s">
        <v>11623</v>
      </c>
      <c r="U596" t="s">
        <v>11624</v>
      </c>
      <c r="V596" t="s">
        <v>11625</v>
      </c>
      <c r="W596" t="s">
        <v>11626</v>
      </c>
      <c r="X596" t="s">
        <v>11627</v>
      </c>
      <c r="Y596" t="s">
        <v>11628</v>
      </c>
      <c r="Z596" t="s">
        <v>11629</v>
      </c>
      <c r="AA596" t="s">
        <v>74</v>
      </c>
      <c r="AB596" t="s">
        <v>74</v>
      </c>
      <c r="AC596" t="s">
        <v>74</v>
      </c>
      <c r="AD596" t="s">
        <v>74</v>
      </c>
      <c r="AE596" t="s">
        <v>74</v>
      </c>
      <c r="AF596" t="s">
        <v>74</v>
      </c>
      <c r="AG596">
        <v>19</v>
      </c>
      <c r="AH596">
        <v>1</v>
      </c>
      <c r="AI596">
        <v>1</v>
      </c>
      <c r="AJ596">
        <v>0</v>
      </c>
      <c r="AK596">
        <v>1</v>
      </c>
      <c r="AL596" t="s">
        <v>11630</v>
      </c>
      <c r="AM596" t="s">
        <v>11631</v>
      </c>
      <c r="AN596" t="s">
        <v>11632</v>
      </c>
      <c r="AO596" t="s">
        <v>11633</v>
      </c>
      <c r="AP596" t="s">
        <v>74</v>
      </c>
      <c r="AQ596" t="s">
        <v>74</v>
      </c>
      <c r="AR596" t="s">
        <v>11622</v>
      </c>
      <c r="AS596" t="s">
        <v>11634</v>
      </c>
      <c r="AT596" t="s">
        <v>11635</v>
      </c>
      <c r="AU596">
        <v>2013</v>
      </c>
      <c r="AV596">
        <v>64</v>
      </c>
      <c r="AW596">
        <v>4</v>
      </c>
      <c r="AX596" t="s">
        <v>74</v>
      </c>
      <c r="AY596" t="s">
        <v>74</v>
      </c>
      <c r="AZ596" t="s">
        <v>74</v>
      </c>
      <c r="BA596" t="s">
        <v>74</v>
      </c>
      <c r="BB596">
        <v>613</v>
      </c>
      <c r="BC596">
        <v>624</v>
      </c>
      <c r="BD596" t="s">
        <v>74</v>
      </c>
      <c r="BE596" t="s">
        <v>74</v>
      </c>
      <c r="BF596" t="s">
        <v>74</v>
      </c>
      <c r="BG596" t="s">
        <v>74</v>
      </c>
      <c r="BH596" t="s">
        <v>74</v>
      </c>
      <c r="BI596">
        <v>12</v>
      </c>
      <c r="BJ596" t="s">
        <v>1503</v>
      </c>
      <c r="BK596" t="s">
        <v>99</v>
      </c>
      <c r="BL596" t="s">
        <v>1503</v>
      </c>
      <c r="BM596" t="s">
        <v>11636</v>
      </c>
      <c r="BN596" t="s">
        <v>74</v>
      </c>
      <c r="BO596" t="s">
        <v>74</v>
      </c>
      <c r="BP596" t="s">
        <v>74</v>
      </c>
      <c r="BQ596" t="s">
        <v>74</v>
      </c>
      <c r="BR596" t="s">
        <v>103</v>
      </c>
      <c r="BS596" t="s">
        <v>11637</v>
      </c>
      <c r="BT596" t="str">
        <f>HYPERLINK("https%3A%2F%2Fwww.webofscience.com%2Fwos%2Fwoscc%2Ffull-record%2FWOS:000330922500003","View Full Record in Web of Science")</f>
        <v>View Full Record in Web of Science</v>
      </c>
    </row>
    <row r="597" spans="1:72" x14ac:dyDescent="0.15">
      <c r="A597" t="s">
        <v>72</v>
      </c>
      <c r="B597" t="s">
        <v>11638</v>
      </c>
      <c r="C597" t="s">
        <v>74</v>
      </c>
      <c r="D597" t="s">
        <v>74</v>
      </c>
      <c r="E597" t="s">
        <v>74</v>
      </c>
      <c r="F597" t="s">
        <v>11639</v>
      </c>
      <c r="G597" t="s">
        <v>74</v>
      </c>
      <c r="H597" t="s">
        <v>74</v>
      </c>
      <c r="I597" t="s">
        <v>11640</v>
      </c>
      <c r="J597" t="s">
        <v>1688</v>
      </c>
      <c r="K597" t="s">
        <v>74</v>
      </c>
      <c r="L597" t="s">
        <v>74</v>
      </c>
      <c r="M597" t="s">
        <v>78</v>
      </c>
      <c r="N597" t="s">
        <v>79</v>
      </c>
      <c r="O597" t="s">
        <v>74</v>
      </c>
      <c r="P597" t="s">
        <v>74</v>
      </c>
      <c r="Q597" t="s">
        <v>74</v>
      </c>
      <c r="R597" t="s">
        <v>74</v>
      </c>
      <c r="S597" t="s">
        <v>74</v>
      </c>
      <c r="T597" t="s">
        <v>11641</v>
      </c>
      <c r="U597" t="s">
        <v>11642</v>
      </c>
      <c r="V597" t="s">
        <v>11643</v>
      </c>
      <c r="W597" t="s">
        <v>11644</v>
      </c>
      <c r="X597" t="s">
        <v>11645</v>
      </c>
      <c r="Y597" t="s">
        <v>11646</v>
      </c>
      <c r="Z597" t="s">
        <v>11647</v>
      </c>
      <c r="AA597" t="s">
        <v>11648</v>
      </c>
      <c r="AB597" t="s">
        <v>11649</v>
      </c>
      <c r="AC597" t="s">
        <v>11650</v>
      </c>
      <c r="AD597" t="s">
        <v>11651</v>
      </c>
      <c r="AE597" t="s">
        <v>11652</v>
      </c>
      <c r="AF597" t="s">
        <v>74</v>
      </c>
      <c r="AG597">
        <v>38</v>
      </c>
      <c r="AH597">
        <v>15</v>
      </c>
      <c r="AI597">
        <v>17</v>
      </c>
      <c r="AJ597">
        <v>2</v>
      </c>
      <c r="AK597">
        <v>5</v>
      </c>
      <c r="AL597" t="s">
        <v>1606</v>
      </c>
      <c r="AM597" t="s">
        <v>808</v>
      </c>
      <c r="AN597" t="s">
        <v>1607</v>
      </c>
      <c r="AO597" t="s">
        <v>1700</v>
      </c>
      <c r="AP597" t="s">
        <v>1701</v>
      </c>
      <c r="AQ597" t="s">
        <v>74</v>
      </c>
      <c r="AR597" t="s">
        <v>1702</v>
      </c>
      <c r="AS597" t="s">
        <v>1703</v>
      </c>
      <c r="AT597" t="s">
        <v>11635</v>
      </c>
      <c r="AU597">
        <v>2013</v>
      </c>
      <c r="AV597">
        <v>118</v>
      </c>
      <c r="AW597">
        <v>10</v>
      </c>
      <c r="AX597" t="s">
        <v>74</v>
      </c>
      <c r="AY597" t="s">
        <v>74</v>
      </c>
      <c r="AZ597" t="s">
        <v>74</v>
      </c>
      <c r="BA597" t="s">
        <v>74</v>
      </c>
      <c r="BB597">
        <v>6055</v>
      </c>
      <c r="BC597">
        <v>6071</v>
      </c>
      <c r="BD597" t="s">
        <v>74</v>
      </c>
      <c r="BE597" t="s">
        <v>11653</v>
      </c>
      <c r="BF597" t="str">
        <f>HYPERLINK("http://dx.doi.org/10.1002/jgra.50555","http://dx.doi.org/10.1002/jgra.50555")</f>
        <v>http://dx.doi.org/10.1002/jgra.50555</v>
      </c>
      <c r="BG597" t="s">
        <v>74</v>
      </c>
      <c r="BH597" t="s">
        <v>74</v>
      </c>
      <c r="BI597">
        <v>17</v>
      </c>
      <c r="BJ597" t="s">
        <v>1705</v>
      </c>
      <c r="BK597" t="s">
        <v>99</v>
      </c>
      <c r="BL597" t="s">
        <v>1705</v>
      </c>
      <c r="BM597" t="s">
        <v>11654</v>
      </c>
      <c r="BN597" t="s">
        <v>74</v>
      </c>
      <c r="BO597" t="s">
        <v>475</v>
      </c>
      <c r="BP597" t="s">
        <v>74</v>
      </c>
      <c r="BQ597" t="s">
        <v>74</v>
      </c>
      <c r="BR597" t="s">
        <v>103</v>
      </c>
      <c r="BS597" t="s">
        <v>11655</v>
      </c>
      <c r="BT597" t="str">
        <f>HYPERLINK("https%3A%2F%2Fwww.webofscience.com%2Fwos%2Fwoscc%2Ffull-record%2FWOS:000330180600009","View Full Record in Web of Science")</f>
        <v>View Full Record in Web of Science</v>
      </c>
    </row>
    <row r="598" spans="1:72" x14ac:dyDescent="0.15">
      <c r="A598" t="s">
        <v>72</v>
      </c>
      <c r="B598" t="s">
        <v>11656</v>
      </c>
      <c r="C598" t="s">
        <v>74</v>
      </c>
      <c r="D598" t="s">
        <v>74</v>
      </c>
      <c r="E598" t="s">
        <v>74</v>
      </c>
      <c r="F598" t="s">
        <v>11657</v>
      </c>
      <c r="G598" t="s">
        <v>74</v>
      </c>
      <c r="H598" t="s">
        <v>74</v>
      </c>
      <c r="I598" t="s">
        <v>11658</v>
      </c>
      <c r="J598" t="s">
        <v>11659</v>
      </c>
      <c r="K598" t="s">
        <v>74</v>
      </c>
      <c r="L598" t="s">
        <v>74</v>
      </c>
      <c r="M598" t="s">
        <v>78</v>
      </c>
      <c r="N598" t="s">
        <v>79</v>
      </c>
      <c r="O598" t="s">
        <v>74</v>
      </c>
      <c r="P598" t="s">
        <v>74</v>
      </c>
      <c r="Q598" t="s">
        <v>74</v>
      </c>
      <c r="R598" t="s">
        <v>74</v>
      </c>
      <c r="S598" t="s">
        <v>74</v>
      </c>
      <c r="T598" t="s">
        <v>11660</v>
      </c>
      <c r="U598" t="s">
        <v>11661</v>
      </c>
      <c r="V598" t="s">
        <v>11662</v>
      </c>
      <c r="W598" t="s">
        <v>11663</v>
      </c>
      <c r="X598" t="s">
        <v>11664</v>
      </c>
      <c r="Y598" t="s">
        <v>11665</v>
      </c>
      <c r="Z598" t="s">
        <v>11666</v>
      </c>
      <c r="AA598" t="s">
        <v>11667</v>
      </c>
      <c r="AB598" t="s">
        <v>11668</v>
      </c>
      <c r="AC598" t="s">
        <v>11669</v>
      </c>
      <c r="AD598" t="s">
        <v>11669</v>
      </c>
      <c r="AE598" t="s">
        <v>11670</v>
      </c>
      <c r="AF598" t="s">
        <v>74</v>
      </c>
      <c r="AG598">
        <v>45</v>
      </c>
      <c r="AH598">
        <v>8</v>
      </c>
      <c r="AI598">
        <v>9</v>
      </c>
      <c r="AJ598">
        <v>1</v>
      </c>
      <c r="AK598">
        <v>42</v>
      </c>
      <c r="AL598" t="s">
        <v>11671</v>
      </c>
      <c r="AM598" t="s">
        <v>11672</v>
      </c>
      <c r="AN598" t="s">
        <v>11673</v>
      </c>
      <c r="AO598" t="s">
        <v>11674</v>
      </c>
      <c r="AP598" t="s">
        <v>11675</v>
      </c>
      <c r="AQ598" t="s">
        <v>74</v>
      </c>
      <c r="AR598" t="s">
        <v>11676</v>
      </c>
      <c r="AS598" t="s">
        <v>11677</v>
      </c>
      <c r="AT598" t="s">
        <v>11615</v>
      </c>
      <c r="AU598">
        <v>2013</v>
      </c>
      <c r="AV598">
        <v>61</v>
      </c>
      <c r="AW598">
        <v>4</v>
      </c>
      <c r="AX598" t="s">
        <v>74</v>
      </c>
      <c r="AY598" t="s">
        <v>74</v>
      </c>
      <c r="AZ598" t="s">
        <v>74</v>
      </c>
      <c r="BA598" t="s">
        <v>74</v>
      </c>
      <c r="BB598">
        <v>243</v>
      </c>
      <c r="BC598">
        <v>249</v>
      </c>
      <c r="BD598" t="s">
        <v>74</v>
      </c>
      <c r="BE598" t="s">
        <v>11678</v>
      </c>
      <c r="BF598" t="str">
        <f>HYPERLINK("http://dx.doi.org/10.1590/S1679-87592013000400005","http://dx.doi.org/10.1590/S1679-87592013000400005")</f>
        <v>http://dx.doi.org/10.1590/S1679-87592013000400005</v>
      </c>
      <c r="BG598" t="s">
        <v>74</v>
      </c>
      <c r="BH598" t="s">
        <v>74</v>
      </c>
      <c r="BI598">
        <v>7</v>
      </c>
      <c r="BJ598" t="s">
        <v>2266</v>
      </c>
      <c r="BK598" t="s">
        <v>99</v>
      </c>
      <c r="BL598" t="s">
        <v>2266</v>
      </c>
      <c r="BM598" t="s">
        <v>11679</v>
      </c>
      <c r="BN598" t="s">
        <v>74</v>
      </c>
      <c r="BO598" t="s">
        <v>11680</v>
      </c>
      <c r="BP598" t="s">
        <v>74</v>
      </c>
      <c r="BQ598" t="s">
        <v>74</v>
      </c>
      <c r="BR598" t="s">
        <v>103</v>
      </c>
      <c r="BS598" t="s">
        <v>11681</v>
      </c>
      <c r="BT598" t="str">
        <f>HYPERLINK("https%3A%2F%2Fwww.webofscience.com%2Fwos%2Fwoscc%2Ffull-record%2FWOS:000330047900005","View Full Record in Web of Science")</f>
        <v>View Full Record in Web of Science</v>
      </c>
    </row>
    <row r="599" spans="1:72" x14ac:dyDescent="0.15">
      <c r="A599" t="s">
        <v>72</v>
      </c>
      <c r="B599" t="s">
        <v>11682</v>
      </c>
      <c r="C599" t="s">
        <v>74</v>
      </c>
      <c r="D599" t="s">
        <v>74</v>
      </c>
      <c r="E599" t="s">
        <v>74</v>
      </c>
      <c r="F599" t="s">
        <v>11683</v>
      </c>
      <c r="G599" t="s">
        <v>74</v>
      </c>
      <c r="H599" t="s">
        <v>74</v>
      </c>
      <c r="I599" t="s">
        <v>11684</v>
      </c>
      <c r="J599" t="s">
        <v>11685</v>
      </c>
      <c r="K599" t="s">
        <v>74</v>
      </c>
      <c r="L599" t="s">
        <v>74</v>
      </c>
      <c r="M599" t="s">
        <v>78</v>
      </c>
      <c r="N599" t="s">
        <v>79</v>
      </c>
      <c r="O599" t="s">
        <v>74</v>
      </c>
      <c r="P599" t="s">
        <v>74</v>
      </c>
      <c r="Q599" t="s">
        <v>74</v>
      </c>
      <c r="R599" t="s">
        <v>74</v>
      </c>
      <c r="S599" t="s">
        <v>74</v>
      </c>
      <c r="T599" t="s">
        <v>11686</v>
      </c>
      <c r="U599" t="s">
        <v>11687</v>
      </c>
      <c r="V599" t="s">
        <v>11688</v>
      </c>
      <c r="W599" t="s">
        <v>11689</v>
      </c>
      <c r="X599" t="s">
        <v>6115</v>
      </c>
      <c r="Y599" t="s">
        <v>11690</v>
      </c>
      <c r="Z599" t="s">
        <v>11691</v>
      </c>
      <c r="AA599" t="s">
        <v>11692</v>
      </c>
      <c r="AB599" t="s">
        <v>11693</v>
      </c>
      <c r="AC599" t="s">
        <v>11694</v>
      </c>
      <c r="AD599" t="s">
        <v>11694</v>
      </c>
      <c r="AE599" t="s">
        <v>11695</v>
      </c>
      <c r="AF599" t="s">
        <v>74</v>
      </c>
      <c r="AG599">
        <v>57</v>
      </c>
      <c r="AH599">
        <v>5</v>
      </c>
      <c r="AI599">
        <v>5</v>
      </c>
      <c r="AJ599">
        <v>1</v>
      </c>
      <c r="AK599">
        <v>13</v>
      </c>
      <c r="AL599" t="s">
        <v>4206</v>
      </c>
      <c r="AM599" t="s">
        <v>4207</v>
      </c>
      <c r="AN599" t="s">
        <v>4208</v>
      </c>
      <c r="AO599" t="s">
        <v>11696</v>
      </c>
      <c r="AP599" t="s">
        <v>74</v>
      </c>
      <c r="AQ599" t="s">
        <v>74</v>
      </c>
      <c r="AR599" t="s">
        <v>11697</v>
      </c>
      <c r="AS599" t="s">
        <v>11698</v>
      </c>
      <c r="AT599" t="s">
        <v>11615</v>
      </c>
      <c r="AU599">
        <v>2013</v>
      </c>
      <c r="AV599">
        <v>8</v>
      </c>
      <c r="AW599">
        <v>4</v>
      </c>
      <c r="AX599" t="s">
        <v>74</v>
      </c>
      <c r="AY599" t="s">
        <v>74</v>
      </c>
      <c r="AZ599" t="s">
        <v>74</v>
      </c>
      <c r="BA599" t="s">
        <v>74</v>
      </c>
      <c r="BB599" t="s">
        <v>74</v>
      </c>
      <c r="BC599" t="s">
        <v>74</v>
      </c>
      <c r="BD599">
        <v>44028</v>
      </c>
      <c r="BE599" t="s">
        <v>11699</v>
      </c>
      <c r="BF599" t="str">
        <f>HYPERLINK("http://dx.doi.org/10.1088/1748-9326/8/4/044028","http://dx.doi.org/10.1088/1748-9326/8/4/044028")</f>
        <v>http://dx.doi.org/10.1088/1748-9326/8/4/044028</v>
      </c>
      <c r="BG599" t="s">
        <v>74</v>
      </c>
      <c r="BH599" t="s">
        <v>74</v>
      </c>
      <c r="BI599">
        <v>9</v>
      </c>
      <c r="BJ599" t="s">
        <v>5023</v>
      </c>
      <c r="BK599" t="s">
        <v>99</v>
      </c>
      <c r="BL599" t="s">
        <v>3933</v>
      </c>
      <c r="BM599" t="s">
        <v>11700</v>
      </c>
      <c r="BN599" t="s">
        <v>74</v>
      </c>
      <c r="BO599" t="s">
        <v>657</v>
      </c>
      <c r="BP599" t="s">
        <v>74</v>
      </c>
      <c r="BQ599" t="s">
        <v>74</v>
      </c>
      <c r="BR599" t="s">
        <v>103</v>
      </c>
      <c r="BS599" t="s">
        <v>11701</v>
      </c>
      <c r="BT599" t="str">
        <f>HYPERLINK("https%3A%2F%2Fwww.webofscience.com%2Fwos%2Fwoscc%2Ffull-record%2FWOS:000329604900035","View Full Record in Web of Science")</f>
        <v>View Full Record in Web of Science</v>
      </c>
    </row>
    <row r="600" spans="1:72" x14ac:dyDescent="0.15">
      <c r="A600" t="s">
        <v>72</v>
      </c>
      <c r="B600" t="s">
        <v>11702</v>
      </c>
      <c r="C600" t="s">
        <v>74</v>
      </c>
      <c r="D600" t="s">
        <v>74</v>
      </c>
      <c r="E600" t="s">
        <v>74</v>
      </c>
      <c r="F600" t="s">
        <v>11703</v>
      </c>
      <c r="G600" t="s">
        <v>74</v>
      </c>
      <c r="H600" t="s">
        <v>74</v>
      </c>
      <c r="I600" t="s">
        <v>11704</v>
      </c>
      <c r="J600" t="s">
        <v>11705</v>
      </c>
      <c r="K600" t="s">
        <v>74</v>
      </c>
      <c r="L600" t="s">
        <v>74</v>
      </c>
      <c r="M600" t="s">
        <v>78</v>
      </c>
      <c r="N600" t="s">
        <v>79</v>
      </c>
      <c r="O600" t="s">
        <v>74</v>
      </c>
      <c r="P600" t="s">
        <v>74</v>
      </c>
      <c r="Q600" t="s">
        <v>74</v>
      </c>
      <c r="R600" t="s">
        <v>74</v>
      </c>
      <c r="S600" t="s">
        <v>74</v>
      </c>
      <c r="T600" t="s">
        <v>11706</v>
      </c>
      <c r="U600" t="s">
        <v>11707</v>
      </c>
      <c r="V600" t="s">
        <v>11708</v>
      </c>
      <c r="W600" t="s">
        <v>11709</v>
      </c>
      <c r="X600" t="s">
        <v>11710</v>
      </c>
      <c r="Y600" t="s">
        <v>11711</v>
      </c>
      <c r="Z600" t="s">
        <v>11712</v>
      </c>
      <c r="AA600" t="s">
        <v>11713</v>
      </c>
      <c r="AB600" t="s">
        <v>11714</v>
      </c>
      <c r="AC600" t="s">
        <v>11715</v>
      </c>
      <c r="AD600" t="s">
        <v>11716</v>
      </c>
      <c r="AE600" t="s">
        <v>11717</v>
      </c>
      <c r="AF600" t="s">
        <v>74</v>
      </c>
      <c r="AG600">
        <v>71</v>
      </c>
      <c r="AH600">
        <v>12</v>
      </c>
      <c r="AI600">
        <v>13</v>
      </c>
      <c r="AJ600">
        <v>0</v>
      </c>
      <c r="AK600">
        <v>74</v>
      </c>
      <c r="AL600" t="s">
        <v>410</v>
      </c>
      <c r="AM600" t="s">
        <v>411</v>
      </c>
      <c r="AN600" t="s">
        <v>412</v>
      </c>
      <c r="AO600" t="s">
        <v>11718</v>
      </c>
      <c r="AP600" t="s">
        <v>11719</v>
      </c>
      <c r="AQ600" t="s">
        <v>74</v>
      </c>
      <c r="AR600" t="s">
        <v>11720</v>
      </c>
      <c r="AS600" t="s">
        <v>11721</v>
      </c>
      <c r="AT600" t="s">
        <v>11635</v>
      </c>
      <c r="AU600">
        <v>2013</v>
      </c>
      <c r="AV600">
        <v>26</v>
      </c>
      <c r="AW600">
        <v>10</v>
      </c>
      <c r="AX600" t="s">
        <v>74</v>
      </c>
      <c r="AY600" t="s">
        <v>74</v>
      </c>
      <c r="AZ600" t="s">
        <v>74</v>
      </c>
      <c r="BA600" t="s">
        <v>74</v>
      </c>
      <c r="BB600">
        <v>2233</v>
      </c>
      <c r="BC600">
        <v>2243</v>
      </c>
      <c r="BD600" t="s">
        <v>74</v>
      </c>
      <c r="BE600" t="s">
        <v>11722</v>
      </c>
      <c r="BF600" t="str">
        <f>HYPERLINK("http://dx.doi.org/10.1111/jeb.12221","http://dx.doi.org/10.1111/jeb.12221")</f>
        <v>http://dx.doi.org/10.1111/jeb.12221</v>
      </c>
      <c r="BG600" t="s">
        <v>74</v>
      </c>
      <c r="BH600" t="s">
        <v>74</v>
      </c>
      <c r="BI600">
        <v>11</v>
      </c>
      <c r="BJ600" t="s">
        <v>3864</v>
      </c>
      <c r="BK600" t="s">
        <v>99</v>
      </c>
      <c r="BL600" t="s">
        <v>3865</v>
      </c>
      <c r="BM600" t="s">
        <v>11723</v>
      </c>
      <c r="BN600">
        <v>23980596</v>
      </c>
      <c r="BO600" t="s">
        <v>475</v>
      </c>
      <c r="BP600" t="s">
        <v>74</v>
      </c>
      <c r="BQ600" t="s">
        <v>74</v>
      </c>
      <c r="BR600" t="s">
        <v>103</v>
      </c>
      <c r="BS600" t="s">
        <v>11724</v>
      </c>
      <c r="BT600" t="str">
        <f>HYPERLINK("https%3A%2F%2Fwww.webofscience.com%2Fwos%2Fwoscc%2Ffull-record%2FWOS:000329473100015","View Full Record in Web of Science")</f>
        <v>View Full Record in Web of Science</v>
      </c>
    </row>
    <row r="601" spans="1:72" x14ac:dyDescent="0.15">
      <c r="A601" t="s">
        <v>72</v>
      </c>
      <c r="B601" t="s">
        <v>11725</v>
      </c>
      <c r="C601" t="s">
        <v>74</v>
      </c>
      <c r="D601" t="s">
        <v>74</v>
      </c>
      <c r="E601" t="s">
        <v>74</v>
      </c>
      <c r="F601" t="s">
        <v>11726</v>
      </c>
      <c r="G601" t="s">
        <v>74</v>
      </c>
      <c r="H601" t="s">
        <v>74</v>
      </c>
      <c r="I601" t="s">
        <v>11727</v>
      </c>
      <c r="J601" t="s">
        <v>11728</v>
      </c>
      <c r="K601" t="s">
        <v>74</v>
      </c>
      <c r="L601" t="s">
        <v>74</v>
      </c>
      <c r="M601" t="s">
        <v>78</v>
      </c>
      <c r="N601" t="s">
        <v>79</v>
      </c>
      <c r="O601" t="s">
        <v>74</v>
      </c>
      <c r="P601" t="s">
        <v>74</v>
      </c>
      <c r="Q601" t="s">
        <v>74</v>
      </c>
      <c r="R601" t="s">
        <v>74</v>
      </c>
      <c r="S601" t="s">
        <v>74</v>
      </c>
      <c r="T601" t="s">
        <v>74</v>
      </c>
      <c r="U601" t="s">
        <v>11729</v>
      </c>
      <c r="V601" t="s">
        <v>11730</v>
      </c>
      <c r="W601" t="s">
        <v>11731</v>
      </c>
      <c r="X601" t="s">
        <v>11732</v>
      </c>
      <c r="Y601" t="s">
        <v>11733</v>
      </c>
      <c r="Z601" t="s">
        <v>11734</v>
      </c>
      <c r="AA601" t="s">
        <v>74</v>
      </c>
      <c r="AB601" t="s">
        <v>11735</v>
      </c>
      <c r="AC601" t="s">
        <v>11736</v>
      </c>
      <c r="AD601" t="s">
        <v>11736</v>
      </c>
      <c r="AE601" t="s">
        <v>11737</v>
      </c>
      <c r="AF601" t="s">
        <v>74</v>
      </c>
      <c r="AG601">
        <v>33</v>
      </c>
      <c r="AH601">
        <v>16</v>
      </c>
      <c r="AI601">
        <v>17</v>
      </c>
      <c r="AJ601">
        <v>3</v>
      </c>
      <c r="AK601">
        <v>16</v>
      </c>
      <c r="AL601" t="s">
        <v>11738</v>
      </c>
      <c r="AM601" t="s">
        <v>11739</v>
      </c>
      <c r="AN601" t="s">
        <v>11740</v>
      </c>
      <c r="AO601" t="s">
        <v>11741</v>
      </c>
      <c r="AP601" t="s">
        <v>11742</v>
      </c>
      <c r="AQ601" t="s">
        <v>74</v>
      </c>
      <c r="AR601" t="s">
        <v>11743</v>
      </c>
      <c r="AS601" t="s">
        <v>11744</v>
      </c>
      <c r="AT601" t="s">
        <v>11635</v>
      </c>
      <c r="AU601">
        <v>2013</v>
      </c>
      <c r="AV601">
        <v>67</v>
      </c>
      <c r="AW601">
        <v>4</v>
      </c>
      <c r="AX601" t="s">
        <v>74</v>
      </c>
      <c r="AY601" t="s">
        <v>74</v>
      </c>
      <c r="AZ601" t="s">
        <v>74</v>
      </c>
      <c r="BA601" t="s">
        <v>74</v>
      </c>
      <c r="BB601">
        <v>523</v>
      </c>
      <c r="BC601">
        <v>532</v>
      </c>
      <c r="BD601" t="s">
        <v>74</v>
      </c>
      <c r="BE601" t="s">
        <v>11745</v>
      </c>
      <c r="BF601" t="str">
        <f>HYPERLINK("http://dx.doi.org/10.2984/67.4.3","http://dx.doi.org/10.2984/67.4.3")</f>
        <v>http://dx.doi.org/10.2984/67.4.3</v>
      </c>
      <c r="BG601" t="s">
        <v>74</v>
      </c>
      <c r="BH601" t="s">
        <v>74</v>
      </c>
      <c r="BI601">
        <v>10</v>
      </c>
      <c r="BJ601" t="s">
        <v>11746</v>
      </c>
      <c r="BK601" t="s">
        <v>99</v>
      </c>
      <c r="BL601" t="s">
        <v>11746</v>
      </c>
      <c r="BM601" t="s">
        <v>11747</v>
      </c>
      <c r="BN601" t="s">
        <v>74</v>
      </c>
      <c r="BO601" t="s">
        <v>74</v>
      </c>
      <c r="BP601" t="s">
        <v>74</v>
      </c>
      <c r="BQ601" t="s">
        <v>74</v>
      </c>
      <c r="BR601" t="s">
        <v>103</v>
      </c>
      <c r="BS601" t="s">
        <v>11748</v>
      </c>
      <c r="BT601" t="str">
        <f>HYPERLINK("https%3A%2F%2Fwww.webofscience.com%2Fwos%2Fwoscc%2Ffull-record%2FWOS:000329260300003","View Full Record in Web of Science")</f>
        <v>View Full Record in Web of Science</v>
      </c>
    </row>
    <row r="602" spans="1:72" x14ac:dyDescent="0.15">
      <c r="A602" t="s">
        <v>72</v>
      </c>
      <c r="B602" t="s">
        <v>11749</v>
      </c>
      <c r="C602" t="s">
        <v>74</v>
      </c>
      <c r="D602" t="s">
        <v>74</v>
      </c>
      <c r="E602" t="s">
        <v>74</v>
      </c>
      <c r="F602" t="s">
        <v>11750</v>
      </c>
      <c r="G602" t="s">
        <v>74</v>
      </c>
      <c r="H602" t="s">
        <v>74</v>
      </c>
      <c r="I602" t="s">
        <v>11751</v>
      </c>
      <c r="J602" t="s">
        <v>11752</v>
      </c>
      <c r="K602" t="s">
        <v>74</v>
      </c>
      <c r="L602" t="s">
        <v>74</v>
      </c>
      <c r="M602" t="s">
        <v>78</v>
      </c>
      <c r="N602" t="s">
        <v>213</v>
      </c>
      <c r="O602" t="s">
        <v>74</v>
      </c>
      <c r="P602" t="s">
        <v>74</v>
      </c>
      <c r="Q602" t="s">
        <v>74</v>
      </c>
      <c r="R602" t="s">
        <v>74</v>
      </c>
      <c r="S602" t="s">
        <v>74</v>
      </c>
      <c r="T602" t="s">
        <v>11753</v>
      </c>
      <c r="U602" t="s">
        <v>11754</v>
      </c>
      <c r="V602" t="s">
        <v>11755</v>
      </c>
      <c r="W602" t="s">
        <v>11756</v>
      </c>
      <c r="X602" t="s">
        <v>11757</v>
      </c>
      <c r="Y602" t="s">
        <v>11758</v>
      </c>
      <c r="Z602" t="s">
        <v>11759</v>
      </c>
      <c r="AA602" t="s">
        <v>74</v>
      </c>
      <c r="AB602" t="s">
        <v>11760</v>
      </c>
      <c r="AC602" t="s">
        <v>11761</v>
      </c>
      <c r="AD602" t="s">
        <v>11762</v>
      </c>
      <c r="AE602" t="s">
        <v>11763</v>
      </c>
      <c r="AF602" t="s">
        <v>74</v>
      </c>
      <c r="AG602">
        <v>79</v>
      </c>
      <c r="AH602">
        <v>14</v>
      </c>
      <c r="AI602">
        <v>16</v>
      </c>
      <c r="AJ602">
        <v>2</v>
      </c>
      <c r="AK602">
        <v>10</v>
      </c>
      <c r="AL602" t="s">
        <v>4163</v>
      </c>
      <c r="AM602" t="s">
        <v>849</v>
      </c>
      <c r="AN602" t="s">
        <v>4164</v>
      </c>
      <c r="AO602" t="s">
        <v>11764</v>
      </c>
      <c r="AP602" t="s">
        <v>11765</v>
      </c>
      <c r="AQ602" t="s">
        <v>74</v>
      </c>
      <c r="AR602" t="s">
        <v>11766</v>
      </c>
      <c r="AS602" t="s">
        <v>11767</v>
      </c>
      <c r="AT602" t="s">
        <v>11635</v>
      </c>
      <c r="AU602">
        <v>2013</v>
      </c>
      <c r="AV602">
        <v>45</v>
      </c>
      <c r="AW602" t="s">
        <v>74</v>
      </c>
      <c r="AX602" t="s">
        <v>74</v>
      </c>
      <c r="AY602" t="s">
        <v>74</v>
      </c>
      <c r="AZ602" t="s">
        <v>74</v>
      </c>
      <c r="BA602" t="s">
        <v>74</v>
      </c>
      <c r="BB602">
        <v>135</v>
      </c>
      <c r="BC602">
        <v>154</v>
      </c>
      <c r="BD602" t="s">
        <v>74</v>
      </c>
      <c r="BE602" t="s">
        <v>11768</v>
      </c>
      <c r="BF602" t="str">
        <f>HYPERLINK("http://dx.doi.org/10.1016/j.cretres.2013.07.008","http://dx.doi.org/10.1016/j.cretres.2013.07.008")</f>
        <v>http://dx.doi.org/10.1016/j.cretres.2013.07.008</v>
      </c>
      <c r="BG602" t="s">
        <v>74</v>
      </c>
      <c r="BH602" t="s">
        <v>74</v>
      </c>
      <c r="BI602">
        <v>20</v>
      </c>
      <c r="BJ602" t="s">
        <v>3431</v>
      </c>
      <c r="BK602" t="s">
        <v>99</v>
      </c>
      <c r="BL602" t="s">
        <v>3431</v>
      </c>
      <c r="BM602" t="s">
        <v>11769</v>
      </c>
      <c r="BN602" t="s">
        <v>74</v>
      </c>
      <c r="BO602" t="s">
        <v>831</v>
      </c>
      <c r="BP602" t="s">
        <v>74</v>
      </c>
      <c r="BQ602" t="s">
        <v>74</v>
      </c>
      <c r="BR602" t="s">
        <v>103</v>
      </c>
      <c r="BS602" t="s">
        <v>11770</v>
      </c>
      <c r="BT602" t="str">
        <f>HYPERLINK("https%3A%2F%2Fwww.webofscience.com%2Fwos%2Fwoscc%2Ffull-record%2FWOS:000328523500012","View Full Record in Web of Science")</f>
        <v>View Full Record in Web of Science</v>
      </c>
    </row>
    <row r="603" spans="1:72" x14ac:dyDescent="0.15">
      <c r="A603" t="s">
        <v>72</v>
      </c>
      <c r="B603" t="s">
        <v>11771</v>
      </c>
      <c r="C603" t="s">
        <v>74</v>
      </c>
      <c r="D603" t="s">
        <v>74</v>
      </c>
      <c r="E603" t="s">
        <v>74</v>
      </c>
      <c r="F603" t="s">
        <v>11772</v>
      </c>
      <c r="G603" t="s">
        <v>74</v>
      </c>
      <c r="H603" t="s">
        <v>74</v>
      </c>
      <c r="I603" t="s">
        <v>11773</v>
      </c>
      <c r="J603" t="s">
        <v>8780</v>
      </c>
      <c r="K603" t="s">
        <v>74</v>
      </c>
      <c r="L603" t="s">
        <v>74</v>
      </c>
      <c r="M603" t="s">
        <v>78</v>
      </c>
      <c r="N603" t="s">
        <v>79</v>
      </c>
      <c r="O603" t="s">
        <v>74</v>
      </c>
      <c r="P603" t="s">
        <v>74</v>
      </c>
      <c r="Q603" t="s">
        <v>74</v>
      </c>
      <c r="R603" t="s">
        <v>74</v>
      </c>
      <c r="S603" t="s">
        <v>74</v>
      </c>
      <c r="T603" t="s">
        <v>74</v>
      </c>
      <c r="U603" t="s">
        <v>11774</v>
      </c>
      <c r="V603" t="s">
        <v>11775</v>
      </c>
      <c r="W603" t="s">
        <v>11776</v>
      </c>
      <c r="X603" t="s">
        <v>11777</v>
      </c>
      <c r="Y603" t="s">
        <v>11778</v>
      </c>
      <c r="Z603" t="s">
        <v>11779</v>
      </c>
      <c r="AA603" t="s">
        <v>11780</v>
      </c>
      <c r="AB603" t="s">
        <v>11781</v>
      </c>
      <c r="AC603" t="s">
        <v>11782</v>
      </c>
      <c r="AD603" t="s">
        <v>11783</v>
      </c>
      <c r="AE603" t="s">
        <v>11784</v>
      </c>
      <c r="AF603" t="s">
        <v>74</v>
      </c>
      <c r="AG603">
        <v>42</v>
      </c>
      <c r="AH603">
        <v>21</v>
      </c>
      <c r="AI603">
        <v>23</v>
      </c>
      <c r="AJ603">
        <v>0</v>
      </c>
      <c r="AK603">
        <v>14</v>
      </c>
      <c r="AL603" t="s">
        <v>8792</v>
      </c>
      <c r="AM603" t="s">
        <v>849</v>
      </c>
      <c r="AN603" t="s">
        <v>8793</v>
      </c>
      <c r="AO603" t="s">
        <v>8794</v>
      </c>
      <c r="AP603" t="s">
        <v>8795</v>
      </c>
      <c r="AQ603" t="s">
        <v>74</v>
      </c>
      <c r="AR603" t="s">
        <v>8796</v>
      </c>
      <c r="AS603" t="s">
        <v>8797</v>
      </c>
      <c r="AT603" t="s">
        <v>11635</v>
      </c>
      <c r="AU603">
        <v>2013</v>
      </c>
      <c r="AV603">
        <v>63</v>
      </c>
      <c r="AW603" t="s">
        <v>74</v>
      </c>
      <c r="AX603">
        <v>10</v>
      </c>
      <c r="AY603" t="s">
        <v>74</v>
      </c>
      <c r="AZ603" t="s">
        <v>74</v>
      </c>
      <c r="BA603" t="s">
        <v>74</v>
      </c>
      <c r="BB603">
        <v>3884</v>
      </c>
      <c r="BC603">
        <v>3891</v>
      </c>
      <c r="BD603" t="s">
        <v>74</v>
      </c>
      <c r="BE603" t="s">
        <v>11785</v>
      </c>
      <c r="BF603" t="str">
        <f>HYPERLINK("http://dx.doi.org/10.1099/ijs.0.052753-0","http://dx.doi.org/10.1099/ijs.0.052753-0")</f>
        <v>http://dx.doi.org/10.1099/ijs.0.052753-0</v>
      </c>
      <c r="BG603" t="s">
        <v>74</v>
      </c>
      <c r="BH603" t="s">
        <v>74</v>
      </c>
      <c r="BI603">
        <v>8</v>
      </c>
      <c r="BJ603" t="s">
        <v>815</v>
      </c>
      <c r="BK603" t="s">
        <v>99</v>
      </c>
      <c r="BL603" t="s">
        <v>815</v>
      </c>
      <c r="BM603" t="s">
        <v>11786</v>
      </c>
      <c r="BN603">
        <v>23934251</v>
      </c>
      <c r="BO603" t="s">
        <v>74</v>
      </c>
      <c r="BP603" t="s">
        <v>74</v>
      </c>
      <c r="BQ603" t="s">
        <v>74</v>
      </c>
      <c r="BR603" t="s">
        <v>103</v>
      </c>
      <c r="BS603" t="s">
        <v>11787</v>
      </c>
      <c r="BT603" t="str">
        <f>HYPERLINK("https%3A%2F%2Fwww.webofscience.com%2Fwos%2Fwoscc%2Ffull-record%2FWOS:000327910200056","View Full Record in Web of Science")</f>
        <v>View Full Record in Web of Science</v>
      </c>
    </row>
    <row r="604" spans="1:72" x14ac:dyDescent="0.15">
      <c r="A604" t="s">
        <v>72</v>
      </c>
      <c r="B604" t="s">
        <v>11788</v>
      </c>
      <c r="C604" t="s">
        <v>74</v>
      </c>
      <c r="D604" t="s">
        <v>74</v>
      </c>
      <c r="E604" t="s">
        <v>74</v>
      </c>
      <c r="F604" t="s">
        <v>11789</v>
      </c>
      <c r="G604" t="s">
        <v>74</v>
      </c>
      <c r="H604" t="s">
        <v>74</v>
      </c>
      <c r="I604" t="s">
        <v>11790</v>
      </c>
      <c r="J604" t="s">
        <v>11791</v>
      </c>
      <c r="K604" t="s">
        <v>74</v>
      </c>
      <c r="L604" t="s">
        <v>74</v>
      </c>
      <c r="M604" t="s">
        <v>78</v>
      </c>
      <c r="N604" t="s">
        <v>79</v>
      </c>
      <c r="O604" t="s">
        <v>74</v>
      </c>
      <c r="P604" t="s">
        <v>74</v>
      </c>
      <c r="Q604" t="s">
        <v>74</v>
      </c>
      <c r="R604" t="s">
        <v>74</v>
      </c>
      <c r="S604" t="s">
        <v>74</v>
      </c>
      <c r="T604" t="s">
        <v>11792</v>
      </c>
      <c r="U604" t="s">
        <v>11793</v>
      </c>
      <c r="V604" t="s">
        <v>11794</v>
      </c>
      <c r="W604" t="s">
        <v>11795</v>
      </c>
      <c r="X604" t="s">
        <v>11796</v>
      </c>
      <c r="Y604" t="s">
        <v>11797</v>
      </c>
      <c r="Z604" t="s">
        <v>11798</v>
      </c>
      <c r="AA604" t="s">
        <v>11799</v>
      </c>
      <c r="AB604" t="s">
        <v>11800</v>
      </c>
      <c r="AC604" t="s">
        <v>11801</v>
      </c>
      <c r="AD604" t="s">
        <v>11802</v>
      </c>
      <c r="AE604" t="s">
        <v>11803</v>
      </c>
      <c r="AF604" t="s">
        <v>74</v>
      </c>
      <c r="AG604">
        <v>67</v>
      </c>
      <c r="AH604">
        <v>5</v>
      </c>
      <c r="AI604">
        <v>7</v>
      </c>
      <c r="AJ604">
        <v>3</v>
      </c>
      <c r="AK604">
        <v>30</v>
      </c>
      <c r="AL604" t="s">
        <v>410</v>
      </c>
      <c r="AM604" t="s">
        <v>411</v>
      </c>
      <c r="AN604" t="s">
        <v>412</v>
      </c>
      <c r="AO604" t="s">
        <v>11804</v>
      </c>
      <c r="AP604" t="s">
        <v>11805</v>
      </c>
      <c r="AQ604" t="s">
        <v>74</v>
      </c>
      <c r="AR604" t="s">
        <v>11806</v>
      </c>
      <c r="AS604" t="s">
        <v>11807</v>
      </c>
      <c r="AT604" t="s">
        <v>11635</v>
      </c>
      <c r="AU604">
        <v>2013</v>
      </c>
      <c r="AV604">
        <v>28</v>
      </c>
      <c r="AW604">
        <v>7</v>
      </c>
      <c r="AX604" t="s">
        <v>74</v>
      </c>
      <c r="AY604" t="s">
        <v>74</v>
      </c>
      <c r="AZ604" t="s">
        <v>74</v>
      </c>
      <c r="BA604" t="s">
        <v>74</v>
      </c>
      <c r="BB604">
        <v>720</v>
      </c>
      <c r="BC604">
        <v>728</v>
      </c>
      <c r="BD604" t="s">
        <v>74</v>
      </c>
      <c r="BE604" t="s">
        <v>11808</v>
      </c>
      <c r="BF604" t="str">
        <f>HYPERLINK("http://dx.doi.org/10.1002/jqs.2661","http://dx.doi.org/10.1002/jqs.2661")</f>
        <v>http://dx.doi.org/10.1002/jqs.2661</v>
      </c>
      <c r="BG604" t="s">
        <v>74</v>
      </c>
      <c r="BH604" t="s">
        <v>74</v>
      </c>
      <c r="BI604">
        <v>9</v>
      </c>
      <c r="BJ604" t="s">
        <v>98</v>
      </c>
      <c r="BK604" t="s">
        <v>99</v>
      </c>
      <c r="BL604" t="s">
        <v>100</v>
      </c>
      <c r="BM604" t="s">
        <v>11809</v>
      </c>
      <c r="BN604" t="s">
        <v>74</v>
      </c>
      <c r="BO604" t="s">
        <v>74</v>
      </c>
      <c r="BP604" t="s">
        <v>74</v>
      </c>
      <c r="BQ604" t="s">
        <v>74</v>
      </c>
      <c r="BR604" t="s">
        <v>103</v>
      </c>
      <c r="BS604" t="s">
        <v>11810</v>
      </c>
      <c r="BT604" t="str">
        <f>HYPERLINK("https%3A%2F%2Fwww.webofscience.com%2Fwos%2Fwoscc%2Ffull-record%2FWOS:000328486500005","View Full Record in Web of Science")</f>
        <v>View Full Record in Web of Science</v>
      </c>
    </row>
    <row r="605" spans="1:72" x14ac:dyDescent="0.15">
      <c r="A605" t="s">
        <v>72</v>
      </c>
      <c r="B605" t="s">
        <v>11811</v>
      </c>
      <c r="C605" t="s">
        <v>74</v>
      </c>
      <c r="D605" t="s">
        <v>74</v>
      </c>
      <c r="E605" t="s">
        <v>74</v>
      </c>
      <c r="F605" t="s">
        <v>11812</v>
      </c>
      <c r="G605" t="s">
        <v>74</v>
      </c>
      <c r="H605" t="s">
        <v>74</v>
      </c>
      <c r="I605" t="s">
        <v>11813</v>
      </c>
      <c r="J605" t="s">
        <v>11814</v>
      </c>
      <c r="K605" t="s">
        <v>74</v>
      </c>
      <c r="L605" t="s">
        <v>74</v>
      </c>
      <c r="M605" t="s">
        <v>78</v>
      </c>
      <c r="N605" t="s">
        <v>79</v>
      </c>
      <c r="O605" t="s">
        <v>74</v>
      </c>
      <c r="P605" t="s">
        <v>74</v>
      </c>
      <c r="Q605" t="s">
        <v>74</v>
      </c>
      <c r="R605" t="s">
        <v>74</v>
      </c>
      <c r="S605" t="s">
        <v>74</v>
      </c>
      <c r="T605" t="s">
        <v>11815</v>
      </c>
      <c r="U605" t="s">
        <v>11816</v>
      </c>
      <c r="V605" t="s">
        <v>11817</v>
      </c>
      <c r="W605" t="s">
        <v>11818</v>
      </c>
      <c r="X605" t="s">
        <v>11819</v>
      </c>
      <c r="Y605" t="s">
        <v>11820</v>
      </c>
      <c r="Z605" t="s">
        <v>11821</v>
      </c>
      <c r="AA605" t="s">
        <v>11822</v>
      </c>
      <c r="AB605" t="s">
        <v>11823</v>
      </c>
      <c r="AC605" t="s">
        <v>11824</v>
      </c>
      <c r="AD605" t="s">
        <v>11825</v>
      </c>
      <c r="AE605" t="s">
        <v>11826</v>
      </c>
      <c r="AF605" t="s">
        <v>74</v>
      </c>
      <c r="AG605">
        <v>68</v>
      </c>
      <c r="AH605">
        <v>3</v>
      </c>
      <c r="AI605">
        <v>3</v>
      </c>
      <c r="AJ605">
        <v>0</v>
      </c>
      <c r="AK605">
        <v>20</v>
      </c>
      <c r="AL605" t="s">
        <v>582</v>
      </c>
      <c r="AM605" t="s">
        <v>305</v>
      </c>
      <c r="AN605" t="s">
        <v>583</v>
      </c>
      <c r="AO605" t="s">
        <v>11827</v>
      </c>
      <c r="AP605" t="s">
        <v>11828</v>
      </c>
      <c r="AQ605" t="s">
        <v>74</v>
      </c>
      <c r="AR605" t="s">
        <v>11829</v>
      </c>
      <c r="AS605" t="s">
        <v>11830</v>
      </c>
      <c r="AT605" t="s">
        <v>11635</v>
      </c>
      <c r="AU605">
        <v>2013</v>
      </c>
      <c r="AV605">
        <v>83</v>
      </c>
      <c r="AW605" t="s">
        <v>74</v>
      </c>
      <c r="AX605" t="s">
        <v>74</v>
      </c>
      <c r="AY605" t="s">
        <v>74</v>
      </c>
      <c r="AZ605" t="s">
        <v>283</v>
      </c>
      <c r="BA605" t="s">
        <v>74</v>
      </c>
      <c r="BB605">
        <v>30</v>
      </c>
      <c r="BC605">
        <v>39</v>
      </c>
      <c r="BD605" t="s">
        <v>74</v>
      </c>
      <c r="BE605" t="s">
        <v>11831</v>
      </c>
      <c r="BF605" t="str">
        <f>HYPERLINK("http://dx.doi.org/10.1016/j.seares.2013.03.015","http://dx.doi.org/10.1016/j.seares.2013.03.015")</f>
        <v>http://dx.doi.org/10.1016/j.seares.2013.03.015</v>
      </c>
      <c r="BG605" t="s">
        <v>74</v>
      </c>
      <c r="BH605" t="s">
        <v>74</v>
      </c>
      <c r="BI605">
        <v>10</v>
      </c>
      <c r="BJ605" t="s">
        <v>2266</v>
      </c>
      <c r="BK605" t="s">
        <v>99</v>
      </c>
      <c r="BL605" t="s">
        <v>2266</v>
      </c>
      <c r="BM605" t="s">
        <v>11832</v>
      </c>
      <c r="BN605" t="s">
        <v>74</v>
      </c>
      <c r="BO605" t="s">
        <v>74</v>
      </c>
      <c r="BP605" t="s">
        <v>74</v>
      </c>
      <c r="BQ605" t="s">
        <v>74</v>
      </c>
      <c r="BR605" t="s">
        <v>103</v>
      </c>
      <c r="BS605" t="s">
        <v>11833</v>
      </c>
      <c r="BT605" t="str">
        <f>HYPERLINK("https%3A%2F%2Fwww.webofscience.com%2Fwos%2Fwoscc%2Ffull-record%2FWOS:000327916900003","View Full Record in Web of Science")</f>
        <v>View Full Record in Web of Science</v>
      </c>
    </row>
    <row r="606" spans="1:72" x14ac:dyDescent="0.15">
      <c r="A606" t="s">
        <v>72</v>
      </c>
      <c r="B606" t="s">
        <v>11834</v>
      </c>
      <c r="C606" t="s">
        <v>74</v>
      </c>
      <c r="D606" t="s">
        <v>74</v>
      </c>
      <c r="E606" t="s">
        <v>74</v>
      </c>
      <c r="F606" t="s">
        <v>11835</v>
      </c>
      <c r="G606" t="s">
        <v>74</v>
      </c>
      <c r="H606" t="s">
        <v>74</v>
      </c>
      <c r="I606" t="s">
        <v>11836</v>
      </c>
      <c r="J606" t="s">
        <v>8804</v>
      </c>
      <c r="K606" t="s">
        <v>74</v>
      </c>
      <c r="L606" t="s">
        <v>74</v>
      </c>
      <c r="M606" t="s">
        <v>78</v>
      </c>
      <c r="N606" t="s">
        <v>79</v>
      </c>
      <c r="O606" t="s">
        <v>74</v>
      </c>
      <c r="P606" t="s">
        <v>74</v>
      </c>
      <c r="Q606" t="s">
        <v>74</v>
      </c>
      <c r="R606" t="s">
        <v>74</v>
      </c>
      <c r="S606" t="s">
        <v>74</v>
      </c>
      <c r="T606" t="s">
        <v>74</v>
      </c>
      <c r="U606" t="s">
        <v>11837</v>
      </c>
      <c r="V606" t="s">
        <v>11838</v>
      </c>
      <c r="W606" t="s">
        <v>11839</v>
      </c>
      <c r="X606" t="s">
        <v>11840</v>
      </c>
      <c r="Y606" t="s">
        <v>11841</v>
      </c>
      <c r="Z606" t="s">
        <v>11842</v>
      </c>
      <c r="AA606" t="s">
        <v>11843</v>
      </c>
      <c r="AB606" t="s">
        <v>11844</v>
      </c>
      <c r="AC606" t="s">
        <v>11845</v>
      </c>
      <c r="AD606" t="s">
        <v>11846</v>
      </c>
      <c r="AE606" t="s">
        <v>11847</v>
      </c>
      <c r="AF606" t="s">
        <v>74</v>
      </c>
      <c r="AG606">
        <v>90</v>
      </c>
      <c r="AH606">
        <v>32</v>
      </c>
      <c r="AI606">
        <v>33</v>
      </c>
      <c r="AJ606">
        <v>0</v>
      </c>
      <c r="AK606">
        <v>21</v>
      </c>
      <c r="AL606" t="s">
        <v>410</v>
      </c>
      <c r="AM606" t="s">
        <v>411</v>
      </c>
      <c r="AN606" t="s">
        <v>412</v>
      </c>
      <c r="AO606" t="s">
        <v>8816</v>
      </c>
      <c r="AP606" t="s">
        <v>8817</v>
      </c>
      <c r="AQ606" t="s">
        <v>74</v>
      </c>
      <c r="AR606" t="s">
        <v>8818</v>
      </c>
      <c r="AS606" t="s">
        <v>8819</v>
      </c>
      <c r="AT606" t="s">
        <v>11635</v>
      </c>
      <c r="AU606">
        <v>2013</v>
      </c>
      <c r="AV606">
        <v>48</v>
      </c>
      <c r="AW606">
        <v>10</v>
      </c>
      <c r="AX606" t="s">
        <v>74</v>
      </c>
      <c r="AY606" t="s">
        <v>74</v>
      </c>
      <c r="AZ606" t="s">
        <v>74</v>
      </c>
      <c r="BA606" t="s">
        <v>74</v>
      </c>
      <c r="BB606">
        <v>1981</v>
      </c>
      <c r="BC606">
        <v>1999</v>
      </c>
      <c r="BD606" t="s">
        <v>74</v>
      </c>
      <c r="BE606" t="s">
        <v>11848</v>
      </c>
      <c r="BF606" t="str">
        <f>HYPERLINK("http://dx.doi.org/10.1111/maps.12212","http://dx.doi.org/10.1111/maps.12212")</f>
        <v>http://dx.doi.org/10.1111/maps.12212</v>
      </c>
      <c r="BG606" t="s">
        <v>74</v>
      </c>
      <c r="BH606" t="s">
        <v>74</v>
      </c>
      <c r="BI606">
        <v>19</v>
      </c>
      <c r="BJ606" t="s">
        <v>313</v>
      </c>
      <c r="BK606" t="s">
        <v>99</v>
      </c>
      <c r="BL606" t="s">
        <v>313</v>
      </c>
      <c r="BM606" t="s">
        <v>11849</v>
      </c>
      <c r="BN606" t="s">
        <v>74</v>
      </c>
      <c r="BO606" t="s">
        <v>2362</v>
      </c>
      <c r="BP606" t="s">
        <v>74</v>
      </c>
      <c r="BQ606" t="s">
        <v>74</v>
      </c>
      <c r="BR606" t="s">
        <v>103</v>
      </c>
      <c r="BS606" t="s">
        <v>11850</v>
      </c>
      <c r="BT606" t="str">
        <f>HYPERLINK("https%3A%2F%2Fwww.webofscience.com%2Fwos%2Fwoscc%2Ffull-record%2FWOS:000328150100012","View Full Record in Web of Science")</f>
        <v>View Full Record in Web of Science</v>
      </c>
    </row>
    <row r="607" spans="1:72" x14ac:dyDescent="0.15">
      <c r="A607" t="s">
        <v>72</v>
      </c>
      <c r="B607" t="s">
        <v>11851</v>
      </c>
      <c r="C607" t="s">
        <v>74</v>
      </c>
      <c r="D607" t="s">
        <v>74</v>
      </c>
      <c r="E607" t="s">
        <v>74</v>
      </c>
      <c r="F607" t="s">
        <v>11852</v>
      </c>
      <c r="G607" t="s">
        <v>74</v>
      </c>
      <c r="H607" t="s">
        <v>74</v>
      </c>
      <c r="I607" t="s">
        <v>11853</v>
      </c>
      <c r="J607" t="s">
        <v>11854</v>
      </c>
      <c r="K607" t="s">
        <v>74</v>
      </c>
      <c r="L607" t="s">
        <v>74</v>
      </c>
      <c r="M607" t="s">
        <v>78</v>
      </c>
      <c r="N607" t="s">
        <v>1019</v>
      </c>
      <c r="O607" t="s">
        <v>74</v>
      </c>
      <c r="P607" t="s">
        <v>74</v>
      </c>
      <c r="Q607" t="s">
        <v>74</v>
      </c>
      <c r="R607" t="s">
        <v>74</v>
      </c>
      <c r="S607" t="s">
        <v>74</v>
      </c>
      <c r="T607" t="s">
        <v>74</v>
      </c>
      <c r="U607" t="s">
        <v>74</v>
      </c>
      <c r="V607" t="s">
        <v>74</v>
      </c>
      <c r="W607" t="s">
        <v>74</v>
      </c>
      <c r="X607" t="s">
        <v>74</v>
      </c>
      <c r="Y607" t="s">
        <v>74</v>
      </c>
      <c r="Z607" t="s">
        <v>74</v>
      </c>
      <c r="AA607" t="s">
        <v>74</v>
      </c>
      <c r="AB607" t="s">
        <v>74</v>
      </c>
      <c r="AC607" t="s">
        <v>74</v>
      </c>
      <c r="AD607" t="s">
        <v>74</v>
      </c>
      <c r="AE607" t="s">
        <v>74</v>
      </c>
      <c r="AF607" t="s">
        <v>74</v>
      </c>
      <c r="AG607">
        <v>0</v>
      </c>
      <c r="AH607">
        <v>0</v>
      </c>
      <c r="AI607">
        <v>0</v>
      </c>
      <c r="AJ607">
        <v>0</v>
      </c>
      <c r="AK607">
        <v>1</v>
      </c>
      <c r="AL607" t="s">
        <v>11855</v>
      </c>
      <c r="AM607" t="s">
        <v>4085</v>
      </c>
      <c r="AN607" t="s">
        <v>11856</v>
      </c>
      <c r="AO607" t="s">
        <v>11857</v>
      </c>
      <c r="AP607" t="s">
        <v>11858</v>
      </c>
      <c r="AQ607" t="s">
        <v>74</v>
      </c>
      <c r="AR607" t="s">
        <v>11859</v>
      </c>
      <c r="AS607" t="s">
        <v>11860</v>
      </c>
      <c r="AT607" t="s">
        <v>11635</v>
      </c>
      <c r="AU607">
        <v>2013</v>
      </c>
      <c r="AV607">
        <v>77</v>
      </c>
      <c r="AW607">
        <v>10</v>
      </c>
      <c r="AX607" t="s">
        <v>74</v>
      </c>
      <c r="AY607" t="s">
        <v>74</v>
      </c>
      <c r="AZ607" t="s">
        <v>74</v>
      </c>
      <c r="BA607" t="s">
        <v>74</v>
      </c>
      <c r="BB607">
        <v>9</v>
      </c>
      <c r="BC607">
        <v>9</v>
      </c>
      <c r="BD607" t="s">
        <v>74</v>
      </c>
      <c r="BE607" t="s">
        <v>74</v>
      </c>
      <c r="BF607" t="s">
        <v>74</v>
      </c>
      <c r="BG607" t="s">
        <v>74</v>
      </c>
      <c r="BH607" t="s">
        <v>74</v>
      </c>
      <c r="BI607">
        <v>1</v>
      </c>
      <c r="BJ607" t="s">
        <v>11861</v>
      </c>
      <c r="BK607" t="s">
        <v>99</v>
      </c>
      <c r="BL607" t="s">
        <v>4975</v>
      </c>
      <c r="BM607" t="s">
        <v>11862</v>
      </c>
      <c r="BN607" t="s">
        <v>74</v>
      </c>
      <c r="BO607" t="s">
        <v>74</v>
      </c>
      <c r="BP607" t="s">
        <v>74</v>
      </c>
      <c r="BQ607" t="s">
        <v>74</v>
      </c>
      <c r="BR607" t="s">
        <v>103</v>
      </c>
      <c r="BS607" t="s">
        <v>11863</v>
      </c>
      <c r="BT607" t="str">
        <f>HYPERLINK("https%3A%2F%2Fwww.webofscience.com%2Fwos%2Fwoscc%2Ffull-record%2FWOS:000328132100008","View Full Record in Web of Science")</f>
        <v>View Full Record in Web of Science</v>
      </c>
    </row>
    <row r="608" spans="1:72" x14ac:dyDescent="0.15">
      <c r="A608" t="s">
        <v>72</v>
      </c>
      <c r="B608" t="s">
        <v>11864</v>
      </c>
      <c r="C608" t="s">
        <v>74</v>
      </c>
      <c r="D608" t="s">
        <v>74</v>
      </c>
      <c r="E608" t="s">
        <v>74</v>
      </c>
      <c r="F608" t="s">
        <v>11865</v>
      </c>
      <c r="G608" t="s">
        <v>74</v>
      </c>
      <c r="H608" t="s">
        <v>74</v>
      </c>
      <c r="I608" t="s">
        <v>11866</v>
      </c>
      <c r="J608" t="s">
        <v>6824</v>
      </c>
      <c r="K608" t="s">
        <v>74</v>
      </c>
      <c r="L608" t="s">
        <v>74</v>
      </c>
      <c r="M608" t="s">
        <v>78</v>
      </c>
      <c r="N608" t="s">
        <v>79</v>
      </c>
      <c r="O608" t="s">
        <v>74</v>
      </c>
      <c r="P608" t="s">
        <v>74</v>
      </c>
      <c r="Q608" t="s">
        <v>74</v>
      </c>
      <c r="R608" t="s">
        <v>74</v>
      </c>
      <c r="S608" t="s">
        <v>74</v>
      </c>
      <c r="T608" t="s">
        <v>74</v>
      </c>
      <c r="U608" t="s">
        <v>11867</v>
      </c>
      <c r="V608" t="s">
        <v>11868</v>
      </c>
      <c r="W608" t="s">
        <v>11869</v>
      </c>
      <c r="X608" t="s">
        <v>11870</v>
      </c>
      <c r="Y608" t="s">
        <v>11871</v>
      </c>
      <c r="Z608" t="s">
        <v>74</v>
      </c>
      <c r="AA608" t="s">
        <v>11872</v>
      </c>
      <c r="AB608" t="s">
        <v>11873</v>
      </c>
      <c r="AC608" t="s">
        <v>11874</v>
      </c>
      <c r="AD608" t="s">
        <v>4161</v>
      </c>
      <c r="AE608" t="s">
        <v>11875</v>
      </c>
      <c r="AF608" t="s">
        <v>74</v>
      </c>
      <c r="AG608">
        <v>31</v>
      </c>
      <c r="AH608">
        <v>32</v>
      </c>
      <c r="AI608">
        <v>35</v>
      </c>
      <c r="AJ608">
        <v>0</v>
      </c>
      <c r="AK608">
        <v>14</v>
      </c>
      <c r="AL608" t="s">
        <v>946</v>
      </c>
      <c r="AM608" t="s">
        <v>947</v>
      </c>
      <c r="AN608" t="s">
        <v>948</v>
      </c>
      <c r="AO608" t="s">
        <v>6835</v>
      </c>
      <c r="AP608" t="s">
        <v>6836</v>
      </c>
      <c r="AQ608" t="s">
        <v>74</v>
      </c>
      <c r="AR608" t="s">
        <v>6824</v>
      </c>
      <c r="AS608" t="s">
        <v>338</v>
      </c>
      <c r="AT608" t="s">
        <v>11635</v>
      </c>
      <c r="AU608">
        <v>2013</v>
      </c>
      <c r="AV608">
        <v>41</v>
      </c>
      <c r="AW608">
        <v>10</v>
      </c>
      <c r="AX608" t="s">
        <v>74</v>
      </c>
      <c r="AY608" t="s">
        <v>74</v>
      </c>
      <c r="AZ608" t="s">
        <v>74</v>
      </c>
      <c r="BA608" t="s">
        <v>74</v>
      </c>
      <c r="BB608">
        <v>1043</v>
      </c>
      <c r="BC608">
        <v>1046</v>
      </c>
      <c r="BD608" t="s">
        <v>74</v>
      </c>
      <c r="BE608" t="s">
        <v>11876</v>
      </c>
      <c r="BF608" t="str">
        <f>HYPERLINK("http://dx.doi.org/10.1130/G33409.1","http://dx.doi.org/10.1130/G33409.1")</f>
        <v>http://dx.doi.org/10.1130/G33409.1</v>
      </c>
      <c r="BG608" t="s">
        <v>74</v>
      </c>
      <c r="BH608" t="s">
        <v>74</v>
      </c>
      <c r="BI608">
        <v>4</v>
      </c>
      <c r="BJ608" t="s">
        <v>338</v>
      </c>
      <c r="BK608" t="s">
        <v>99</v>
      </c>
      <c r="BL608" t="s">
        <v>338</v>
      </c>
      <c r="BM608" t="s">
        <v>11877</v>
      </c>
      <c r="BN608" t="s">
        <v>74</v>
      </c>
      <c r="BO608" t="s">
        <v>74</v>
      </c>
      <c r="BP608" t="s">
        <v>74</v>
      </c>
      <c r="BQ608" t="s">
        <v>74</v>
      </c>
      <c r="BR608" t="s">
        <v>103</v>
      </c>
      <c r="BS608" t="s">
        <v>11878</v>
      </c>
      <c r="BT608" t="str">
        <f>HYPERLINK("https%3A%2F%2Fwww.webofscience.com%2Fwos%2Fwoscc%2Ffull-record%2FWOS:000327391200001","View Full Record in Web of Science")</f>
        <v>View Full Record in Web of Science</v>
      </c>
    </row>
    <row r="609" spans="1:72" x14ac:dyDescent="0.15">
      <c r="A609" t="s">
        <v>72</v>
      </c>
      <c r="B609" t="s">
        <v>11879</v>
      </c>
      <c r="C609" t="s">
        <v>74</v>
      </c>
      <c r="D609" t="s">
        <v>74</v>
      </c>
      <c r="E609" t="s">
        <v>74</v>
      </c>
      <c r="F609" t="s">
        <v>11880</v>
      </c>
      <c r="G609" t="s">
        <v>74</v>
      </c>
      <c r="H609" t="s">
        <v>74</v>
      </c>
      <c r="I609" t="s">
        <v>11881</v>
      </c>
      <c r="J609" t="s">
        <v>11882</v>
      </c>
      <c r="K609" t="s">
        <v>74</v>
      </c>
      <c r="L609" t="s">
        <v>74</v>
      </c>
      <c r="M609" t="s">
        <v>78</v>
      </c>
      <c r="N609" t="s">
        <v>79</v>
      </c>
      <c r="O609" t="s">
        <v>74</v>
      </c>
      <c r="P609" t="s">
        <v>74</v>
      </c>
      <c r="Q609" t="s">
        <v>74</v>
      </c>
      <c r="R609" t="s">
        <v>74</v>
      </c>
      <c r="S609" t="s">
        <v>74</v>
      </c>
      <c r="T609" t="s">
        <v>11883</v>
      </c>
      <c r="U609" t="s">
        <v>11884</v>
      </c>
      <c r="V609" t="s">
        <v>11885</v>
      </c>
      <c r="W609" t="s">
        <v>11886</v>
      </c>
      <c r="X609" t="s">
        <v>11887</v>
      </c>
      <c r="Y609" t="s">
        <v>11888</v>
      </c>
      <c r="Z609" t="s">
        <v>11889</v>
      </c>
      <c r="AA609" t="s">
        <v>11890</v>
      </c>
      <c r="AB609" t="s">
        <v>11891</v>
      </c>
      <c r="AC609" t="s">
        <v>11892</v>
      </c>
      <c r="AD609" t="s">
        <v>11893</v>
      </c>
      <c r="AE609" t="s">
        <v>11894</v>
      </c>
      <c r="AF609" t="s">
        <v>74</v>
      </c>
      <c r="AG609">
        <v>90</v>
      </c>
      <c r="AH609">
        <v>19</v>
      </c>
      <c r="AI609">
        <v>19</v>
      </c>
      <c r="AJ609">
        <v>0</v>
      </c>
      <c r="AK609">
        <v>14</v>
      </c>
      <c r="AL609" t="s">
        <v>304</v>
      </c>
      <c r="AM609" t="s">
        <v>305</v>
      </c>
      <c r="AN609" t="s">
        <v>306</v>
      </c>
      <c r="AO609" t="s">
        <v>11895</v>
      </c>
      <c r="AP609" t="s">
        <v>11896</v>
      </c>
      <c r="AQ609" t="s">
        <v>74</v>
      </c>
      <c r="AR609" t="s">
        <v>11897</v>
      </c>
      <c r="AS609" t="s">
        <v>11898</v>
      </c>
      <c r="AT609" t="s">
        <v>11635</v>
      </c>
      <c r="AU609">
        <v>2013</v>
      </c>
      <c r="AV609">
        <v>104</v>
      </c>
      <c r="AW609" t="s">
        <v>74</v>
      </c>
      <c r="AX609" t="s">
        <v>74</v>
      </c>
      <c r="AY609" t="s">
        <v>74</v>
      </c>
      <c r="AZ609" t="s">
        <v>74</v>
      </c>
      <c r="BA609" t="s">
        <v>74</v>
      </c>
      <c r="BB609">
        <v>25</v>
      </c>
      <c r="BC609">
        <v>37</v>
      </c>
      <c r="BD609" t="s">
        <v>74</v>
      </c>
      <c r="BE609" t="s">
        <v>11899</v>
      </c>
      <c r="BF609" t="str">
        <f>HYPERLINK("http://dx.doi.org/10.1016/j.marmicro.2013.08.003","http://dx.doi.org/10.1016/j.marmicro.2013.08.003")</f>
        <v>http://dx.doi.org/10.1016/j.marmicro.2013.08.003</v>
      </c>
      <c r="BG609" t="s">
        <v>74</v>
      </c>
      <c r="BH609" t="s">
        <v>74</v>
      </c>
      <c r="BI609">
        <v>13</v>
      </c>
      <c r="BJ609" t="s">
        <v>2061</v>
      </c>
      <c r="BK609" t="s">
        <v>99</v>
      </c>
      <c r="BL609" t="s">
        <v>2061</v>
      </c>
      <c r="BM609" t="s">
        <v>11900</v>
      </c>
      <c r="BN609" t="s">
        <v>74</v>
      </c>
      <c r="BO609" t="s">
        <v>74</v>
      </c>
      <c r="BP609" t="s">
        <v>74</v>
      </c>
      <c r="BQ609" t="s">
        <v>74</v>
      </c>
      <c r="BR609" t="s">
        <v>103</v>
      </c>
      <c r="BS609" t="s">
        <v>11901</v>
      </c>
      <c r="BT609" t="str">
        <f>HYPERLINK("https%3A%2F%2Fwww.webofscience.com%2Fwos%2Fwoscc%2Ffull-record%2FWOS:000327576400003","View Full Record in Web of Science")</f>
        <v>View Full Record in Web of Science</v>
      </c>
    </row>
    <row r="610" spans="1:72" x14ac:dyDescent="0.15">
      <c r="A610" t="s">
        <v>72</v>
      </c>
      <c r="B610" t="s">
        <v>11902</v>
      </c>
      <c r="C610" t="s">
        <v>74</v>
      </c>
      <c r="D610" t="s">
        <v>74</v>
      </c>
      <c r="E610" t="s">
        <v>74</v>
      </c>
      <c r="F610" t="s">
        <v>11903</v>
      </c>
      <c r="G610" t="s">
        <v>74</v>
      </c>
      <c r="H610" t="s">
        <v>74</v>
      </c>
      <c r="I610" t="s">
        <v>11904</v>
      </c>
      <c r="J610" t="s">
        <v>1595</v>
      </c>
      <c r="K610" t="s">
        <v>74</v>
      </c>
      <c r="L610" t="s">
        <v>74</v>
      </c>
      <c r="M610" t="s">
        <v>78</v>
      </c>
      <c r="N610" t="s">
        <v>79</v>
      </c>
      <c r="O610" t="s">
        <v>74</v>
      </c>
      <c r="P610" t="s">
        <v>74</v>
      </c>
      <c r="Q610" t="s">
        <v>74</v>
      </c>
      <c r="R610" t="s">
        <v>74</v>
      </c>
      <c r="S610" t="s">
        <v>74</v>
      </c>
      <c r="T610" t="s">
        <v>11905</v>
      </c>
      <c r="U610" t="s">
        <v>11906</v>
      </c>
      <c r="V610" t="s">
        <v>11907</v>
      </c>
      <c r="W610" t="s">
        <v>11908</v>
      </c>
      <c r="X610" t="s">
        <v>11909</v>
      </c>
      <c r="Y610" t="s">
        <v>11910</v>
      </c>
      <c r="Z610" t="s">
        <v>11911</v>
      </c>
      <c r="AA610" t="s">
        <v>11912</v>
      </c>
      <c r="AB610" t="s">
        <v>11913</v>
      </c>
      <c r="AC610" t="s">
        <v>11914</v>
      </c>
      <c r="AD610" t="s">
        <v>11915</v>
      </c>
      <c r="AE610" t="s">
        <v>11916</v>
      </c>
      <c r="AF610" t="s">
        <v>74</v>
      </c>
      <c r="AG610">
        <v>45</v>
      </c>
      <c r="AH610">
        <v>43</v>
      </c>
      <c r="AI610">
        <v>44</v>
      </c>
      <c r="AJ610">
        <v>1</v>
      </c>
      <c r="AK610">
        <v>31</v>
      </c>
      <c r="AL610" t="s">
        <v>1606</v>
      </c>
      <c r="AM610" t="s">
        <v>808</v>
      </c>
      <c r="AN610" t="s">
        <v>1607</v>
      </c>
      <c r="AO610" t="s">
        <v>1608</v>
      </c>
      <c r="AP610" t="s">
        <v>1609</v>
      </c>
      <c r="AQ610" t="s">
        <v>74</v>
      </c>
      <c r="AR610" t="s">
        <v>1610</v>
      </c>
      <c r="AS610" t="s">
        <v>1611</v>
      </c>
      <c r="AT610" t="s">
        <v>11635</v>
      </c>
      <c r="AU610">
        <v>2013</v>
      </c>
      <c r="AV610">
        <v>118</v>
      </c>
      <c r="AW610">
        <v>10</v>
      </c>
      <c r="AX610" t="s">
        <v>74</v>
      </c>
      <c r="AY610" t="s">
        <v>74</v>
      </c>
      <c r="AZ610" t="s">
        <v>74</v>
      </c>
      <c r="BA610" t="s">
        <v>74</v>
      </c>
      <c r="BB610">
        <v>5669</v>
      </c>
      <c r="BC610">
        <v>5675</v>
      </c>
      <c r="BD610" t="s">
        <v>74</v>
      </c>
      <c r="BE610" t="s">
        <v>11917</v>
      </c>
      <c r="BF610" t="str">
        <f>HYPERLINK("http://dx.doi.org/10.1002/jgrc.20407","http://dx.doi.org/10.1002/jgrc.20407")</f>
        <v>http://dx.doi.org/10.1002/jgrc.20407</v>
      </c>
      <c r="BG610" t="s">
        <v>74</v>
      </c>
      <c r="BH610" t="s">
        <v>74</v>
      </c>
      <c r="BI610">
        <v>7</v>
      </c>
      <c r="BJ610" t="s">
        <v>1613</v>
      </c>
      <c r="BK610" t="s">
        <v>99</v>
      </c>
      <c r="BL610" t="s">
        <v>1613</v>
      </c>
      <c r="BM610" t="s">
        <v>11918</v>
      </c>
      <c r="BN610" t="s">
        <v>74</v>
      </c>
      <c r="BO610" t="s">
        <v>1381</v>
      </c>
      <c r="BP610" t="s">
        <v>74</v>
      </c>
      <c r="BQ610" t="s">
        <v>74</v>
      </c>
      <c r="BR610" t="s">
        <v>103</v>
      </c>
      <c r="BS610" t="s">
        <v>11919</v>
      </c>
      <c r="BT610" t="str">
        <f>HYPERLINK("https%3A%2F%2Fwww.webofscience.com%2Fwos%2Fwoscc%2Ffull-record%2FWOS:000327380100057","View Full Record in Web of Science")</f>
        <v>View Full Record in Web of Science</v>
      </c>
    </row>
    <row r="611" spans="1:72" x14ac:dyDescent="0.15">
      <c r="A611" t="s">
        <v>72</v>
      </c>
      <c r="B611" t="s">
        <v>11920</v>
      </c>
      <c r="C611" t="s">
        <v>74</v>
      </c>
      <c r="D611" t="s">
        <v>74</v>
      </c>
      <c r="E611" t="s">
        <v>74</v>
      </c>
      <c r="F611" t="s">
        <v>11921</v>
      </c>
      <c r="G611" t="s">
        <v>74</v>
      </c>
      <c r="H611" t="s">
        <v>74</v>
      </c>
      <c r="I611" t="s">
        <v>11922</v>
      </c>
      <c r="J611" t="s">
        <v>11923</v>
      </c>
      <c r="K611" t="s">
        <v>74</v>
      </c>
      <c r="L611" t="s">
        <v>74</v>
      </c>
      <c r="M611" t="s">
        <v>11924</v>
      </c>
      <c r="N611" t="s">
        <v>79</v>
      </c>
      <c r="O611" t="s">
        <v>74</v>
      </c>
      <c r="P611" t="s">
        <v>74</v>
      </c>
      <c r="Q611" t="s">
        <v>74</v>
      </c>
      <c r="R611" t="s">
        <v>74</v>
      </c>
      <c r="S611" t="s">
        <v>74</v>
      </c>
      <c r="T611" t="s">
        <v>11925</v>
      </c>
      <c r="U611" t="s">
        <v>74</v>
      </c>
      <c r="V611" t="s">
        <v>11926</v>
      </c>
      <c r="W611" t="s">
        <v>11927</v>
      </c>
      <c r="X611" t="s">
        <v>11928</v>
      </c>
      <c r="Y611" t="s">
        <v>11929</v>
      </c>
      <c r="Z611" t="s">
        <v>11930</v>
      </c>
      <c r="AA611" t="s">
        <v>11931</v>
      </c>
      <c r="AB611" t="s">
        <v>74</v>
      </c>
      <c r="AC611" t="s">
        <v>74</v>
      </c>
      <c r="AD611" t="s">
        <v>74</v>
      </c>
      <c r="AE611" t="s">
        <v>74</v>
      </c>
      <c r="AF611" t="s">
        <v>74</v>
      </c>
      <c r="AG611">
        <v>20</v>
      </c>
      <c r="AH611">
        <v>9</v>
      </c>
      <c r="AI611">
        <v>16</v>
      </c>
      <c r="AJ611">
        <v>5</v>
      </c>
      <c r="AK611">
        <v>52</v>
      </c>
      <c r="AL611" t="s">
        <v>9182</v>
      </c>
      <c r="AM611" t="s">
        <v>9183</v>
      </c>
      <c r="AN611" t="s">
        <v>9184</v>
      </c>
      <c r="AO611" t="s">
        <v>11932</v>
      </c>
      <c r="AP611" t="s">
        <v>74</v>
      </c>
      <c r="AQ611" t="s">
        <v>74</v>
      </c>
      <c r="AR611" t="s">
        <v>11933</v>
      </c>
      <c r="AS611" t="s">
        <v>11934</v>
      </c>
      <c r="AT611" t="s">
        <v>11635</v>
      </c>
      <c r="AU611">
        <v>2013</v>
      </c>
      <c r="AV611">
        <v>56</v>
      </c>
      <c r="AW611">
        <v>10</v>
      </c>
      <c r="AX611" t="s">
        <v>74</v>
      </c>
      <c r="AY611" t="s">
        <v>74</v>
      </c>
      <c r="AZ611" t="s">
        <v>74</v>
      </c>
      <c r="BA611" t="s">
        <v>74</v>
      </c>
      <c r="BB611">
        <v>3302</v>
      </c>
      <c r="BC611">
        <v>3312</v>
      </c>
      <c r="BD611" t="s">
        <v>74</v>
      </c>
      <c r="BE611" t="s">
        <v>11935</v>
      </c>
      <c r="BF611" t="str">
        <f>HYPERLINK("http://dx.doi.org/10.6038/cjg20131007","http://dx.doi.org/10.6038/cjg20131007")</f>
        <v>http://dx.doi.org/10.6038/cjg20131007</v>
      </c>
      <c r="BG611" t="s">
        <v>74</v>
      </c>
      <c r="BH611" t="s">
        <v>74</v>
      </c>
      <c r="BI611">
        <v>11</v>
      </c>
      <c r="BJ611" t="s">
        <v>313</v>
      </c>
      <c r="BK611" t="s">
        <v>99</v>
      </c>
      <c r="BL611" t="s">
        <v>313</v>
      </c>
      <c r="BM611" t="s">
        <v>11936</v>
      </c>
      <c r="BN611" t="s">
        <v>74</v>
      </c>
      <c r="BO611" t="s">
        <v>74</v>
      </c>
      <c r="BP611" t="s">
        <v>74</v>
      </c>
      <c r="BQ611" t="s">
        <v>74</v>
      </c>
      <c r="BR611" t="s">
        <v>103</v>
      </c>
      <c r="BS611" t="s">
        <v>11937</v>
      </c>
      <c r="BT611" t="str">
        <f>HYPERLINK("https%3A%2F%2Fwww.webofscience.com%2Fwos%2Fwoscc%2Ffull-record%2FWOS:000326848400007","View Full Record in Web of Science")</f>
        <v>View Full Record in Web of Science</v>
      </c>
    </row>
    <row r="612" spans="1:72" x14ac:dyDescent="0.15">
      <c r="A612" t="s">
        <v>72</v>
      </c>
      <c r="B612" t="s">
        <v>11938</v>
      </c>
      <c r="C612" t="s">
        <v>74</v>
      </c>
      <c r="D612" t="s">
        <v>74</v>
      </c>
      <c r="E612" t="s">
        <v>74</v>
      </c>
      <c r="F612" t="s">
        <v>11939</v>
      </c>
      <c r="G612" t="s">
        <v>74</v>
      </c>
      <c r="H612" t="s">
        <v>74</v>
      </c>
      <c r="I612" t="s">
        <v>11940</v>
      </c>
      <c r="J612" t="s">
        <v>9882</v>
      </c>
      <c r="K612" t="s">
        <v>74</v>
      </c>
      <c r="L612" t="s">
        <v>74</v>
      </c>
      <c r="M612" t="s">
        <v>78</v>
      </c>
      <c r="N612" t="s">
        <v>79</v>
      </c>
      <c r="O612" t="s">
        <v>74</v>
      </c>
      <c r="P612" t="s">
        <v>74</v>
      </c>
      <c r="Q612" t="s">
        <v>74</v>
      </c>
      <c r="R612" t="s">
        <v>74</v>
      </c>
      <c r="S612" t="s">
        <v>74</v>
      </c>
      <c r="T612" t="s">
        <v>11941</v>
      </c>
      <c r="U612" t="s">
        <v>11942</v>
      </c>
      <c r="V612" t="s">
        <v>11943</v>
      </c>
      <c r="W612" t="s">
        <v>11944</v>
      </c>
      <c r="X612" t="s">
        <v>11945</v>
      </c>
      <c r="Y612" t="s">
        <v>11946</v>
      </c>
      <c r="Z612" t="s">
        <v>11947</v>
      </c>
      <c r="AA612" t="s">
        <v>11948</v>
      </c>
      <c r="AB612" t="s">
        <v>11949</v>
      </c>
      <c r="AC612" t="s">
        <v>74</v>
      </c>
      <c r="AD612" t="s">
        <v>74</v>
      </c>
      <c r="AE612" t="s">
        <v>74</v>
      </c>
      <c r="AF612" t="s">
        <v>74</v>
      </c>
      <c r="AG612">
        <v>360</v>
      </c>
      <c r="AH612">
        <v>230</v>
      </c>
      <c r="AI612">
        <v>253</v>
      </c>
      <c r="AJ612">
        <v>4</v>
      </c>
      <c r="AK612">
        <v>155</v>
      </c>
      <c r="AL612" t="s">
        <v>304</v>
      </c>
      <c r="AM612" t="s">
        <v>305</v>
      </c>
      <c r="AN612" t="s">
        <v>306</v>
      </c>
      <c r="AO612" t="s">
        <v>9895</v>
      </c>
      <c r="AP612" t="s">
        <v>9896</v>
      </c>
      <c r="AQ612" t="s">
        <v>74</v>
      </c>
      <c r="AR612" t="s">
        <v>9897</v>
      </c>
      <c r="AS612" t="s">
        <v>9898</v>
      </c>
      <c r="AT612" t="s">
        <v>11635</v>
      </c>
      <c r="AU612">
        <v>2013</v>
      </c>
      <c r="AV612">
        <v>125</v>
      </c>
      <c r="AW612" t="s">
        <v>74</v>
      </c>
      <c r="AX612" t="s">
        <v>74</v>
      </c>
      <c r="AY612" t="s">
        <v>74</v>
      </c>
      <c r="AZ612" t="s">
        <v>74</v>
      </c>
      <c r="BA612" t="s">
        <v>74</v>
      </c>
      <c r="BB612">
        <v>171</v>
      </c>
      <c r="BC612">
        <v>198</v>
      </c>
      <c r="BD612" t="s">
        <v>74</v>
      </c>
      <c r="BE612" t="s">
        <v>11950</v>
      </c>
      <c r="BF612" t="str">
        <f>HYPERLINK("http://dx.doi.org/10.1016/j.earscirev.2013.07.003","http://dx.doi.org/10.1016/j.earscirev.2013.07.003")</f>
        <v>http://dx.doi.org/10.1016/j.earscirev.2013.07.003</v>
      </c>
      <c r="BG612" t="s">
        <v>74</v>
      </c>
      <c r="BH612" t="s">
        <v>74</v>
      </c>
      <c r="BI612">
        <v>28</v>
      </c>
      <c r="BJ612" t="s">
        <v>337</v>
      </c>
      <c r="BK612" t="s">
        <v>99</v>
      </c>
      <c r="BL612" t="s">
        <v>338</v>
      </c>
      <c r="BM612" t="s">
        <v>11951</v>
      </c>
      <c r="BN612" t="s">
        <v>74</v>
      </c>
      <c r="BO612" t="s">
        <v>1145</v>
      </c>
      <c r="BP612" t="s">
        <v>74</v>
      </c>
      <c r="BQ612" t="s">
        <v>74</v>
      </c>
      <c r="BR612" t="s">
        <v>103</v>
      </c>
      <c r="BS612" t="s">
        <v>11952</v>
      </c>
      <c r="BT612" t="str">
        <f>HYPERLINK("https%3A%2F%2Fwww.webofscience.com%2Fwos%2Fwoscc%2Ffull-record%2FWOS:000326661800009","View Full Record in Web of Science")</f>
        <v>View Full Record in Web of Science</v>
      </c>
    </row>
    <row r="613" spans="1:72" x14ac:dyDescent="0.15">
      <c r="A613" t="s">
        <v>72</v>
      </c>
      <c r="B613" t="s">
        <v>11953</v>
      </c>
      <c r="C613" t="s">
        <v>74</v>
      </c>
      <c r="D613" t="s">
        <v>74</v>
      </c>
      <c r="E613" t="s">
        <v>74</v>
      </c>
      <c r="F613" t="s">
        <v>11954</v>
      </c>
      <c r="G613" t="s">
        <v>74</v>
      </c>
      <c r="H613" t="s">
        <v>74</v>
      </c>
      <c r="I613" t="s">
        <v>11955</v>
      </c>
      <c r="J613" t="s">
        <v>11956</v>
      </c>
      <c r="K613" t="s">
        <v>74</v>
      </c>
      <c r="L613" t="s">
        <v>74</v>
      </c>
      <c r="M613" t="s">
        <v>78</v>
      </c>
      <c r="N613" t="s">
        <v>79</v>
      </c>
      <c r="O613" t="s">
        <v>74</v>
      </c>
      <c r="P613" t="s">
        <v>74</v>
      </c>
      <c r="Q613" t="s">
        <v>74</v>
      </c>
      <c r="R613" t="s">
        <v>74</v>
      </c>
      <c r="S613" t="s">
        <v>74</v>
      </c>
      <c r="T613" t="s">
        <v>11957</v>
      </c>
      <c r="U613" t="s">
        <v>11958</v>
      </c>
      <c r="V613" t="s">
        <v>11959</v>
      </c>
      <c r="W613" t="s">
        <v>11960</v>
      </c>
      <c r="X613" t="s">
        <v>11961</v>
      </c>
      <c r="Y613" t="s">
        <v>11962</v>
      </c>
      <c r="Z613" t="s">
        <v>11963</v>
      </c>
      <c r="AA613" t="s">
        <v>74</v>
      </c>
      <c r="AB613" t="s">
        <v>11964</v>
      </c>
      <c r="AC613" t="s">
        <v>11965</v>
      </c>
      <c r="AD613" t="s">
        <v>11966</v>
      </c>
      <c r="AE613" t="s">
        <v>11967</v>
      </c>
      <c r="AF613" t="s">
        <v>74</v>
      </c>
      <c r="AG613">
        <v>15</v>
      </c>
      <c r="AH613">
        <v>10</v>
      </c>
      <c r="AI613">
        <v>11</v>
      </c>
      <c r="AJ613">
        <v>1</v>
      </c>
      <c r="AK613">
        <v>12</v>
      </c>
      <c r="AL613" t="s">
        <v>11968</v>
      </c>
      <c r="AM613" t="s">
        <v>900</v>
      </c>
      <c r="AN613" t="s">
        <v>11969</v>
      </c>
      <c r="AO613" t="s">
        <v>11970</v>
      </c>
      <c r="AP613" t="s">
        <v>11971</v>
      </c>
      <c r="AQ613" t="s">
        <v>74</v>
      </c>
      <c r="AR613" t="s">
        <v>11972</v>
      </c>
      <c r="AS613" t="s">
        <v>11973</v>
      </c>
      <c r="AT613" t="s">
        <v>11635</v>
      </c>
      <c r="AU613">
        <v>2013</v>
      </c>
      <c r="AV613">
        <v>27</v>
      </c>
      <c r="AW613">
        <v>5</v>
      </c>
      <c r="AX613" t="s">
        <v>74</v>
      </c>
      <c r="AY613" t="s">
        <v>74</v>
      </c>
      <c r="AZ613" t="s">
        <v>74</v>
      </c>
      <c r="BA613" t="s">
        <v>74</v>
      </c>
      <c r="BB613">
        <v>4098</v>
      </c>
      <c r="BC613">
        <v>4102</v>
      </c>
      <c r="BD613" t="s">
        <v>74</v>
      </c>
      <c r="BE613" t="s">
        <v>11974</v>
      </c>
      <c r="BF613" t="str">
        <f>HYPERLINK("http://dx.doi.org/10.5504/BBEQ.2013.0009","http://dx.doi.org/10.5504/BBEQ.2013.0009")</f>
        <v>http://dx.doi.org/10.5504/BBEQ.2013.0009</v>
      </c>
      <c r="BG613" t="s">
        <v>74</v>
      </c>
      <c r="BH613" t="s">
        <v>74</v>
      </c>
      <c r="BI613">
        <v>5</v>
      </c>
      <c r="BJ613" t="s">
        <v>3957</v>
      </c>
      <c r="BK613" t="s">
        <v>99</v>
      </c>
      <c r="BL613" t="s">
        <v>3957</v>
      </c>
      <c r="BM613" t="s">
        <v>11975</v>
      </c>
      <c r="BN613" t="s">
        <v>74</v>
      </c>
      <c r="BO613" t="s">
        <v>475</v>
      </c>
      <c r="BP613" t="s">
        <v>74</v>
      </c>
      <c r="BQ613" t="s">
        <v>74</v>
      </c>
      <c r="BR613" t="s">
        <v>103</v>
      </c>
      <c r="BS613" t="s">
        <v>11976</v>
      </c>
      <c r="BT613" t="str">
        <f>HYPERLINK("https%3A%2F%2Fwww.webofscience.com%2Fwos%2Fwoscc%2Ffull-record%2FWOS:000326132300010","View Full Record in Web of Science")</f>
        <v>View Full Record in Web of Science</v>
      </c>
    </row>
    <row r="614" spans="1:72" x14ac:dyDescent="0.15">
      <c r="A614" t="s">
        <v>72</v>
      </c>
      <c r="B614" t="s">
        <v>11977</v>
      </c>
      <c r="C614" t="s">
        <v>74</v>
      </c>
      <c r="D614" t="s">
        <v>74</v>
      </c>
      <c r="E614" t="s">
        <v>74</v>
      </c>
      <c r="F614" t="s">
        <v>11978</v>
      </c>
      <c r="G614" t="s">
        <v>74</v>
      </c>
      <c r="H614" t="s">
        <v>74</v>
      </c>
      <c r="I614" t="s">
        <v>11979</v>
      </c>
      <c r="J614" t="s">
        <v>1571</v>
      </c>
      <c r="K614" t="s">
        <v>74</v>
      </c>
      <c r="L614" t="s">
        <v>74</v>
      </c>
      <c r="M614" t="s">
        <v>78</v>
      </c>
      <c r="N614" t="s">
        <v>79</v>
      </c>
      <c r="O614" t="s">
        <v>74</v>
      </c>
      <c r="P614" t="s">
        <v>74</v>
      </c>
      <c r="Q614" t="s">
        <v>74</v>
      </c>
      <c r="R614" t="s">
        <v>74</v>
      </c>
      <c r="S614" t="s">
        <v>74</v>
      </c>
      <c r="T614" t="s">
        <v>11980</v>
      </c>
      <c r="U614" t="s">
        <v>11981</v>
      </c>
      <c r="V614" t="s">
        <v>11982</v>
      </c>
      <c r="W614" t="s">
        <v>11983</v>
      </c>
      <c r="X614" t="s">
        <v>11984</v>
      </c>
      <c r="Y614" t="s">
        <v>11985</v>
      </c>
      <c r="Z614" t="s">
        <v>11986</v>
      </c>
      <c r="AA614" t="s">
        <v>11987</v>
      </c>
      <c r="AB614" t="s">
        <v>11988</v>
      </c>
      <c r="AC614" t="s">
        <v>11989</v>
      </c>
      <c r="AD614" t="s">
        <v>11990</v>
      </c>
      <c r="AE614" t="s">
        <v>11991</v>
      </c>
      <c r="AF614" t="s">
        <v>74</v>
      </c>
      <c r="AG614">
        <v>37</v>
      </c>
      <c r="AH614">
        <v>4</v>
      </c>
      <c r="AI614">
        <v>4</v>
      </c>
      <c r="AJ614">
        <v>1</v>
      </c>
      <c r="AK614">
        <v>48</v>
      </c>
      <c r="AL614" t="s">
        <v>304</v>
      </c>
      <c r="AM614" t="s">
        <v>305</v>
      </c>
      <c r="AN614" t="s">
        <v>306</v>
      </c>
      <c r="AO614" t="s">
        <v>1584</v>
      </c>
      <c r="AP614" t="s">
        <v>1585</v>
      </c>
      <c r="AQ614" t="s">
        <v>74</v>
      </c>
      <c r="AR614" t="s">
        <v>1586</v>
      </c>
      <c r="AS614" t="s">
        <v>1587</v>
      </c>
      <c r="AT614" t="s">
        <v>11635</v>
      </c>
      <c r="AU614">
        <v>2013</v>
      </c>
      <c r="AV614">
        <v>448</v>
      </c>
      <c r="AW614" t="s">
        <v>74</v>
      </c>
      <c r="AX614" t="s">
        <v>74</v>
      </c>
      <c r="AY614" t="s">
        <v>74</v>
      </c>
      <c r="AZ614" t="s">
        <v>74</v>
      </c>
      <c r="BA614" t="s">
        <v>74</v>
      </c>
      <c r="BB614">
        <v>149</v>
      </c>
      <c r="BC614">
        <v>155</v>
      </c>
      <c r="BD614" t="s">
        <v>74</v>
      </c>
      <c r="BE614" t="s">
        <v>11992</v>
      </c>
      <c r="BF614" t="str">
        <f>HYPERLINK("http://dx.doi.org/10.1016/j.jembe.2013.06.015","http://dx.doi.org/10.1016/j.jembe.2013.06.015")</f>
        <v>http://dx.doi.org/10.1016/j.jembe.2013.06.015</v>
      </c>
      <c r="BG614" t="s">
        <v>74</v>
      </c>
      <c r="BH614" t="s">
        <v>74</v>
      </c>
      <c r="BI614">
        <v>7</v>
      </c>
      <c r="BJ614" t="s">
        <v>1589</v>
      </c>
      <c r="BK614" t="s">
        <v>99</v>
      </c>
      <c r="BL614" t="s">
        <v>680</v>
      </c>
      <c r="BM614" t="s">
        <v>11993</v>
      </c>
      <c r="BN614" t="s">
        <v>74</v>
      </c>
      <c r="BO614" t="s">
        <v>74</v>
      </c>
      <c r="BP614" t="s">
        <v>74</v>
      </c>
      <c r="BQ614" t="s">
        <v>74</v>
      </c>
      <c r="BR614" t="s">
        <v>103</v>
      </c>
      <c r="BS614" t="s">
        <v>11994</v>
      </c>
      <c r="BT614" t="str">
        <f>HYPERLINK("https%3A%2F%2Fwww.webofscience.com%2Fwos%2Fwoscc%2Ffull-record%2FWOS:000326430500019","View Full Record in Web of Science")</f>
        <v>View Full Record in Web of Science</v>
      </c>
    </row>
    <row r="615" spans="1:72" x14ac:dyDescent="0.15">
      <c r="A615" t="s">
        <v>72</v>
      </c>
      <c r="B615" t="s">
        <v>11995</v>
      </c>
      <c r="C615" t="s">
        <v>74</v>
      </c>
      <c r="D615" t="s">
        <v>74</v>
      </c>
      <c r="E615" t="s">
        <v>74</v>
      </c>
      <c r="F615" t="s">
        <v>11996</v>
      </c>
      <c r="G615" t="s">
        <v>74</v>
      </c>
      <c r="H615" t="s">
        <v>74</v>
      </c>
      <c r="I615" t="s">
        <v>11997</v>
      </c>
      <c r="J615" t="s">
        <v>11998</v>
      </c>
      <c r="K615" t="s">
        <v>74</v>
      </c>
      <c r="L615" t="s">
        <v>74</v>
      </c>
      <c r="M615" t="s">
        <v>78</v>
      </c>
      <c r="N615" t="s">
        <v>7910</v>
      </c>
      <c r="O615" t="s">
        <v>11999</v>
      </c>
      <c r="P615" t="s">
        <v>12000</v>
      </c>
      <c r="Q615" t="s">
        <v>12001</v>
      </c>
      <c r="R615" t="s">
        <v>74</v>
      </c>
      <c r="S615" t="s">
        <v>74</v>
      </c>
      <c r="T615" t="s">
        <v>12002</v>
      </c>
      <c r="U615" t="s">
        <v>74</v>
      </c>
      <c r="V615" t="s">
        <v>12003</v>
      </c>
      <c r="W615" t="s">
        <v>12004</v>
      </c>
      <c r="X615" t="s">
        <v>12005</v>
      </c>
      <c r="Y615" t="s">
        <v>12006</v>
      </c>
      <c r="Z615" t="s">
        <v>12007</v>
      </c>
      <c r="AA615" t="s">
        <v>74</v>
      </c>
      <c r="AB615" t="s">
        <v>74</v>
      </c>
      <c r="AC615" t="s">
        <v>74</v>
      </c>
      <c r="AD615" t="s">
        <v>74</v>
      </c>
      <c r="AE615" t="s">
        <v>74</v>
      </c>
      <c r="AF615" t="s">
        <v>74</v>
      </c>
      <c r="AG615">
        <v>3</v>
      </c>
      <c r="AH615">
        <v>0</v>
      </c>
      <c r="AI615">
        <v>0</v>
      </c>
      <c r="AJ615">
        <v>0</v>
      </c>
      <c r="AK615">
        <v>5</v>
      </c>
      <c r="AL615" t="s">
        <v>12008</v>
      </c>
      <c r="AM615" t="s">
        <v>12009</v>
      </c>
      <c r="AN615" t="s">
        <v>12010</v>
      </c>
      <c r="AO615" t="s">
        <v>12011</v>
      </c>
      <c r="AP615" t="s">
        <v>12012</v>
      </c>
      <c r="AQ615" t="s">
        <v>74</v>
      </c>
      <c r="AR615" t="s">
        <v>12013</v>
      </c>
      <c r="AS615" t="s">
        <v>12014</v>
      </c>
      <c r="AT615" t="s">
        <v>11635</v>
      </c>
      <c r="AU615">
        <v>2013</v>
      </c>
      <c r="AV615">
        <v>60</v>
      </c>
      <c r="AW615">
        <v>5</v>
      </c>
      <c r="AX615">
        <v>2</v>
      </c>
      <c r="AY615" t="s">
        <v>74</v>
      </c>
      <c r="AZ615" t="s">
        <v>74</v>
      </c>
      <c r="BA615" t="s">
        <v>74</v>
      </c>
      <c r="BB615">
        <v>3742</v>
      </c>
      <c r="BC615">
        <v>3745</v>
      </c>
      <c r="BD615" t="s">
        <v>74</v>
      </c>
      <c r="BE615" t="s">
        <v>12015</v>
      </c>
      <c r="BF615" t="str">
        <f>HYPERLINK("http://dx.doi.org/10.1109/TNS.2013.2281263","http://dx.doi.org/10.1109/TNS.2013.2281263")</f>
        <v>http://dx.doi.org/10.1109/TNS.2013.2281263</v>
      </c>
      <c r="BG615" t="s">
        <v>74</v>
      </c>
      <c r="BH615" t="s">
        <v>74</v>
      </c>
      <c r="BI615">
        <v>4</v>
      </c>
      <c r="BJ615" t="s">
        <v>12016</v>
      </c>
      <c r="BK615" t="s">
        <v>11482</v>
      </c>
      <c r="BL615" t="s">
        <v>12017</v>
      </c>
      <c r="BM615" t="s">
        <v>12018</v>
      </c>
      <c r="BN615" t="s">
        <v>74</v>
      </c>
      <c r="BO615" t="s">
        <v>74</v>
      </c>
      <c r="BP615" t="s">
        <v>74</v>
      </c>
      <c r="BQ615" t="s">
        <v>74</v>
      </c>
      <c r="BR615" t="s">
        <v>103</v>
      </c>
      <c r="BS615" t="s">
        <v>12019</v>
      </c>
      <c r="BT615" t="str">
        <f>HYPERLINK("https%3A%2F%2Fwww.webofscience.com%2Fwos%2Fwoscc%2Ffull-record%2FWOS:000325827700050","View Full Record in Web of Science")</f>
        <v>View Full Record in Web of Science</v>
      </c>
    </row>
    <row r="616" spans="1:72" x14ac:dyDescent="0.15">
      <c r="A616" t="s">
        <v>72</v>
      </c>
      <c r="B616" t="s">
        <v>12020</v>
      </c>
      <c r="C616" t="s">
        <v>74</v>
      </c>
      <c r="D616" t="s">
        <v>74</v>
      </c>
      <c r="E616" t="s">
        <v>74</v>
      </c>
      <c r="F616" t="s">
        <v>12021</v>
      </c>
      <c r="G616" t="s">
        <v>74</v>
      </c>
      <c r="H616" t="s">
        <v>74</v>
      </c>
      <c r="I616" t="s">
        <v>12022</v>
      </c>
      <c r="J616" t="s">
        <v>12023</v>
      </c>
      <c r="K616" t="s">
        <v>74</v>
      </c>
      <c r="L616" t="s">
        <v>74</v>
      </c>
      <c r="M616" t="s">
        <v>78</v>
      </c>
      <c r="N616" t="s">
        <v>79</v>
      </c>
      <c r="O616" t="s">
        <v>74</v>
      </c>
      <c r="P616" t="s">
        <v>74</v>
      </c>
      <c r="Q616" t="s">
        <v>74</v>
      </c>
      <c r="R616" t="s">
        <v>74</v>
      </c>
      <c r="S616" t="s">
        <v>74</v>
      </c>
      <c r="T616" t="s">
        <v>12024</v>
      </c>
      <c r="U616" t="s">
        <v>12025</v>
      </c>
      <c r="V616" t="s">
        <v>12026</v>
      </c>
      <c r="W616" t="s">
        <v>12027</v>
      </c>
      <c r="X616" t="s">
        <v>12028</v>
      </c>
      <c r="Y616" t="s">
        <v>12029</v>
      </c>
      <c r="Z616" t="s">
        <v>12030</v>
      </c>
      <c r="AA616" t="s">
        <v>74</v>
      </c>
      <c r="AB616" t="s">
        <v>12031</v>
      </c>
      <c r="AC616" t="s">
        <v>74</v>
      </c>
      <c r="AD616" t="s">
        <v>74</v>
      </c>
      <c r="AE616" t="s">
        <v>74</v>
      </c>
      <c r="AF616" t="s">
        <v>74</v>
      </c>
      <c r="AG616">
        <v>37</v>
      </c>
      <c r="AH616">
        <v>25</v>
      </c>
      <c r="AI616">
        <v>28</v>
      </c>
      <c r="AJ616">
        <v>2</v>
      </c>
      <c r="AK616">
        <v>13</v>
      </c>
      <c r="AL616" t="s">
        <v>624</v>
      </c>
      <c r="AM616" t="s">
        <v>411</v>
      </c>
      <c r="AN616" t="s">
        <v>412</v>
      </c>
      <c r="AO616" t="s">
        <v>12032</v>
      </c>
      <c r="AP616" t="s">
        <v>12033</v>
      </c>
      <c r="AQ616" t="s">
        <v>74</v>
      </c>
      <c r="AR616" t="s">
        <v>12034</v>
      </c>
      <c r="AS616" t="s">
        <v>12035</v>
      </c>
      <c r="AT616" t="s">
        <v>11635</v>
      </c>
      <c r="AU616">
        <v>2013</v>
      </c>
      <c r="AV616">
        <v>33</v>
      </c>
      <c r="AW616">
        <v>12</v>
      </c>
      <c r="AX616" t="s">
        <v>74</v>
      </c>
      <c r="AY616" t="s">
        <v>74</v>
      </c>
      <c r="AZ616" t="s">
        <v>74</v>
      </c>
      <c r="BA616" t="s">
        <v>74</v>
      </c>
      <c r="BB616">
        <v>2758</v>
      </c>
      <c r="BC616">
        <v>2767</v>
      </c>
      <c r="BD616" t="s">
        <v>74</v>
      </c>
      <c r="BE616" t="s">
        <v>12036</v>
      </c>
      <c r="BF616" t="str">
        <f>HYPERLINK("http://dx.doi.org/10.1002/joc.3618","http://dx.doi.org/10.1002/joc.3618")</f>
        <v>http://dx.doi.org/10.1002/joc.3618</v>
      </c>
      <c r="BG616" t="s">
        <v>74</v>
      </c>
      <c r="BH616" t="s">
        <v>74</v>
      </c>
      <c r="BI616">
        <v>10</v>
      </c>
      <c r="BJ616" t="s">
        <v>1503</v>
      </c>
      <c r="BK616" t="s">
        <v>99</v>
      </c>
      <c r="BL616" t="s">
        <v>1503</v>
      </c>
      <c r="BM616" t="s">
        <v>12037</v>
      </c>
      <c r="BN616" t="s">
        <v>74</v>
      </c>
      <c r="BO616" t="s">
        <v>831</v>
      </c>
      <c r="BP616" t="s">
        <v>74</v>
      </c>
      <c r="BQ616" t="s">
        <v>74</v>
      </c>
      <c r="BR616" t="s">
        <v>103</v>
      </c>
      <c r="BS616" t="s">
        <v>12038</v>
      </c>
      <c r="BT616" t="str">
        <f>HYPERLINK("https%3A%2F%2Fwww.webofscience.com%2Fwos%2Fwoscc%2Ffull-record%2FWOS:000325497400012","View Full Record in Web of Science")</f>
        <v>View Full Record in Web of Science</v>
      </c>
    </row>
    <row r="617" spans="1:72" x14ac:dyDescent="0.15">
      <c r="A617" t="s">
        <v>72</v>
      </c>
      <c r="B617" t="s">
        <v>12039</v>
      </c>
      <c r="C617" t="s">
        <v>74</v>
      </c>
      <c r="D617" t="s">
        <v>74</v>
      </c>
      <c r="E617" t="s">
        <v>74</v>
      </c>
      <c r="F617" t="s">
        <v>12040</v>
      </c>
      <c r="G617" t="s">
        <v>74</v>
      </c>
      <c r="H617" t="s">
        <v>74</v>
      </c>
      <c r="I617" t="s">
        <v>12041</v>
      </c>
      <c r="J617" t="s">
        <v>12042</v>
      </c>
      <c r="K617" t="s">
        <v>74</v>
      </c>
      <c r="L617" t="s">
        <v>74</v>
      </c>
      <c r="M617" t="s">
        <v>78</v>
      </c>
      <c r="N617" t="s">
        <v>79</v>
      </c>
      <c r="O617" t="s">
        <v>74</v>
      </c>
      <c r="P617" t="s">
        <v>74</v>
      </c>
      <c r="Q617" t="s">
        <v>74</v>
      </c>
      <c r="R617" t="s">
        <v>74</v>
      </c>
      <c r="S617" t="s">
        <v>74</v>
      </c>
      <c r="T617" t="s">
        <v>12043</v>
      </c>
      <c r="U617" t="s">
        <v>12044</v>
      </c>
      <c r="V617" t="s">
        <v>12045</v>
      </c>
      <c r="W617" t="s">
        <v>12046</v>
      </c>
      <c r="X617" t="s">
        <v>12047</v>
      </c>
      <c r="Y617" t="s">
        <v>12048</v>
      </c>
      <c r="Z617" t="s">
        <v>74</v>
      </c>
      <c r="AA617" t="s">
        <v>74</v>
      </c>
      <c r="AB617" t="s">
        <v>12049</v>
      </c>
      <c r="AC617" t="s">
        <v>12050</v>
      </c>
      <c r="AD617" t="s">
        <v>12050</v>
      </c>
      <c r="AE617" t="s">
        <v>12051</v>
      </c>
      <c r="AF617" t="s">
        <v>74</v>
      </c>
      <c r="AG617">
        <v>51</v>
      </c>
      <c r="AH617">
        <v>62</v>
      </c>
      <c r="AI617">
        <v>65</v>
      </c>
      <c r="AJ617">
        <v>0</v>
      </c>
      <c r="AK617">
        <v>18</v>
      </c>
      <c r="AL617" t="s">
        <v>582</v>
      </c>
      <c r="AM617" t="s">
        <v>305</v>
      </c>
      <c r="AN617" t="s">
        <v>583</v>
      </c>
      <c r="AO617" t="s">
        <v>12052</v>
      </c>
      <c r="AP617" t="s">
        <v>12053</v>
      </c>
      <c r="AQ617" t="s">
        <v>74</v>
      </c>
      <c r="AR617" t="s">
        <v>12054</v>
      </c>
      <c r="AS617" t="s">
        <v>12055</v>
      </c>
      <c r="AT617" t="s">
        <v>12056</v>
      </c>
      <c r="AU617">
        <v>2013</v>
      </c>
      <c r="AV617">
        <v>344</v>
      </c>
      <c r="AW617" t="s">
        <v>74</v>
      </c>
      <c r="AX617" t="s">
        <v>74</v>
      </c>
      <c r="AY617" t="s">
        <v>74</v>
      </c>
      <c r="AZ617" t="s">
        <v>74</v>
      </c>
      <c r="BA617" t="s">
        <v>74</v>
      </c>
      <c r="BB617">
        <v>1</v>
      </c>
      <c r="BC617">
        <v>9</v>
      </c>
      <c r="BD617" t="s">
        <v>74</v>
      </c>
      <c r="BE617" t="s">
        <v>12057</v>
      </c>
      <c r="BF617" t="str">
        <f>HYPERLINK("http://dx.doi.org/10.1016/j.margeo.2013.06.019","http://dx.doi.org/10.1016/j.margeo.2013.06.019")</f>
        <v>http://dx.doi.org/10.1016/j.margeo.2013.06.019</v>
      </c>
      <c r="BG617" t="s">
        <v>74</v>
      </c>
      <c r="BH617" t="s">
        <v>74</v>
      </c>
      <c r="BI617">
        <v>9</v>
      </c>
      <c r="BJ617" t="s">
        <v>12058</v>
      </c>
      <c r="BK617" t="s">
        <v>99</v>
      </c>
      <c r="BL617" t="s">
        <v>12059</v>
      </c>
      <c r="BM617" t="s">
        <v>12060</v>
      </c>
      <c r="BN617" t="s">
        <v>74</v>
      </c>
      <c r="BO617" t="s">
        <v>524</v>
      </c>
      <c r="BP617" t="s">
        <v>74</v>
      </c>
      <c r="BQ617" t="s">
        <v>74</v>
      </c>
      <c r="BR617" t="s">
        <v>103</v>
      </c>
      <c r="BS617" t="s">
        <v>12061</v>
      </c>
      <c r="BT617" t="str">
        <f>HYPERLINK("https%3A%2F%2Fwww.webofscience.com%2Fwos%2Fwoscc%2Ffull-record%2FWOS:000325600500001","View Full Record in Web of Science")</f>
        <v>View Full Record in Web of Science</v>
      </c>
    </row>
    <row r="618" spans="1:72" x14ac:dyDescent="0.15">
      <c r="A618" t="s">
        <v>72</v>
      </c>
      <c r="B618" t="s">
        <v>12062</v>
      </c>
      <c r="C618" t="s">
        <v>74</v>
      </c>
      <c r="D618" t="s">
        <v>74</v>
      </c>
      <c r="E618" t="s">
        <v>74</v>
      </c>
      <c r="F618" t="s">
        <v>12063</v>
      </c>
      <c r="G618" t="s">
        <v>74</v>
      </c>
      <c r="H618" t="s">
        <v>74</v>
      </c>
      <c r="I618" t="s">
        <v>12064</v>
      </c>
      <c r="J618" t="s">
        <v>12065</v>
      </c>
      <c r="K618" t="s">
        <v>74</v>
      </c>
      <c r="L618" t="s">
        <v>74</v>
      </c>
      <c r="M618" t="s">
        <v>78</v>
      </c>
      <c r="N618" t="s">
        <v>79</v>
      </c>
      <c r="O618" t="s">
        <v>74</v>
      </c>
      <c r="P618" t="s">
        <v>74</v>
      </c>
      <c r="Q618" t="s">
        <v>74</v>
      </c>
      <c r="R618" t="s">
        <v>74</v>
      </c>
      <c r="S618" t="s">
        <v>74</v>
      </c>
      <c r="T618" t="s">
        <v>12066</v>
      </c>
      <c r="U618" t="s">
        <v>12067</v>
      </c>
      <c r="V618" t="s">
        <v>12068</v>
      </c>
      <c r="W618" t="s">
        <v>12069</v>
      </c>
      <c r="X618" t="s">
        <v>12070</v>
      </c>
      <c r="Y618" t="s">
        <v>12071</v>
      </c>
      <c r="Z618" t="s">
        <v>12072</v>
      </c>
      <c r="AA618" t="s">
        <v>12073</v>
      </c>
      <c r="AB618" t="s">
        <v>12074</v>
      </c>
      <c r="AC618" t="s">
        <v>12075</v>
      </c>
      <c r="AD618" t="s">
        <v>12076</v>
      </c>
      <c r="AE618" t="s">
        <v>12077</v>
      </c>
      <c r="AF618" t="s">
        <v>74</v>
      </c>
      <c r="AG618">
        <v>79</v>
      </c>
      <c r="AH618">
        <v>26</v>
      </c>
      <c r="AI618">
        <v>28</v>
      </c>
      <c r="AJ618">
        <v>0</v>
      </c>
      <c r="AK618">
        <v>83</v>
      </c>
      <c r="AL618" t="s">
        <v>410</v>
      </c>
      <c r="AM618" t="s">
        <v>411</v>
      </c>
      <c r="AN618" t="s">
        <v>412</v>
      </c>
      <c r="AO618" t="s">
        <v>12078</v>
      </c>
      <c r="AP618" t="s">
        <v>12079</v>
      </c>
      <c r="AQ618" t="s">
        <v>74</v>
      </c>
      <c r="AR618" t="s">
        <v>12080</v>
      </c>
      <c r="AS618" t="s">
        <v>12081</v>
      </c>
      <c r="AT618" t="s">
        <v>11635</v>
      </c>
      <c r="AU618">
        <v>2013</v>
      </c>
      <c r="AV618">
        <v>22</v>
      </c>
      <c r="AW618">
        <v>20</v>
      </c>
      <c r="AX618" t="s">
        <v>74</v>
      </c>
      <c r="AY618" t="s">
        <v>74</v>
      </c>
      <c r="AZ618" t="s">
        <v>74</v>
      </c>
      <c r="BA618" t="s">
        <v>74</v>
      </c>
      <c r="BB618">
        <v>5148</v>
      </c>
      <c r="BC618">
        <v>5161</v>
      </c>
      <c r="BD618" t="s">
        <v>74</v>
      </c>
      <c r="BE618" t="s">
        <v>12082</v>
      </c>
      <c r="BF618" t="str">
        <f>HYPERLINK("http://dx.doi.org/10.1111/mec.12458","http://dx.doi.org/10.1111/mec.12458")</f>
        <v>http://dx.doi.org/10.1111/mec.12458</v>
      </c>
      <c r="BG618" t="s">
        <v>74</v>
      </c>
      <c r="BH618" t="s">
        <v>74</v>
      </c>
      <c r="BI618">
        <v>14</v>
      </c>
      <c r="BJ618" t="s">
        <v>5353</v>
      </c>
      <c r="BK618" t="s">
        <v>99</v>
      </c>
      <c r="BL618" t="s">
        <v>5354</v>
      </c>
      <c r="BM618" t="s">
        <v>12083</v>
      </c>
      <c r="BN618">
        <v>23962255</v>
      </c>
      <c r="BO618" t="s">
        <v>74</v>
      </c>
      <c r="BP618" t="s">
        <v>74</v>
      </c>
      <c r="BQ618" t="s">
        <v>74</v>
      </c>
      <c r="BR618" t="s">
        <v>103</v>
      </c>
      <c r="BS618" t="s">
        <v>12084</v>
      </c>
      <c r="BT618" t="str">
        <f>HYPERLINK("https%3A%2F%2Fwww.webofscience.com%2Fwos%2Fwoscc%2Ffull-record%2FWOS:000325550000008","View Full Record in Web of Science")</f>
        <v>View Full Record in Web of Science</v>
      </c>
    </row>
    <row r="619" spans="1:72" x14ac:dyDescent="0.15">
      <c r="A619" t="s">
        <v>72</v>
      </c>
      <c r="B619" t="s">
        <v>12085</v>
      </c>
      <c r="C619" t="s">
        <v>74</v>
      </c>
      <c r="D619" t="s">
        <v>74</v>
      </c>
      <c r="E619" t="s">
        <v>74</v>
      </c>
      <c r="F619" t="s">
        <v>12086</v>
      </c>
      <c r="G619" t="s">
        <v>74</v>
      </c>
      <c r="H619" t="s">
        <v>74</v>
      </c>
      <c r="I619" t="s">
        <v>12087</v>
      </c>
      <c r="J619" t="s">
        <v>6033</v>
      </c>
      <c r="K619" t="s">
        <v>74</v>
      </c>
      <c r="L619" t="s">
        <v>74</v>
      </c>
      <c r="M619" t="s">
        <v>78</v>
      </c>
      <c r="N619" t="s">
        <v>79</v>
      </c>
      <c r="O619" t="s">
        <v>74</v>
      </c>
      <c r="P619" t="s">
        <v>74</v>
      </c>
      <c r="Q619" t="s">
        <v>74</v>
      </c>
      <c r="R619" t="s">
        <v>74</v>
      </c>
      <c r="S619" t="s">
        <v>74</v>
      </c>
      <c r="T619" t="s">
        <v>74</v>
      </c>
      <c r="U619" t="s">
        <v>12088</v>
      </c>
      <c r="V619" t="s">
        <v>12089</v>
      </c>
      <c r="W619" t="s">
        <v>12090</v>
      </c>
      <c r="X619" t="s">
        <v>12091</v>
      </c>
      <c r="Y619" t="s">
        <v>12092</v>
      </c>
      <c r="Z619" t="s">
        <v>12093</v>
      </c>
      <c r="AA619" t="s">
        <v>12094</v>
      </c>
      <c r="AB619" t="s">
        <v>12095</v>
      </c>
      <c r="AC619" t="s">
        <v>12096</v>
      </c>
      <c r="AD619" t="s">
        <v>12097</v>
      </c>
      <c r="AE619" t="s">
        <v>12098</v>
      </c>
      <c r="AF619" t="s">
        <v>74</v>
      </c>
      <c r="AG619">
        <v>28</v>
      </c>
      <c r="AH619">
        <v>89</v>
      </c>
      <c r="AI619">
        <v>99</v>
      </c>
      <c r="AJ619">
        <v>0</v>
      </c>
      <c r="AK619">
        <v>40</v>
      </c>
      <c r="AL619" t="s">
        <v>1371</v>
      </c>
      <c r="AM619" t="s">
        <v>921</v>
      </c>
      <c r="AN619" t="s">
        <v>6039</v>
      </c>
      <c r="AO619" t="s">
        <v>6040</v>
      </c>
      <c r="AP619" t="s">
        <v>6041</v>
      </c>
      <c r="AQ619" t="s">
        <v>74</v>
      </c>
      <c r="AR619" t="s">
        <v>6042</v>
      </c>
      <c r="AS619" t="s">
        <v>6043</v>
      </c>
      <c r="AT619" t="s">
        <v>11635</v>
      </c>
      <c r="AU619">
        <v>2013</v>
      </c>
      <c r="AV619">
        <v>6</v>
      </c>
      <c r="AW619">
        <v>10</v>
      </c>
      <c r="AX619" t="s">
        <v>74</v>
      </c>
      <c r="AY619" t="s">
        <v>74</v>
      </c>
      <c r="AZ619" t="s">
        <v>74</v>
      </c>
      <c r="BA619" t="s">
        <v>74</v>
      </c>
      <c r="BB619">
        <v>833</v>
      </c>
      <c r="BC619">
        <v>836</v>
      </c>
      <c r="BD619" t="s">
        <v>74</v>
      </c>
      <c r="BE619" t="s">
        <v>12099</v>
      </c>
      <c r="BF619" t="str">
        <f>HYPERLINK("http://dx.doi.org/10.1038/NGEO1887","http://dx.doi.org/10.1038/NGEO1887")</f>
        <v>http://dx.doi.org/10.1038/NGEO1887</v>
      </c>
      <c r="BG619" t="s">
        <v>74</v>
      </c>
      <c r="BH619" t="s">
        <v>74</v>
      </c>
      <c r="BI619">
        <v>4</v>
      </c>
      <c r="BJ619" t="s">
        <v>337</v>
      </c>
      <c r="BK619" t="s">
        <v>99</v>
      </c>
      <c r="BL619" t="s">
        <v>338</v>
      </c>
      <c r="BM619" t="s">
        <v>12100</v>
      </c>
      <c r="BN619" t="s">
        <v>74</v>
      </c>
      <c r="BO619" t="s">
        <v>74</v>
      </c>
      <c r="BP619" t="s">
        <v>74</v>
      </c>
      <c r="BQ619" t="s">
        <v>74</v>
      </c>
      <c r="BR619" t="s">
        <v>103</v>
      </c>
      <c r="BS619" t="s">
        <v>12101</v>
      </c>
      <c r="BT619" t="str">
        <f>HYPERLINK("https%3A%2F%2Fwww.webofscience.com%2Fwos%2Fwoscc%2Ffull-record%2FWOS:000325003700013","View Full Record in Web of Science")</f>
        <v>View Full Record in Web of Science</v>
      </c>
    </row>
    <row r="620" spans="1:72" x14ac:dyDescent="0.15">
      <c r="A620" t="s">
        <v>72</v>
      </c>
      <c r="B620" t="s">
        <v>12102</v>
      </c>
      <c r="C620" t="s">
        <v>74</v>
      </c>
      <c r="D620" t="s">
        <v>74</v>
      </c>
      <c r="E620" t="s">
        <v>74</v>
      </c>
      <c r="F620" t="s">
        <v>12103</v>
      </c>
      <c r="G620" t="s">
        <v>74</v>
      </c>
      <c r="H620" t="s">
        <v>74</v>
      </c>
      <c r="I620" t="s">
        <v>12104</v>
      </c>
      <c r="J620" t="s">
        <v>4590</v>
      </c>
      <c r="K620" t="s">
        <v>74</v>
      </c>
      <c r="L620" t="s">
        <v>74</v>
      </c>
      <c r="M620" t="s">
        <v>78</v>
      </c>
      <c r="N620" t="s">
        <v>79</v>
      </c>
      <c r="O620" t="s">
        <v>74</v>
      </c>
      <c r="P620" t="s">
        <v>74</v>
      </c>
      <c r="Q620" t="s">
        <v>74</v>
      </c>
      <c r="R620" t="s">
        <v>74</v>
      </c>
      <c r="S620" t="s">
        <v>74</v>
      </c>
      <c r="T620" t="s">
        <v>12105</v>
      </c>
      <c r="U620" t="s">
        <v>12106</v>
      </c>
      <c r="V620" t="s">
        <v>12107</v>
      </c>
      <c r="W620" t="s">
        <v>12108</v>
      </c>
      <c r="X620" t="s">
        <v>12109</v>
      </c>
      <c r="Y620" t="s">
        <v>12110</v>
      </c>
      <c r="Z620" t="s">
        <v>12111</v>
      </c>
      <c r="AA620" t="s">
        <v>74</v>
      </c>
      <c r="AB620" t="s">
        <v>74</v>
      </c>
      <c r="AC620" t="s">
        <v>74</v>
      </c>
      <c r="AD620" t="s">
        <v>74</v>
      </c>
      <c r="AE620" t="s">
        <v>74</v>
      </c>
      <c r="AF620" t="s">
        <v>74</v>
      </c>
      <c r="AG620">
        <v>103</v>
      </c>
      <c r="AH620">
        <v>20</v>
      </c>
      <c r="AI620">
        <v>23</v>
      </c>
      <c r="AJ620">
        <v>0</v>
      </c>
      <c r="AK620">
        <v>21</v>
      </c>
      <c r="AL620" t="s">
        <v>304</v>
      </c>
      <c r="AM620" t="s">
        <v>305</v>
      </c>
      <c r="AN620" t="s">
        <v>306</v>
      </c>
      <c r="AO620" t="s">
        <v>4603</v>
      </c>
      <c r="AP620" t="s">
        <v>4604</v>
      </c>
      <c r="AQ620" t="s">
        <v>74</v>
      </c>
      <c r="AR620" t="s">
        <v>4605</v>
      </c>
      <c r="AS620" t="s">
        <v>4606</v>
      </c>
      <c r="AT620" t="s">
        <v>12056</v>
      </c>
      <c r="AU620">
        <v>2013</v>
      </c>
      <c r="AV620">
        <v>387</v>
      </c>
      <c r="AW620" t="s">
        <v>74</v>
      </c>
      <c r="AX620" t="s">
        <v>74</v>
      </c>
      <c r="AY620" t="s">
        <v>74</v>
      </c>
      <c r="AZ620" t="s">
        <v>74</v>
      </c>
      <c r="BA620" t="s">
        <v>74</v>
      </c>
      <c r="BB620">
        <v>104</v>
      </c>
      <c r="BC620">
        <v>125</v>
      </c>
      <c r="BD620" t="s">
        <v>74</v>
      </c>
      <c r="BE620" t="s">
        <v>12112</v>
      </c>
      <c r="BF620" t="str">
        <f>HYPERLINK("http://dx.doi.org/10.1016/j.palaeo.2013.07.020","http://dx.doi.org/10.1016/j.palaeo.2013.07.020")</f>
        <v>http://dx.doi.org/10.1016/j.palaeo.2013.07.020</v>
      </c>
      <c r="BG620" t="s">
        <v>74</v>
      </c>
      <c r="BH620" t="s">
        <v>74</v>
      </c>
      <c r="BI620">
        <v>22</v>
      </c>
      <c r="BJ620" t="s">
        <v>4608</v>
      </c>
      <c r="BK620" t="s">
        <v>99</v>
      </c>
      <c r="BL620" t="s">
        <v>4609</v>
      </c>
      <c r="BM620" t="s">
        <v>12113</v>
      </c>
      <c r="BN620" t="s">
        <v>74</v>
      </c>
      <c r="BO620" t="s">
        <v>524</v>
      </c>
      <c r="BP620" t="s">
        <v>74</v>
      </c>
      <c r="BQ620" t="s">
        <v>74</v>
      </c>
      <c r="BR620" t="s">
        <v>103</v>
      </c>
      <c r="BS620" t="s">
        <v>12114</v>
      </c>
      <c r="BT620" t="str">
        <f>HYPERLINK("https%3A%2F%2Fwww.webofscience.com%2Fwos%2Fwoscc%2Ffull-record%2FWOS:000325599000010","View Full Record in Web of Science")</f>
        <v>View Full Record in Web of Science</v>
      </c>
    </row>
    <row r="621" spans="1:72" x14ac:dyDescent="0.15">
      <c r="A621" t="s">
        <v>72</v>
      </c>
      <c r="B621" t="s">
        <v>12115</v>
      </c>
      <c r="C621" t="s">
        <v>74</v>
      </c>
      <c r="D621" t="s">
        <v>74</v>
      </c>
      <c r="E621" t="s">
        <v>74</v>
      </c>
      <c r="F621" t="s">
        <v>12116</v>
      </c>
      <c r="G621" t="s">
        <v>74</v>
      </c>
      <c r="H621" t="s">
        <v>74</v>
      </c>
      <c r="I621" t="s">
        <v>12117</v>
      </c>
      <c r="J621" t="s">
        <v>5635</v>
      </c>
      <c r="K621" t="s">
        <v>74</v>
      </c>
      <c r="L621" t="s">
        <v>74</v>
      </c>
      <c r="M621" t="s">
        <v>78</v>
      </c>
      <c r="N621" t="s">
        <v>79</v>
      </c>
      <c r="O621" t="s">
        <v>74</v>
      </c>
      <c r="P621" t="s">
        <v>74</v>
      </c>
      <c r="Q621" t="s">
        <v>74</v>
      </c>
      <c r="R621" t="s">
        <v>74</v>
      </c>
      <c r="S621" t="s">
        <v>74</v>
      </c>
      <c r="T621" t="s">
        <v>12118</v>
      </c>
      <c r="U621" t="s">
        <v>12119</v>
      </c>
      <c r="V621" t="s">
        <v>12120</v>
      </c>
      <c r="W621" t="s">
        <v>12121</v>
      </c>
      <c r="X621" t="s">
        <v>12122</v>
      </c>
      <c r="Y621" t="s">
        <v>12123</v>
      </c>
      <c r="Z621" t="s">
        <v>12124</v>
      </c>
      <c r="AA621" t="s">
        <v>12125</v>
      </c>
      <c r="AB621" t="s">
        <v>12126</v>
      </c>
      <c r="AC621" t="s">
        <v>12127</v>
      </c>
      <c r="AD621" t="s">
        <v>12128</v>
      </c>
      <c r="AE621" t="s">
        <v>12129</v>
      </c>
      <c r="AF621" t="s">
        <v>74</v>
      </c>
      <c r="AG621">
        <v>40</v>
      </c>
      <c r="AH621">
        <v>15</v>
      </c>
      <c r="AI621">
        <v>15</v>
      </c>
      <c r="AJ621">
        <v>0</v>
      </c>
      <c r="AK621">
        <v>21</v>
      </c>
      <c r="AL621" t="s">
        <v>1748</v>
      </c>
      <c r="AM621" t="s">
        <v>921</v>
      </c>
      <c r="AN621" t="s">
        <v>3232</v>
      </c>
      <c r="AO621" t="s">
        <v>5647</v>
      </c>
      <c r="AP621" t="s">
        <v>5648</v>
      </c>
      <c r="AQ621" t="s">
        <v>74</v>
      </c>
      <c r="AR621" t="s">
        <v>5649</v>
      </c>
      <c r="AS621" t="s">
        <v>5650</v>
      </c>
      <c r="AT621" t="s">
        <v>11635</v>
      </c>
      <c r="AU621">
        <v>2013</v>
      </c>
      <c r="AV621">
        <v>25</v>
      </c>
      <c r="AW621">
        <v>5</v>
      </c>
      <c r="AX621" t="s">
        <v>74</v>
      </c>
      <c r="AY621" t="s">
        <v>74</v>
      </c>
      <c r="AZ621" t="s">
        <v>74</v>
      </c>
      <c r="BA621" t="s">
        <v>74</v>
      </c>
      <c r="BB621">
        <v>619</v>
      </c>
      <c r="BC621">
        <v>636</v>
      </c>
      <c r="BD621" t="s">
        <v>74</v>
      </c>
      <c r="BE621" t="s">
        <v>12130</v>
      </c>
      <c r="BF621" t="str">
        <f>HYPERLINK("http://dx.doi.org/10.1017/S0954102012001265","http://dx.doi.org/10.1017/S0954102012001265")</f>
        <v>http://dx.doi.org/10.1017/S0954102012001265</v>
      </c>
      <c r="BG621" t="s">
        <v>74</v>
      </c>
      <c r="BH621" t="s">
        <v>74</v>
      </c>
      <c r="BI621">
        <v>18</v>
      </c>
      <c r="BJ621" t="s">
        <v>5652</v>
      </c>
      <c r="BK621" t="s">
        <v>99</v>
      </c>
      <c r="BL621" t="s">
        <v>5653</v>
      </c>
      <c r="BM621" t="s">
        <v>12131</v>
      </c>
      <c r="BN621" t="s">
        <v>74</v>
      </c>
      <c r="BO621" t="s">
        <v>74</v>
      </c>
      <c r="BP621" t="s">
        <v>74</v>
      </c>
      <c r="BQ621" t="s">
        <v>74</v>
      </c>
      <c r="BR621" t="s">
        <v>103</v>
      </c>
      <c r="BS621" t="s">
        <v>12132</v>
      </c>
      <c r="BT621" t="str">
        <f>HYPERLINK("https%3A%2F%2Fwww.webofscience.com%2Fwos%2Fwoscc%2Ffull-record%2FWOS:000325404500003","View Full Record in Web of Science")</f>
        <v>View Full Record in Web of Science</v>
      </c>
    </row>
    <row r="622" spans="1:72" x14ac:dyDescent="0.15">
      <c r="A622" t="s">
        <v>72</v>
      </c>
      <c r="B622" t="s">
        <v>12133</v>
      </c>
      <c r="C622" t="s">
        <v>74</v>
      </c>
      <c r="D622" t="s">
        <v>74</v>
      </c>
      <c r="E622" t="s">
        <v>74</v>
      </c>
      <c r="F622" t="s">
        <v>12134</v>
      </c>
      <c r="G622" t="s">
        <v>74</v>
      </c>
      <c r="H622" t="s">
        <v>74</v>
      </c>
      <c r="I622" t="s">
        <v>12135</v>
      </c>
      <c r="J622" t="s">
        <v>5635</v>
      </c>
      <c r="K622" t="s">
        <v>74</v>
      </c>
      <c r="L622" t="s">
        <v>74</v>
      </c>
      <c r="M622" t="s">
        <v>78</v>
      </c>
      <c r="N622" t="s">
        <v>79</v>
      </c>
      <c r="O622" t="s">
        <v>74</v>
      </c>
      <c r="P622" t="s">
        <v>74</v>
      </c>
      <c r="Q622" t="s">
        <v>74</v>
      </c>
      <c r="R622" t="s">
        <v>74</v>
      </c>
      <c r="S622" t="s">
        <v>74</v>
      </c>
      <c r="T622" t="s">
        <v>12136</v>
      </c>
      <c r="U622" t="s">
        <v>12137</v>
      </c>
      <c r="V622" t="s">
        <v>12138</v>
      </c>
      <c r="W622" t="s">
        <v>12139</v>
      </c>
      <c r="X622" t="s">
        <v>12140</v>
      </c>
      <c r="Y622" t="s">
        <v>12141</v>
      </c>
      <c r="Z622" t="s">
        <v>12142</v>
      </c>
      <c r="AA622" t="s">
        <v>12143</v>
      </c>
      <c r="AB622" t="s">
        <v>12144</v>
      </c>
      <c r="AC622" t="s">
        <v>12145</v>
      </c>
      <c r="AD622" t="s">
        <v>12146</v>
      </c>
      <c r="AE622" t="s">
        <v>12147</v>
      </c>
      <c r="AF622" t="s">
        <v>74</v>
      </c>
      <c r="AG622">
        <v>36</v>
      </c>
      <c r="AH622">
        <v>44</v>
      </c>
      <c r="AI622">
        <v>50</v>
      </c>
      <c r="AJ622">
        <v>1</v>
      </c>
      <c r="AK622">
        <v>75</v>
      </c>
      <c r="AL622" t="s">
        <v>1748</v>
      </c>
      <c r="AM622" t="s">
        <v>921</v>
      </c>
      <c r="AN622" t="s">
        <v>3232</v>
      </c>
      <c r="AO622" t="s">
        <v>5647</v>
      </c>
      <c r="AP622" t="s">
        <v>5648</v>
      </c>
      <c r="AQ622" t="s">
        <v>74</v>
      </c>
      <c r="AR622" t="s">
        <v>5649</v>
      </c>
      <c r="AS622" t="s">
        <v>5650</v>
      </c>
      <c r="AT622" t="s">
        <v>11635</v>
      </c>
      <c r="AU622">
        <v>2013</v>
      </c>
      <c r="AV622">
        <v>25</v>
      </c>
      <c r="AW622">
        <v>5</v>
      </c>
      <c r="AX622" t="s">
        <v>74</v>
      </c>
      <c r="AY622" t="s">
        <v>74</v>
      </c>
      <c r="AZ622" t="s">
        <v>74</v>
      </c>
      <c r="BA622" t="s">
        <v>74</v>
      </c>
      <c r="BB622">
        <v>637</v>
      </c>
      <c r="BC622">
        <v>647</v>
      </c>
      <c r="BD622" t="s">
        <v>74</v>
      </c>
      <c r="BE622" t="s">
        <v>12148</v>
      </c>
      <c r="BF622" t="str">
        <f>HYPERLINK("http://dx.doi.org/10.1017/S0954102013000035","http://dx.doi.org/10.1017/S0954102013000035")</f>
        <v>http://dx.doi.org/10.1017/S0954102013000035</v>
      </c>
      <c r="BG622" t="s">
        <v>74</v>
      </c>
      <c r="BH622" t="s">
        <v>74</v>
      </c>
      <c r="BI622">
        <v>11</v>
      </c>
      <c r="BJ622" t="s">
        <v>5652</v>
      </c>
      <c r="BK622" t="s">
        <v>99</v>
      </c>
      <c r="BL622" t="s">
        <v>5653</v>
      </c>
      <c r="BM622" t="s">
        <v>12131</v>
      </c>
      <c r="BN622" t="s">
        <v>74</v>
      </c>
      <c r="BO622" t="s">
        <v>74</v>
      </c>
      <c r="BP622" t="s">
        <v>74</v>
      </c>
      <c r="BQ622" t="s">
        <v>74</v>
      </c>
      <c r="BR622" t="s">
        <v>103</v>
      </c>
      <c r="BS622" t="s">
        <v>12149</v>
      </c>
      <c r="BT622" t="str">
        <f>HYPERLINK("https%3A%2F%2Fwww.webofscience.com%2Fwos%2Fwoscc%2Ffull-record%2FWOS:000325404500004","View Full Record in Web of Science")</f>
        <v>View Full Record in Web of Science</v>
      </c>
    </row>
    <row r="623" spans="1:72" x14ac:dyDescent="0.15">
      <c r="A623" t="s">
        <v>72</v>
      </c>
      <c r="B623" t="s">
        <v>12150</v>
      </c>
      <c r="C623" t="s">
        <v>74</v>
      </c>
      <c r="D623" t="s">
        <v>74</v>
      </c>
      <c r="E623" t="s">
        <v>74</v>
      </c>
      <c r="F623" t="s">
        <v>12151</v>
      </c>
      <c r="G623" t="s">
        <v>74</v>
      </c>
      <c r="H623" t="s">
        <v>74</v>
      </c>
      <c r="I623" t="s">
        <v>12152</v>
      </c>
      <c r="J623" t="s">
        <v>5635</v>
      </c>
      <c r="K623" t="s">
        <v>74</v>
      </c>
      <c r="L623" t="s">
        <v>74</v>
      </c>
      <c r="M623" t="s">
        <v>78</v>
      </c>
      <c r="N623" t="s">
        <v>79</v>
      </c>
      <c r="O623" t="s">
        <v>74</v>
      </c>
      <c r="P623" t="s">
        <v>74</v>
      </c>
      <c r="Q623" t="s">
        <v>74</v>
      </c>
      <c r="R623" t="s">
        <v>74</v>
      </c>
      <c r="S623" t="s">
        <v>74</v>
      </c>
      <c r="T623" t="s">
        <v>12153</v>
      </c>
      <c r="U623" t="s">
        <v>12154</v>
      </c>
      <c r="V623" t="s">
        <v>12155</v>
      </c>
      <c r="W623" t="s">
        <v>12156</v>
      </c>
      <c r="X623" t="s">
        <v>12157</v>
      </c>
      <c r="Y623" t="s">
        <v>12158</v>
      </c>
      <c r="Z623" t="s">
        <v>12159</v>
      </c>
      <c r="AA623" t="s">
        <v>74</v>
      </c>
      <c r="AB623" t="s">
        <v>74</v>
      </c>
      <c r="AC623" t="s">
        <v>12160</v>
      </c>
      <c r="AD623" t="s">
        <v>12160</v>
      </c>
      <c r="AE623" t="s">
        <v>12161</v>
      </c>
      <c r="AF623" t="s">
        <v>74</v>
      </c>
      <c r="AG623">
        <v>16</v>
      </c>
      <c r="AH623">
        <v>1</v>
      </c>
      <c r="AI623">
        <v>3</v>
      </c>
      <c r="AJ623">
        <v>0</v>
      </c>
      <c r="AK623">
        <v>7</v>
      </c>
      <c r="AL623" t="s">
        <v>1748</v>
      </c>
      <c r="AM623" t="s">
        <v>921</v>
      </c>
      <c r="AN623" t="s">
        <v>3232</v>
      </c>
      <c r="AO623" t="s">
        <v>5647</v>
      </c>
      <c r="AP623" t="s">
        <v>5648</v>
      </c>
      <c r="AQ623" t="s">
        <v>74</v>
      </c>
      <c r="AR623" t="s">
        <v>5649</v>
      </c>
      <c r="AS623" t="s">
        <v>5650</v>
      </c>
      <c r="AT623" t="s">
        <v>11635</v>
      </c>
      <c r="AU623">
        <v>2013</v>
      </c>
      <c r="AV623">
        <v>25</v>
      </c>
      <c r="AW623">
        <v>5</v>
      </c>
      <c r="AX623" t="s">
        <v>74</v>
      </c>
      <c r="AY623" t="s">
        <v>74</v>
      </c>
      <c r="AZ623" t="s">
        <v>74</v>
      </c>
      <c r="BA623" t="s">
        <v>74</v>
      </c>
      <c r="BB623">
        <v>657</v>
      </c>
      <c r="BC623">
        <v>662</v>
      </c>
      <c r="BD623" t="s">
        <v>74</v>
      </c>
      <c r="BE623" t="s">
        <v>12162</v>
      </c>
      <c r="BF623" t="str">
        <f>HYPERLINK("http://dx.doi.org/10.1017/S0954102013000084","http://dx.doi.org/10.1017/S0954102013000084")</f>
        <v>http://dx.doi.org/10.1017/S0954102013000084</v>
      </c>
      <c r="BG623" t="s">
        <v>74</v>
      </c>
      <c r="BH623" t="s">
        <v>74</v>
      </c>
      <c r="BI623">
        <v>6</v>
      </c>
      <c r="BJ623" t="s">
        <v>5652</v>
      </c>
      <c r="BK623" t="s">
        <v>99</v>
      </c>
      <c r="BL623" t="s">
        <v>5653</v>
      </c>
      <c r="BM623" t="s">
        <v>12131</v>
      </c>
      <c r="BN623" t="s">
        <v>74</v>
      </c>
      <c r="BO623" t="s">
        <v>1145</v>
      </c>
      <c r="BP623" t="s">
        <v>74</v>
      </c>
      <c r="BQ623" t="s">
        <v>74</v>
      </c>
      <c r="BR623" t="s">
        <v>103</v>
      </c>
      <c r="BS623" t="s">
        <v>12163</v>
      </c>
      <c r="BT623" t="str">
        <f>HYPERLINK("https%3A%2F%2Fwww.webofscience.com%2Fwos%2Fwoscc%2Ffull-record%2FWOS:000325404500006","View Full Record in Web of Science")</f>
        <v>View Full Record in Web of Science</v>
      </c>
    </row>
    <row r="624" spans="1:72" x14ac:dyDescent="0.15">
      <c r="A624" t="s">
        <v>72</v>
      </c>
      <c r="B624" t="s">
        <v>12164</v>
      </c>
      <c r="C624" t="s">
        <v>74</v>
      </c>
      <c r="D624" t="s">
        <v>74</v>
      </c>
      <c r="E624" t="s">
        <v>74</v>
      </c>
      <c r="F624" t="s">
        <v>12165</v>
      </c>
      <c r="G624" t="s">
        <v>74</v>
      </c>
      <c r="H624" t="s">
        <v>74</v>
      </c>
      <c r="I624" t="s">
        <v>12166</v>
      </c>
      <c r="J624" t="s">
        <v>5635</v>
      </c>
      <c r="K624" t="s">
        <v>74</v>
      </c>
      <c r="L624" t="s">
        <v>74</v>
      </c>
      <c r="M624" t="s">
        <v>78</v>
      </c>
      <c r="N624" t="s">
        <v>79</v>
      </c>
      <c r="O624" t="s">
        <v>74</v>
      </c>
      <c r="P624" t="s">
        <v>74</v>
      </c>
      <c r="Q624" t="s">
        <v>74</v>
      </c>
      <c r="R624" t="s">
        <v>74</v>
      </c>
      <c r="S624" t="s">
        <v>74</v>
      </c>
      <c r="T624" t="s">
        <v>12167</v>
      </c>
      <c r="U624" t="s">
        <v>12168</v>
      </c>
      <c r="V624" t="s">
        <v>12169</v>
      </c>
      <c r="W624" t="s">
        <v>12170</v>
      </c>
      <c r="X624" t="s">
        <v>12171</v>
      </c>
      <c r="Y624" t="s">
        <v>12172</v>
      </c>
      <c r="Z624" t="s">
        <v>10018</v>
      </c>
      <c r="AA624" t="s">
        <v>74</v>
      </c>
      <c r="AB624" t="s">
        <v>12173</v>
      </c>
      <c r="AC624" t="s">
        <v>12174</v>
      </c>
      <c r="AD624" t="s">
        <v>12175</v>
      </c>
      <c r="AE624" t="s">
        <v>12176</v>
      </c>
      <c r="AF624" t="s">
        <v>74</v>
      </c>
      <c r="AG624">
        <v>42</v>
      </c>
      <c r="AH624">
        <v>10</v>
      </c>
      <c r="AI624">
        <v>11</v>
      </c>
      <c r="AJ624">
        <v>1</v>
      </c>
      <c r="AK624">
        <v>25</v>
      </c>
      <c r="AL624" t="s">
        <v>1748</v>
      </c>
      <c r="AM624" t="s">
        <v>921</v>
      </c>
      <c r="AN624" t="s">
        <v>3232</v>
      </c>
      <c r="AO624" t="s">
        <v>5647</v>
      </c>
      <c r="AP624" t="s">
        <v>74</v>
      </c>
      <c r="AQ624" t="s">
        <v>74</v>
      </c>
      <c r="AR624" t="s">
        <v>5649</v>
      </c>
      <c r="AS624" t="s">
        <v>5650</v>
      </c>
      <c r="AT624" t="s">
        <v>11635</v>
      </c>
      <c r="AU624">
        <v>2013</v>
      </c>
      <c r="AV624">
        <v>25</v>
      </c>
      <c r="AW624">
        <v>5</v>
      </c>
      <c r="AX624" t="s">
        <v>74</v>
      </c>
      <c r="AY624" t="s">
        <v>74</v>
      </c>
      <c r="AZ624" t="s">
        <v>74</v>
      </c>
      <c r="BA624" t="s">
        <v>74</v>
      </c>
      <c r="BB624">
        <v>663</v>
      </c>
      <c r="BC624">
        <v>675</v>
      </c>
      <c r="BD624" t="s">
        <v>74</v>
      </c>
      <c r="BE624" t="s">
        <v>12177</v>
      </c>
      <c r="BF624" t="str">
        <f>HYPERLINK("http://dx.doi.org/10.1017/S0954102013000102","http://dx.doi.org/10.1017/S0954102013000102")</f>
        <v>http://dx.doi.org/10.1017/S0954102013000102</v>
      </c>
      <c r="BG624" t="s">
        <v>74</v>
      </c>
      <c r="BH624" t="s">
        <v>74</v>
      </c>
      <c r="BI624">
        <v>13</v>
      </c>
      <c r="BJ624" t="s">
        <v>5652</v>
      </c>
      <c r="BK624" t="s">
        <v>99</v>
      </c>
      <c r="BL624" t="s">
        <v>5653</v>
      </c>
      <c r="BM624" t="s">
        <v>12131</v>
      </c>
      <c r="BN624" t="s">
        <v>74</v>
      </c>
      <c r="BO624" t="s">
        <v>1145</v>
      </c>
      <c r="BP624" t="s">
        <v>74</v>
      </c>
      <c r="BQ624" t="s">
        <v>74</v>
      </c>
      <c r="BR624" t="s">
        <v>103</v>
      </c>
      <c r="BS624" t="s">
        <v>12178</v>
      </c>
      <c r="BT624" t="str">
        <f>HYPERLINK("https%3A%2F%2Fwww.webofscience.com%2Fwos%2Fwoscc%2Ffull-record%2FWOS:000325404500007","View Full Record in Web of Science")</f>
        <v>View Full Record in Web of Science</v>
      </c>
    </row>
    <row r="625" spans="1:72" x14ac:dyDescent="0.15">
      <c r="A625" t="s">
        <v>72</v>
      </c>
      <c r="B625" t="s">
        <v>12179</v>
      </c>
      <c r="C625" t="s">
        <v>74</v>
      </c>
      <c r="D625" t="s">
        <v>74</v>
      </c>
      <c r="E625" t="s">
        <v>74</v>
      </c>
      <c r="F625" t="s">
        <v>12180</v>
      </c>
      <c r="G625" t="s">
        <v>74</v>
      </c>
      <c r="H625" t="s">
        <v>74</v>
      </c>
      <c r="I625" t="s">
        <v>12181</v>
      </c>
      <c r="J625" t="s">
        <v>5635</v>
      </c>
      <c r="K625" t="s">
        <v>74</v>
      </c>
      <c r="L625" t="s">
        <v>74</v>
      </c>
      <c r="M625" t="s">
        <v>78</v>
      </c>
      <c r="N625" t="s">
        <v>79</v>
      </c>
      <c r="O625" t="s">
        <v>74</v>
      </c>
      <c r="P625" t="s">
        <v>74</v>
      </c>
      <c r="Q625" t="s">
        <v>74</v>
      </c>
      <c r="R625" t="s">
        <v>74</v>
      </c>
      <c r="S625" t="s">
        <v>74</v>
      </c>
      <c r="T625" t="s">
        <v>12182</v>
      </c>
      <c r="U625" t="s">
        <v>12183</v>
      </c>
      <c r="V625" t="s">
        <v>12184</v>
      </c>
      <c r="W625" t="s">
        <v>12185</v>
      </c>
      <c r="X625" t="s">
        <v>12186</v>
      </c>
      <c r="Y625" t="s">
        <v>12187</v>
      </c>
      <c r="Z625" t="s">
        <v>12188</v>
      </c>
      <c r="AA625" t="s">
        <v>74</v>
      </c>
      <c r="AB625" t="s">
        <v>74</v>
      </c>
      <c r="AC625" t="s">
        <v>12189</v>
      </c>
      <c r="AD625" t="s">
        <v>11990</v>
      </c>
      <c r="AE625" t="s">
        <v>12190</v>
      </c>
      <c r="AF625" t="s">
        <v>74</v>
      </c>
      <c r="AG625">
        <v>34</v>
      </c>
      <c r="AH625">
        <v>10</v>
      </c>
      <c r="AI625">
        <v>12</v>
      </c>
      <c r="AJ625">
        <v>1</v>
      </c>
      <c r="AK625">
        <v>25</v>
      </c>
      <c r="AL625" t="s">
        <v>1748</v>
      </c>
      <c r="AM625" t="s">
        <v>921</v>
      </c>
      <c r="AN625" t="s">
        <v>3232</v>
      </c>
      <c r="AO625" t="s">
        <v>5647</v>
      </c>
      <c r="AP625" t="s">
        <v>74</v>
      </c>
      <c r="AQ625" t="s">
        <v>74</v>
      </c>
      <c r="AR625" t="s">
        <v>5649</v>
      </c>
      <c r="AS625" t="s">
        <v>5650</v>
      </c>
      <c r="AT625" t="s">
        <v>11635</v>
      </c>
      <c r="AU625">
        <v>2013</v>
      </c>
      <c r="AV625">
        <v>25</v>
      </c>
      <c r="AW625">
        <v>5</v>
      </c>
      <c r="AX625" t="s">
        <v>74</v>
      </c>
      <c r="AY625" t="s">
        <v>74</v>
      </c>
      <c r="AZ625" t="s">
        <v>74</v>
      </c>
      <c r="BA625" t="s">
        <v>74</v>
      </c>
      <c r="BB625">
        <v>676</v>
      </c>
      <c r="BC625">
        <v>680</v>
      </c>
      <c r="BD625" t="s">
        <v>74</v>
      </c>
      <c r="BE625" t="s">
        <v>12191</v>
      </c>
      <c r="BF625" t="str">
        <f>HYPERLINK("http://dx.doi.org/10.1017/S0954102013000114","http://dx.doi.org/10.1017/S0954102013000114")</f>
        <v>http://dx.doi.org/10.1017/S0954102013000114</v>
      </c>
      <c r="BG625" t="s">
        <v>74</v>
      </c>
      <c r="BH625" t="s">
        <v>74</v>
      </c>
      <c r="BI625">
        <v>5</v>
      </c>
      <c r="BJ625" t="s">
        <v>5652</v>
      </c>
      <c r="BK625" t="s">
        <v>99</v>
      </c>
      <c r="BL625" t="s">
        <v>5653</v>
      </c>
      <c r="BM625" t="s">
        <v>12131</v>
      </c>
      <c r="BN625" t="s">
        <v>74</v>
      </c>
      <c r="BO625" t="s">
        <v>1145</v>
      </c>
      <c r="BP625" t="s">
        <v>74</v>
      </c>
      <c r="BQ625" t="s">
        <v>74</v>
      </c>
      <c r="BR625" t="s">
        <v>103</v>
      </c>
      <c r="BS625" t="s">
        <v>12192</v>
      </c>
      <c r="BT625" t="str">
        <f>HYPERLINK("https%3A%2F%2Fwww.webofscience.com%2Fwos%2Fwoscc%2Ffull-record%2FWOS:000325404500008","View Full Record in Web of Science")</f>
        <v>View Full Record in Web of Science</v>
      </c>
    </row>
    <row r="626" spans="1:72" x14ac:dyDescent="0.15">
      <c r="A626" t="s">
        <v>72</v>
      </c>
      <c r="B626" t="s">
        <v>12193</v>
      </c>
      <c r="C626" t="s">
        <v>74</v>
      </c>
      <c r="D626" t="s">
        <v>74</v>
      </c>
      <c r="E626" t="s">
        <v>74</v>
      </c>
      <c r="F626" t="s">
        <v>12194</v>
      </c>
      <c r="G626" t="s">
        <v>74</v>
      </c>
      <c r="H626" t="s">
        <v>74</v>
      </c>
      <c r="I626" t="s">
        <v>12195</v>
      </c>
      <c r="J626" t="s">
        <v>5635</v>
      </c>
      <c r="K626" t="s">
        <v>74</v>
      </c>
      <c r="L626" t="s">
        <v>74</v>
      </c>
      <c r="M626" t="s">
        <v>78</v>
      </c>
      <c r="N626" t="s">
        <v>79</v>
      </c>
      <c r="O626" t="s">
        <v>74</v>
      </c>
      <c r="P626" t="s">
        <v>74</v>
      </c>
      <c r="Q626" t="s">
        <v>74</v>
      </c>
      <c r="R626" t="s">
        <v>74</v>
      </c>
      <c r="S626" t="s">
        <v>74</v>
      </c>
      <c r="T626" t="s">
        <v>12196</v>
      </c>
      <c r="U626" t="s">
        <v>12197</v>
      </c>
      <c r="V626" t="s">
        <v>12198</v>
      </c>
      <c r="W626" t="s">
        <v>12199</v>
      </c>
      <c r="X626" t="s">
        <v>12200</v>
      </c>
      <c r="Y626" t="s">
        <v>12201</v>
      </c>
      <c r="Z626" t="s">
        <v>12202</v>
      </c>
      <c r="AA626" t="s">
        <v>12203</v>
      </c>
      <c r="AB626" t="s">
        <v>12204</v>
      </c>
      <c r="AC626" t="s">
        <v>12205</v>
      </c>
      <c r="AD626" t="s">
        <v>12205</v>
      </c>
      <c r="AE626" t="s">
        <v>12206</v>
      </c>
      <c r="AF626" t="s">
        <v>74</v>
      </c>
      <c r="AG626">
        <v>40</v>
      </c>
      <c r="AH626">
        <v>4</v>
      </c>
      <c r="AI626">
        <v>5</v>
      </c>
      <c r="AJ626">
        <v>0</v>
      </c>
      <c r="AK626">
        <v>7</v>
      </c>
      <c r="AL626" t="s">
        <v>1748</v>
      </c>
      <c r="AM626" t="s">
        <v>921</v>
      </c>
      <c r="AN626" t="s">
        <v>3232</v>
      </c>
      <c r="AO626" t="s">
        <v>5647</v>
      </c>
      <c r="AP626" t="s">
        <v>5648</v>
      </c>
      <c r="AQ626" t="s">
        <v>74</v>
      </c>
      <c r="AR626" t="s">
        <v>5649</v>
      </c>
      <c r="AS626" t="s">
        <v>5650</v>
      </c>
      <c r="AT626" t="s">
        <v>11635</v>
      </c>
      <c r="AU626">
        <v>2013</v>
      </c>
      <c r="AV626">
        <v>25</v>
      </c>
      <c r="AW626">
        <v>5</v>
      </c>
      <c r="AX626" t="s">
        <v>74</v>
      </c>
      <c r="AY626" t="s">
        <v>74</v>
      </c>
      <c r="AZ626" t="s">
        <v>74</v>
      </c>
      <c r="BA626" t="s">
        <v>74</v>
      </c>
      <c r="BB626">
        <v>681</v>
      </c>
      <c r="BC626">
        <v>695</v>
      </c>
      <c r="BD626" t="s">
        <v>74</v>
      </c>
      <c r="BE626" t="s">
        <v>12207</v>
      </c>
      <c r="BF626" t="str">
        <f>HYPERLINK("http://dx.doi.org/10.1017/S0954102013000072","http://dx.doi.org/10.1017/S0954102013000072")</f>
        <v>http://dx.doi.org/10.1017/S0954102013000072</v>
      </c>
      <c r="BG626" t="s">
        <v>74</v>
      </c>
      <c r="BH626" t="s">
        <v>74</v>
      </c>
      <c r="BI626">
        <v>15</v>
      </c>
      <c r="BJ626" t="s">
        <v>5652</v>
      </c>
      <c r="BK626" t="s">
        <v>99</v>
      </c>
      <c r="BL626" t="s">
        <v>5653</v>
      </c>
      <c r="BM626" t="s">
        <v>12131</v>
      </c>
      <c r="BN626" t="s">
        <v>74</v>
      </c>
      <c r="BO626" t="s">
        <v>74</v>
      </c>
      <c r="BP626" t="s">
        <v>74</v>
      </c>
      <c r="BQ626" t="s">
        <v>74</v>
      </c>
      <c r="BR626" t="s">
        <v>103</v>
      </c>
      <c r="BS626" t="s">
        <v>12208</v>
      </c>
      <c r="BT626" t="str">
        <f>HYPERLINK("https%3A%2F%2Fwww.webofscience.com%2Fwos%2Fwoscc%2Ffull-record%2FWOS:000325404500009","View Full Record in Web of Science")</f>
        <v>View Full Record in Web of Science</v>
      </c>
    </row>
    <row r="627" spans="1:72" x14ac:dyDescent="0.15">
      <c r="A627" t="s">
        <v>72</v>
      </c>
      <c r="B627" t="s">
        <v>12209</v>
      </c>
      <c r="C627" t="s">
        <v>74</v>
      </c>
      <c r="D627" t="s">
        <v>74</v>
      </c>
      <c r="E627" t="s">
        <v>74</v>
      </c>
      <c r="F627" t="s">
        <v>12210</v>
      </c>
      <c r="G627" t="s">
        <v>74</v>
      </c>
      <c r="H627" t="s">
        <v>74</v>
      </c>
      <c r="I627" t="s">
        <v>12211</v>
      </c>
      <c r="J627" t="s">
        <v>5635</v>
      </c>
      <c r="K627" t="s">
        <v>74</v>
      </c>
      <c r="L627" t="s">
        <v>74</v>
      </c>
      <c r="M627" t="s">
        <v>78</v>
      </c>
      <c r="N627" t="s">
        <v>79</v>
      </c>
      <c r="O627" t="s">
        <v>74</v>
      </c>
      <c r="P627" t="s">
        <v>74</v>
      </c>
      <c r="Q627" t="s">
        <v>74</v>
      </c>
      <c r="R627" t="s">
        <v>74</v>
      </c>
      <c r="S627" t="s">
        <v>74</v>
      </c>
      <c r="T627" t="s">
        <v>12212</v>
      </c>
      <c r="U627" t="s">
        <v>12213</v>
      </c>
      <c r="V627" t="s">
        <v>12214</v>
      </c>
      <c r="W627" t="s">
        <v>12215</v>
      </c>
      <c r="X627" t="s">
        <v>12216</v>
      </c>
      <c r="Y627" t="s">
        <v>12217</v>
      </c>
      <c r="Z627" t="s">
        <v>12218</v>
      </c>
      <c r="AA627" t="s">
        <v>12219</v>
      </c>
      <c r="AB627" t="s">
        <v>12220</v>
      </c>
      <c r="AC627" t="s">
        <v>12221</v>
      </c>
      <c r="AD627" t="s">
        <v>12222</v>
      </c>
      <c r="AE627" t="s">
        <v>12223</v>
      </c>
      <c r="AF627" t="s">
        <v>74</v>
      </c>
      <c r="AG627">
        <v>31</v>
      </c>
      <c r="AH627">
        <v>7</v>
      </c>
      <c r="AI627">
        <v>8</v>
      </c>
      <c r="AJ627">
        <v>0</v>
      </c>
      <c r="AK627">
        <v>13</v>
      </c>
      <c r="AL627" t="s">
        <v>1748</v>
      </c>
      <c r="AM627" t="s">
        <v>921</v>
      </c>
      <c r="AN627" t="s">
        <v>3232</v>
      </c>
      <c r="AO627" t="s">
        <v>5647</v>
      </c>
      <c r="AP627" t="s">
        <v>5648</v>
      </c>
      <c r="AQ627" t="s">
        <v>74</v>
      </c>
      <c r="AR627" t="s">
        <v>5649</v>
      </c>
      <c r="AS627" t="s">
        <v>5650</v>
      </c>
      <c r="AT627" t="s">
        <v>11635</v>
      </c>
      <c r="AU627">
        <v>2013</v>
      </c>
      <c r="AV627">
        <v>25</v>
      </c>
      <c r="AW627">
        <v>5</v>
      </c>
      <c r="AX627" t="s">
        <v>74</v>
      </c>
      <c r="AY627" t="s">
        <v>74</v>
      </c>
      <c r="AZ627" t="s">
        <v>74</v>
      </c>
      <c r="BA627" t="s">
        <v>74</v>
      </c>
      <c r="BB627">
        <v>697</v>
      </c>
      <c r="BC627">
        <v>710</v>
      </c>
      <c r="BD627" t="s">
        <v>74</v>
      </c>
      <c r="BE627" t="s">
        <v>12224</v>
      </c>
      <c r="BF627" t="str">
        <f>HYPERLINK("http://dx.doi.org/10.1017/S0954102013000096","http://dx.doi.org/10.1017/S0954102013000096")</f>
        <v>http://dx.doi.org/10.1017/S0954102013000096</v>
      </c>
      <c r="BG627" t="s">
        <v>74</v>
      </c>
      <c r="BH627" t="s">
        <v>74</v>
      </c>
      <c r="BI627">
        <v>14</v>
      </c>
      <c r="BJ627" t="s">
        <v>5652</v>
      </c>
      <c r="BK627" t="s">
        <v>99</v>
      </c>
      <c r="BL627" t="s">
        <v>5653</v>
      </c>
      <c r="BM627" t="s">
        <v>12131</v>
      </c>
      <c r="BN627" t="s">
        <v>74</v>
      </c>
      <c r="BO627" t="s">
        <v>74</v>
      </c>
      <c r="BP627" t="s">
        <v>74</v>
      </c>
      <c r="BQ627" t="s">
        <v>74</v>
      </c>
      <c r="BR627" t="s">
        <v>103</v>
      </c>
      <c r="BS627" t="s">
        <v>12225</v>
      </c>
      <c r="BT627" t="str">
        <f>HYPERLINK("https%3A%2F%2Fwww.webofscience.com%2Fwos%2Fwoscc%2Ffull-record%2FWOS:000325404500010","View Full Record in Web of Science")</f>
        <v>View Full Record in Web of Science</v>
      </c>
    </row>
    <row r="628" spans="1:72" x14ac:dyDescent="0.15">
      <c r="A628" t="s">
        <v>72</v>
      </c>
      <c r="B628" t="s">
        <v>12226</v>
      </c>
      <c r="C628" t="s">
        <v>74</v>
      </c>
      <c r="D628" t="s">
        <v>74</v>
      </c>
      <c r="E628" t="s">
        <v>74</v>
      </c>
      <c r="F628" t="s">
        <v>12227</v>
      </c>
      <c r="G628" t="s">
        <v>74</v>
      </c>
      <c r="H628" t="s">
        <v>74</v>
      </c>
      <c r="I628" t="s">
        <v>12228</v>
      </c>
      <c r="J628" t="s">
        <v>5635</v>
      </c>
      <c r="K628" t="s">
        <v>74</v>
      </c>
      <c r="L628" t="s">
        <v>74</v>
      </c>
      <c r="M628" t="s">
        <v>78</v>
      </c>
      <c r="N628" t="s">
        <v>79</v>
      </c>
      <c r="O628" t="s">
        <v>74</v>
      </c>
      <c r="P628" t="s">
        <v>74</v>
      </c>
      <c r="Q628" t="s">
        <v>74</v>
      </c>
      <c r="R628" t="s">
        <v>74</v>
      </c>
      <c r="S628" t="s">
        <v>74</v>
      </c>
      <c r="T628" t="s">
        <v>12229</v>
      </c>
      <c r="U628" t="s">
        <v>12230</v>
      </c>
      <c r="V628" t="s">
        <v>12231</v>
      </c>
      <c r="W628" t="s">
        <v>12232</v>
      </c>
      <c r="X628" t="s">
        <v>8504</v>
      </c>
      <c r="Y628" t="s">
        <v>12233</v>
      </c>
      <c r="Z628" t="s">
        <v>12234</v>
      </c>
      <c r="AA628" t="s">
        <v>12235</v>
      </c>
      <c r="AB628" t="s">
        <v>12236</v>
      </c>
      <c r="AC628" t="s">
        <v>12237</v>
      </c>
      <c r="AD628" t="s">
        <v>12238</v>
      </c>
      <c r="AE628" t="s">
        <v>12239</v>
      </c>
      <c r="AF628" t="s">
        <v>74</v>
      </c>
      <c r="AG628">
        <v>45</v>
      </c>
      <c r="AH628">
        <v>4</v>
      </c>
      <c r="AI628">
        <v>4</v>
      </c>
      <c r="AJ628">
        <v>0</v>
      </c>
      <c r="AK628">
        <v>11</v>
      </c>
      <c r="AL628" t="s">
        <v>1748</v>
      </c>
      <c r="AM628" t="s">
        <v>921</v>
      </c>
      <c r="AN628" t="s">
        <v>3232</v>
      </c>
      <c r="AO628" t="s">
        <v>5647</v>
      </c>
      <c r="AP628" t="s">
        <v>5648</v>
      </c>
      <c r="AQ628" t="s">
        <v>74</v>
      </c>
      <c r="AR628" t="s">
        <v>5649</v>
      </c>
      <c r="AS628" t="s">
        <v>5650</v>
      </c>
      <c r="AT628" t="s">
        <v>11635</v>
      </c>
      <c r="AU628">
        <v>2013</v>
      </c>
      <c r="AV628">
        <v>25</v>
      </c>
      <c r="AW628">
        <v>5</v>
      </c>
      <c r="AX628" t="s">
        <v>74</v>
      </c>
      <c r="AY628" t="s">
        <v>74</v>
      </c>
      <c r="AZ628" t="s">
        <v>74</v>
      </c>
      <c r="BA628" t="s">
        <v>74</v>
      </c>
      <c r="BB628">
        <v>711</v>
      </c>
      <c r="BC628">
        <v>728</v>
      </c>
      <c r="BD628" t="s">
        <v>74</v>
      </c>
      <c r="BE628" t="s">
        <v>12240</v>
      </c>
      <c r="BF628" t="str">
        <f>HYPERLINK("http://dx.doi.org/10.1017/S0954102013000187","http://dx.doi.org/10.1017/S0954102013000187")</f>
        <v>http://dx.doi.org/10.1017/S0954102013000187</v>
      </c>
      <c r="BG628" t="s">
        <v>74</v>
      </c>
      <c r="BH628" t="s">
        <v>74</v>
      </c>
      <c r="BI628">
        <v>18</v>
      </c>
      <c r="BJ628" t="s">
        <v>5652</v>
      </c>
      <c r="BK628" t="s">
        <v>99</v>
      </c>
      <c r="BL628" t="s">
        <v>5653</v>
      </c>
      <c r="BM628" t="s">
        <v>12131</v>
      </c>
      <c r="BN628" t="s">
        <v>74</v>
      </c>
      <c r="BO628" t="s">
        <v>74</v>
      </c>
      <c r="BP628" t="s">
        <v>74</v>
      </c>
      <c r="BQ628" t="s">
        <v>74</v>
      </c>
      <c r="BR628" t="s">
        <v>103</v>
      </c>
      <c r="BS628" t="s">
        <v>12241</v>
      </c>
      <c r="BT628" t="str">
        <f>HYPERLINK("https%3A%2F%2Fwww.webofscience.com%2Fwos%2Fwoscc%2Ffull-record%2FWOS:000325404500011","View Full Record in Web of Science")</f>
        <v>View Full Record in Web of Science</v>
      </c>
    </row>
    <row r="629" spans="1:72" x14ac:dyDescent="0.15">
      <c r="A629" t="s">
        <v>72</v>
      </c>
      <c r="B629" t="s">
        <v>12242</v>
      </c>
      <c r="C629" t="s">
        <v>74</v>
      </c>
      <c r="D629" t="s">
        <v>74</v>
      </c>
      <c r="E629" t="s">
        <v>74</v>
      </c>
      <c r="F629" t="s">
        <v>12243</v>
      </c>
      <c r="G629" t="s">
        <v>74</v>
      </c>
      <c r="H629" t="s">
        <v>74</v>
      </c>
      <c r="I629" t="s">
        <v>12244</v>
      </c>
      <c r="J629" t="s">
        <v>12245</v>
      </c>
      <c r="K629" t="s">
        <v>74</v>
      </c>
      <c r="L629" t="s">
        <v>74</v>
      </c>
      <c r="M629" t="s">
        <v>78</v>
      </c>
      <c r="N629" t="s">
        <v>79</v>
      </c>
      <c r="O629" t="s">
        <v>74</v>
      </c>
      <c r="P629" t="s">
        <v>74</v>
      </c>
      <c r="Q629" t="s">
        <v>74</v>
      </c>
      <c r="R629" t="s">
        <v>74</v>
      </c>
      <c r="S629" t="s">
        <v>74</v>
      </c>
      <c r="T629" t="s">
        <v>12246</v>
      </c>
      <c r="U629" t="s">
        <v>12247</v>
      </c>
      <c r="V629" t="s">
        <v>12248</v>
      </c>
      <c r="W629" t="s">
        <v>12249</v>
      </c>
      <c r="X629" t="s">
        <v>12250</v>
      </c>
      <c r="Y629" t="s">
        <v>12251</v>
      </c>
      <c r="Z629" t="s">
        <v>12252</v>
      </c>
      <c r="AA629" t="s">
        <v>74</v>
      </c>
      <c r="AB629" t="s">
        <v>12253</v>
      </c>
      <c r="AC629" t="s">
        <v>12254</v>
      </c>
      <c r="AD629" t="s">
        <v>12254</v>
      </c>
      <c r="AE629" t="s">
        <v>12255</v>
      </c>
      <c r="AF629" t="s">
        <v>74</v>
      </c>
      <c r="AG629">
        <v>74</v>
      </c>
      <c r="AH629">
        <v>62</v>
      </c>
      <c r="AI629">
        <v>63</v>
      </c>
      <c r="AJ629">
        <v>0</v>
      </c>
      <c r="AK629">
        <v>24</v>
      </c>
      <c r="AL629" t="s">
        <v>1067</v>
      </c>
      <c r="AM629" t="s">
        <v>921</v>
      </c>
      <c r="AN629" t="s">
        <v>2493</v>
      </c>
      <c r="AO629" t="s">
        <v>12256</v>
      </c>
      <c r="AP629" t="s">
        <v>12257</v>
      </c>
      <c r="AQ629" t="s">
        <v>74</v>
      </c>
      <c r="AR629" t="s">
        <v>12258</v>
      </c>
      <c r="AS629" t="s">
        <v>12259</v>
      </c>
      <c r="AT629" t="s">
        <v>11635</v>
      </c>
      <c r="AU629">
        <v>2013</v>
      </c>
      <c r="AV629">
        <v>70</v>
      </c>
      <c r="AW629">
        <v>3</v>
      </c>
      <c r="AX629" t="s">
        <v>74</v>
      </c>
      <c r="AY629" t="s">
        <v>74</v>
      </c>
      <c r="AZ629" t="s">
        <v>74</v>
      </c>
      <c r="BA629" t="s">
        <v>74</v>
      </c>
      <c r="BB629">
        <v>1319</v>
      </c>
      <c r="BC629">
        <v>1338</v>
      </c>
      <c r="BD629" t="s">
        <v>74</v>
      </c>
      <c r="BE629" t="s">
        <v>12260</v>
      </c>
      <c r="BF629" t="str">
        <f>HYPERLINK("http://dx.doi.org/10.1007/s12665-013-2218-1","http://dx.doi.org/10.1007/s12665-013-2218-1")</f>
        <v>http://dx.doi.org/10.1007/s12665-013-2218-1</v>
      </c>
      <c r="BG629" t="s">
        <v>74</v>
      </c>
      <c r="BH629" t="s">
        <v>74</v>
      </c>
      <c r="BI629">
        <v>20</v>
      </c>
      <c r="BJ629" t="s">
        <v>12261</v>
      </c>
      <c r="BK629" t="s">
        <v>99</v>
      </c>
      <c r="BL629" t="s">
        <v>12262</v>
      </c>
      <c r="BM629" t="s">
        <v>12263</v>
      </c>
      <c r="BN629" t="s">
        <v>74</v>
      </c>
      <c r="BO629" t="s">
        <v>74</v>
      </c>
      <c r="BP629" t="s">
        <v>74</v>
      </c>
      <c r="BQ629" t="s">
        <v>74</v>
      </c>
      <c r="BR629" t="s">
        <v>103</v>
      </c>
      <c r="BS629" t="s">
        <v>12264</v>
      </c>
      <c r="BT629" t="str">
        <f>HYPERLINK("https%3A%2F%2Fwww.webofscience.com%2Fwos%2Fwoscc%2Ffull-record%2FWOS:000324252900027","View Full Record in Web of Science")</f>
        <v>View Full Record in Web of Science</v>
      </c>
    </row>
    <row r="630" spans="1:72" x14ac:dyDescent="0.15">
      <c r="A630" t="s">
        <v>72</v>
      </c>
      <c r="B630" t="s">
        <v>12265</v>
      </c>
      <c r="C630" t="s">
        <v>74</v>
      </c>
      <c r="D630" t="s">
        <v>74</v>
      </c>
      <c r="E630" t="s">
        <v>74</v>
      </c>
      <c r="F630" t="s">
        <v>12266</v>
      </c>
      <c r="G630" t="s">
        <v>74</v>
      </c>
      <c r="H630" t="s">
        <v>74</v>
      </c>
      <c r="I630" t="s">
        <v>12267</v>
      </c>
      <c r="J630" t="s">
        <v>1484</v>
      </c>
      <c r="K630" t="s">
        <v>74</v>
      </c>
      <c r="L630" t="s">
        <v>74</v>
      </c>
      <c r="M630" t="s">
        <v>78</v>
      </c>
      <c r="N630" t="s">
        <v>79</v>
      </c>
      <c r="O630" t="s">
        <v>74</v>
      </c>
      <c r="P630" t="s">
        <v>74</v>
      </c>
      <c r="Q630" t="s">
        <v>74</v>
      </c>
      <c r="R630" t="s">
        <v>74</v>
      </c>
      <c r="S630" t="s">
        <v>74</v>
      </c>
      <c r="T630" t="s">
        <v>12268</v>
      </c>
      <c r="U630" t="s">
        <v>12269</v>
      </c>
      <c r="V630" t="s">
        <v>12270</v>
      </c>
      <c r="W630" t="s">
        <v>12271</v>
      </c>
      <c r="X630" t="s">
        <v>12272</v>
      </c>
      <c r="Y630" t="s">
        <v>12273</v>
      </c>
      <c r="Z630" t="s">
        <v>12274</v>
      </c>
      <c r="AA630" t="s">
        <v>12275</v>
      </c>
      <c r="AB630" t="s">
        <v>12276</v>
      </c>
      <c r="AC630" t="s">
        <v>12277</v>
      </c>
      <c r="AD630" t="s">
        <v>12277</v>
      </c>
      <c r="AE630" t="s">
        <v>12278</v>
      </c>
      <c r="AF630" t="s">
        <v>74</v>
      </c>
      <c r="AG630">
        <v>79</v>
      </c>
      <c r="AH630">
        <v>67</v>
      </c>
      <c r="AI630">
        <v>67</v>
      </c>
      <c r="AJ630">
        <v>0</v>
      </c>
      <c r="AK630">
        <v>34</v>
      </c>
      <c r="AL630" t="s">
        <v>1495</v>
      </c>
      <c r="AM630" t="s">
        <v>1496</v>
      </c>
      <c r="AN630" t="s">
        <v>1497</v>
      </c>
      <c r="AO630" t="s">
        <v>1498</v>
      </c>
      <c r="AP630" t="s">
        <v>1499</v>
      </c>
      <c r="AQ630" t="s">
        <v>74</v>
      </c>
      <c r="AR630" t="s">
        <v>1500</v>
      </c>
      <c r="AS630" t="s">
        <v>1501</v>
      </c>
      <c r="AT630" t="s">
        <v>11635</v>
      </c>
      <c r="AU630">
        <v>2013</v>
      </c>
      <c r="AV630">
        <v>26</v>
      </c>
      <c r="AW630">
        <v>20</v>
      </c>
      <c r="AX630" t="s">
        <v>74</v>
      </c>
      <c r="AY630" t="s">
        <v>74</v>
      </c>
      <c r="AZ630" t="s">
        <v>74</v>
      </c>
      <c r="BA630" t="s">
        <v>74</v>
      </c>
      <c r="BB630">
        <v>8037</v>
      </c>
      <c r="BC630">
        <v>8054</v>
      </c>
      <c r="BD630" t="s">
        <v>74</v>
      </c>
      <c r="BE630" t="s">
        <v>12279</v>
      </c>
      <c r="BF630" t="str">
        <f>HYPERLINK("http://dx.doi.org/10.1175/JCLI-D-13-00006.1","http://dx.doi.org/10.1175/JCLI-D-13-00006.1")</f>
        <v>http://dx.doi.org/10.1175/JCLI-D-13-00006.1</v>
      </c>
      <c r="BG630" t="s">
        <v>74</v>
      </c>
      <c r="BH630" t="s">
        <v>74</v>
      </c>
      <c r="BI630">
        <v>18</v>
      </c>
      <c r="BJ630" t="s">
        <v>1503</v>
      </c>
      <c r="BK630" t="s">
        <v>99</v>
      </c>
      <c r="BL630" t="s">
        <v>1503</v>
      </c>
      <c r="BM630" t="s">
        <v>12280</v>
      </c>
      <c r="BN630" t="s">
        <v>74</v>
      </c>
      <c r="BO630" t="s">
        <v>524</v>
      </c>
      <c r="BP630" t="s">
        <v>74</v>
      </c>
      <c r="BQ630" t="s">
        <v>74</v>
      </c>
      <c r="BR630" t="s">
        <v>103</v>
      </c>
      <c r="BS630" t="s">
        <v>12281</v>
      </c>
      <c r="BT630" t="str">
        <f>HYPERLINK("https%3A%2F%2Fwww.webofscience.com%2Fwos%2Fwoscc%2Ffull-record%2FWOS:000325269800018","View Full Record in Web of Science")</f>
        <v>View Full Record in Web of Science</v>
      </c>
    </row>
    <row r="631" spans="1:72" x14ac:dyDescent="0.15">
      <c r="A631" t="s">
        <v>72</v>
      </c>
      <c r="B631" t="s">
        <v>12282</v>
      </c>
      <c r="C631" t="s">
        <v>74</v>
      </c>
      <c r="D631" t="s">
        <v>74</v>
      </c>
      <c r="E631" t="s">
        <v>74</v>
      </c>
      <c r="F631" t="s">
        <v>12283</v>
      </c>
      <c r="G631" t="s">
        <v>74</v>
      </c>
      <c r="H631" t="s">
        <v>74</v>
      </c>
      <c r="I631" t="s">
        <v>12284</v>
      </c>
      <c r="J631" t="s">
        <v>1484</v>
      </c>
      <c r="K631" t="s">
        <v>74</v>
      </c>
      <c r="L631" t="s">
        <v>74</v>
      </c>
      <c r="M631" t="s">
        <v>78</v>
      </c>
      <c r="N631" t="s">
        <v>79</v>
      </c>
      <c r="O631" t="s">
        <v>74</v>
      </c>
      <c r="P631" t="s">
        <v>74</v>
      </c>
      <c r="Q631" t="s">
        <v>74</v>
      </c>
      <c r="R631" t="s">
        <v>74</v>
      </c>
      <c r="S631" t="s">
        <v>74</v>
      </c>
      <c r="T631" t="s">
        <v>12285</v>
      </c>
      <c r="U631" t="s">
        <v>12286</v>
      </c>
      <c r="V631" t="s">
        <v>12287</v>
      </c>
      <c r="W631" t="s">
        <v>12288</v>
      </c>
      <c r="X631" t="s">
        <v>12289</v>
      </c>
      <c r="Y631" t="s">
        <v>12290</v>
      </c>
      <c r="Z631" t="s">
        <v>12291</v>
      </c>
      <c r="AA631" t="s">
        <v>12292</v>
      </c>
      <c r="AB631" t="s">
        <v>12293</v>
      </c>
      <c r="AC631" t="s">
        <v>12294</v>
      </c>
      <c r="AD631" t="s">
        <v>12294</v>
      </c>
      <c r="AE631" t="s">
        <v>12295</v>
      </c>
      <c r="AF631" t="s">
        <v>74</v>
      </c>
      <c r="AG631">
        <v>55</v>
      </c>
      <c r="AH631">
        <v>29</v>
      </c>
      <c r="AI631">
        <v>31</v>
      </c>
      <c r="AJ631">
        <v>0</v>
      </c>
      <c r="AK631">
        <v>27</v>
      </c>
      <c r="AL631" t="s">
        <v>1495</v>
      </c>
      <c r="AM631" t="s">
        <v>1496</v>
      </c>
      <c r="AN631" t="s">
        <v>1497</v>
      </c>
      <c r="AO631" t="s">
        <v>1498</v>
      </c>
      <c r="AP631" t="s">
        <v>1499</v>
      </c>
      <c r="AQ631" t="s">
        <v>74</v>
      </c>
      <c r="AR631" t="s">
        <v>1500</v>
      </c>
      <c r="AS631" t="s">
        <v>1501</v>
      </c>
      <c r="AT631" t="s">
        <v>11635</v>
      </c>
      <c r="AU631">
        <v>2013</v>
      </c>
      <c r="AV631">
        <v>26</v>
      </c>
      <c r="AW631">
        <v>20</v>
      </c>
      <c r="AX631" t="s">
        <v>74</v>
      </c>
      <c r="AY631" t="s">
        <v>74</v>
      </c>
      <c r="AZ631" t="s">
        <v>74</v>
      </c>
      <c r="BA631" t="s">
        <v>74</v>
      </c>
      <c r="BB631">
        <v>8055</v>
      </c>
      <c r="BC631">
        <v>8064</v>
      </c>
      <c r="BD631" t="s">
        <v>74</v>
      </c>
      <c r="BE631" t="s">
        <v>12296</v>
      </c>
      <c r="BF631" t="str">
        <f>HYPERLINK("http://dx.doi.org/10.1175/JCLI-D-12-00381.1","http://dx.doi.org/10.1175/JCLI-D-12-00381.1")</f>
        <v>http://dx.doi.org/10.1175/JCLI-D-12-00381.1</v>
      </c>
      <c r="BG631" t="s">
        <v>74</v>
      </c>
      <c r="BH631" t="s">
        <v>74</v>
      </c>
      <c r="BI631">
        <v>10</v>
      </c>
      <c r="BJ631" t="s">
        <v>1503</v>
      </c>
      <c r="BK631" t="s">
        <v>99</v>
      </c>
      <c r="BL631" t="s">
        <v>1503</v>
      </c>
      <c r="BM631" t="s">
        <v>12280</v>
      </c>
      <c r="BN631" t="s">
        <v>74</v>
      </c>
      <c r="BO631" t="s">
        <v>524</v>
      </c>
      <c r="BP631" t="s">
        <v>74</v>
      </c>
      <c r="BQ631" t="s">
        <v>74</v>
      </c>
      <c r="BR631" t="s">
        <v>103</v>
      </c>
      <c r="BS631" t="s">
        <v>12297</v>
      </c>
      <c r="BT631" t="str">
        <f>HYPERLINK("https%3A%2F%2Fwww.webofscience.com%2Fwos%2Fwoscc%2Ffull-record%2FWOS:000325269800019","View Full Record in Web of Science")</f>
        <v>View Full Record in Web of Science</v>
      </c>
    </row>
    <row r="632" spans="1:72" x14ac:dyDescent="0.15">
      <c r="A632" t="s">
        <v>72</v>
      </c>
      <c r="B632" t="s">
        <v>12298</v>
      </c>
      <c r="C632" t="s">
        <v>74</v>
      </c>
      <c r="D632" t="s">
        <v>74</v>
      </c>
      <c r="E632" t="s">
        <v>74</v>
      </c>
      <c r="F632" t="s">
        <v>12299</v>
      </c>
      <c r="G632" t="s">
        <v>74</v>
      </c>
      <c r="H632" t="s">
        <v>74</v>
      </c>
      <c r="I632" t="s">
        <v>12300</v>
      </c>
      <c r="J632" t="s">
        <v>12301</v>
      </c>
      <c r="K632" t="s">
        <v>74</v>
      </c>
      <c r="L632" t="s">
        <v>74</v>
      </c>
      <c r="M632" t="s">
        <v>78</v>
      </c>
      <c r="N632" t="s">
        <v>79</v>
      </c>
      <c r="O632" t="s">
        <v>74</v>
      </c>
      <c r="P632" t="s">
        <v>74</v>
      </c>
      <c r="Q632" t="s">
        <v>74</v>
      </c>
      <c r="R632" t="s">
        <v>74</v>
      </c>
      <c r="S632" t="s">
        <v>74</v>
      </c>
      <c r="T632" t="s">
        <v>12302</v>
      </c>
      <c r="U632" t="s">
        <v>12303</v>
      </c>
      <c r="V632" t="s">
        <v>12304</v>
      </c>
      <c r="W632" t="s">
        <v>12305</v>
      </c>
      <c r="X632" t="s">
        <v>12306</v>
      </c>
      <c r="Y632" t="s">
        <v>12307</v>
      </c>
      <c r="Z632" t="s">
        <v>12308</v>
      </c>
      <c r="AA632" t="s">
        <v>74</v>
      </c>
      <c r="AB632" t="s">
        <v>12309</v>
      </c>
      <c r="AC632" t="s">
        <v>74</v>
      </c>
      <c r="AD632" t="s">
        <v>74</v>
      </c>
      <c r="AE632" t="s">
        <v>74</v>
      </c>
      <c r="AF632" t="s">
        <v>74</v>
      </c>
      <c r="AG632">
        <v>47</v>
      </c>
      <c r="AH632">
        <v>7</v>
      </c>
      <c r="AI632">
        <v>8</v>
      </c>
      <c r="AJ632">
        <v>3</v>
      </c>
      <c r="AK632">
        <v>17</v>
      </c>
      <c r="AL632" t="s">
        <v>276</v>
      </c>
      <c r="AM632" t="s">
        <v>277</v>
      </c>
      <c r="AN632" t="s">
        <v>2752</v>
      </c>
      <c r="AO632" t="s">
        <v>12310</v>
      </c>
      <c r="AP632" t="s">
        <v>74</v>
      </c>
      <c r="AQ632" t="s">
        <v>74</v>
      </c>
      <c r="AR632" t="s">
        <v>12311</v>
      </c>
      <c r="AS632" t="s">
        <v>12312</v>
      </c>
      <c r="AT632" t="s">
        <v>12056</v>
      </c>
      <c r="AU632">
        <v>2013</v>
      </c>
      <c r="AV632">
        <v>9</v>
      </c>
      <c r="AW632">
        <v>4</v>
      </c>
      <c r="AX632" t="s">
        <v>74</v>
      </c>
      <c r="AY632" t="s">
        <v>74</v>
      </c>
      <c r="AZ632" t="s">
        <v>74</v>
      </c>
      <c r="BA632" t="s">
        <v>74</v>
      </c>
      <c r="BB632">
        <v>523</v>
      </c>
      <c r="BC632">
        <v>531</v>
      </c>
      <c r="BD632" t="s">
        <v>74</v>
      </c>
      <c r="BE632" t="s">
        <v>12313</v>
      </c>
      <c r="BF632" t="str">
        <f>HYPERLINK("http://dx.doi.org/10.1080/17445647.2013.822836","http://dx.doi.org/10.1080/17445647.2013.822836")</f>
        <v>http://dx.doi.org/10.1080/17445647.2013.822836</v>
      </c>
      <c r="BG632" t="s">
        <v>74</v>
      </c>
      <c r="BH632" t="s">
        <v>74</v>
      </c>
      <c r="BI632">
        <v>9</v>
      </c>
      <c r="BJ632" t="s">
        <v>12314</v>
      </c>
      <c r="BK632" t="s">
        <v>3932</v>
      </c>
      <c r="BL632" t="s">
        <v>12315</v>
      </c>
      <c r="BM632" t="s">
        <v>12316</v>
      </c>
      <c r="BN632" t="s">
        <v>74</v>
      </c>
      <c r="BO632" t="s">
        <v>475</v>
      </c>
      <c r="BP632" t="s">
        <v>74</v>
      </c>
      <c r="BQ632" t="s">
        <v>74</v>
      </c>
      <c r="BR632" t="s">
        <v>103</v>
      </c>
      <c r="BS632" t="s">
        <v>12317</v>
      </c>
      <c r="BT632" t="str">
        <f>HYPERLINK("https%3A%2F%2Fwww.webofscience.com%2Fwos%2Fwoscc%2Ffull-record%2FWOS:000325090600007","View Full Record in Web of Science")</f>
        <v>View Full Record in Web of Science</v>
      </c>
    </row>
    <row r="633" spans="1:72" x14ac:dyDescent="0.15">
      <c r="A633" t="s">
        <v>72</v>
      </c>
      <c r="B633" t="s">
        <v>12318</v>
      </c>
      <c r="C633" t="s">
        <v>74</v>
      </c>
      <c r="D633" t="s">
        <v>74</v>
      </c>
      <c r="E633" t="s">
        <v>74</v>
      </c>
      <c r="F633" t="s">
        <v>12319</v>
      </c>
      <c r="G633" t="s">
        <v>74</v>
      </c>
      <c r="H633" t="s">
        <v>74</v>
      </c>
      <c r="I633" t="s">
        <v>12320</v>
      </c>
      <c r="J633" t="s">
        <v>2067</v>
      </c>
      <c r="K633" t="s">
        <v>74</v>
      </c>
      <c r="L633" t="s">
        <v>74</v>
      </c>
      <c r="M633" t="s">
        <v>78</v>
      </c>
      <c r="N633" t="s">
        <v>79</v>
      </c>
      <c r="O633" t="s">
        <v>74</v>
      </c>
      <c r="P633" t="s">
        <v>74</v>
      </c>
      <c r="Q633" t="s">
        <v>74</v>
      </c>
      <c r="R633" t="s">
        <v>74</v>
      </c>
      <c r="S633" t="s">
        <v>74</v>
      </c>
      <c r="T633" t="s">
        <v>12321</v>
      </c>
      <c r="U633" t="s">
        <v>12322</v>
      </c>
      <c r="V633" t="s">
        <v>12323</v>
      </c>
      <c r="W633" t="s">
        <v>12324</v>
      </c>
      <c r="X633" t="s">
        <v>12325</v>
      </c>
      <c r="Y633" t="s">
        <v>12326</v>
      </c>
      <c r="Z633" t="s">
        <v>12327</v>
      </c>
      <c r="AA633" t="s">
        <v>12328</v>
      </c>
      <c r="AB633" t="s">
        <v>12329</v>
      </c>
      <c r="AC633" t="s">
        <v>12330</v>
      </c>
      <c r="AD633" t="s">
        <v>12331</v>
      </c>
      <c r="AE633" t="s">
        <v>12332</v>
      </c>
      <c r="AF633" t="s">
        <v>74</v>
      </c>
      <c r="AG633">
        <v>31</v>
      </c>
      <c r="AH633">
        <v>64</v>
      </c>
      <c r="AI633">
        <v>78</v>
      </c>
      <c r="AJ633">
        <v>0</v>
      </c>
      <c r="AK633">
        <v>30</v>
      </c>
      <c r="AL633" t="s">
        <v>1495</v>
      </c>
      <c r="AM633" t="s">
        <v>1496</v>
      </c>
      <c r="AN633" t="s">
        <v>1497</v>
      </c>
      <c r="AO633" t="s">
        <v>2080</v>
      </c>
      <c r="AP633" t="s">
        <v>74</v>
      </c>
      <c r="AQ633" t="s">
        <v>74</v>
      </c>
      <c r="AR633" t="s">
        <v>2082</v>
      </c>
      <c r="AS633" t="s">
        <v>2083</v>
      </c>
      <c r="AT633" t="s">
        <v>11635</v>
      </c>
      <c r="AU633">
        <v>2013</v>
      </c>
      <c r="AV633">
        <v>43</v>
      </c>
      <c r="AW633">
        <v>10</v>
      </c>
      <c r="AX633" t="s">
        <v>74</v>
      </c>
      <c r="AY633" t="s">
        <v>74</v>
      </c>
      <c r="AZ633" t="s">
        <v>74</v>
      </c>
      <c r="BA633" t="s">
        <v>74</v>
      </c>
      <c r="BB633">
        <v>2054</v>
      </c>
      <c r="BC633">
        <v>2070</v>
      </c>
      <c r="BD633" t="s">
        <v>74</v>
      </c>
      <c r="BE633" t="s">
        <v>12333</v>
      </c>
      <c r="BF633" t="str">
        <f>HYPERLINK("http://dx.doi.org/10.1175/JPO-D-12-0157.1","http://dx.doi.org/10.1175/JPO-D-12-0157.1")</f>
        <v>http://dx.doi.org/10.1175/JPO-D-12-0157.1</v>
      </c>
      <c r="BG633" t="s">
        <v>74</v>
      </c>
      <c r="BH633" t="s">
        <v>74</v>
      </c>
      <c r="BI633">
        <v>17</v>
      </c>
      <c r="BJ633" t="s">
        <v>1613</v>
      </c>
      <c r="BK633" t="s">
        <v>99</v>
      </c>
      <c r="BL633" t="s">
        <v>1613</v>
      </c>
      <c r="BM633" t="s">
        <v>12334</v>
      </c>
      <c r="BN633" t="s">
        <v>74</v>
      </c>
      <c r="BO633" t="s">
        <v>524</v>
      </c>
      <c r="BP633" t="s">
        <v>74</v>
      </c>
      <c r="BQ633" t="s">
        <v>74</v>
      </c>
      <c r="BR633" t="s">
        <v>103</v>
      </c>
      <c r="BS633" t="s">
        <v>12335</v>
      </c>
      <c r="BT633" t="str">
        <f>HYPERLINK("https%3A%2F%2Fwww.webofscience.com%2Fwos%2Fwoscc%2Ffull-record%2FWOS:000325534400002","View Full Record in Web of Science")</f>
        <v>View Full Record in Web of Science</v>
      </c>
    </row>
    <row r="634" spans="1:72" x14ac:dyDescent="0.15">
      <c r="A634" t="s">
        <v>72</v>
      </c>
      <c r="B634" t="s">
        <v>12336</v>
      </c>
      <c r="C634" t="s">
        <v>74</v>
      </c>
      <c r="D634" t="s">
        <v>74</v>
      </c>
      <c r="E634" t="s">
        <v>74</v>
      </c>
      <c r="F634" t="s">
        <v>12337</v>
      </c>
      <c r="G634" t="s">
        <v>74</v>
      </c>
      <c r="H634" t="s">
        <v>74</v>
      </c>
      <c r="I634" t="s">
        <v>12338</v>
      </c>
      <c r="J634" t="s">
        <v>2067</v>
      </c>
      <c r="K634" t="s">
        <v>74</v>
      </c>
      <c r="L634" t="s">
        <v>74</v>
      </c>
      <c r="M634" t="s">
        <v>78</v>
      </c>
      <c r="N634" t="s">
        <v>79</v>
      </c>
      <c r="O634" t="s">
        <v>74</v>
      </c>
      <c r="P634" t="s">
        <v>74</v>
      </c>
      <c r="Q634" t="s">
        <v>74</v>
      </c>
      <c r="R634" t="s">
        <v>74</v>
      </c>
      <c r="S634" t="s">
        <v>74</v>
      </c>
      <c r="T634" t="s">
        <v>12339</v>
      </c>
      <c r="U634" t="s">
        <v>12340</v>
      </c>
      <c r="V634" t="s">
        <v>12341</v>
      </c>
      <c r="W634" t="s">
        <v>12342</v>
      </c>
      <c r="X634" t="s">
        <v>12343</v>
      </c>
      <c r="Y634" t="s">
        <v>12344</v>
      </c>
      <c r="Z634" t="s">
        <v>12345</v>
      </c>
      <c r="AA634" t="s">
        <v>12346</v>
      </c>
      <c r="AB634" t="s">
        <v>12347</v>
      </c>
      <c r="AC634" t="s">
        <v>12348</v>
      </c>
      <c r="AD634" t="s">
        <v>12349</v>
      </c>
      <c r="AE634" t="s">
        <v>12350</v>
      </c>
      <c r="AF634" t="s">
        <v>74</v>
      </c>
      <c r="AG634">
        <v>80</v>
      </c>
      <c r="AH634">
        <v>109</v>
      </c>
      <c r="AI634">
        <v>116</v>
      </c>
      <c r="AJ634">
        <v>4</v>
      </c>
      <c r="AK634">
        <v>52</v>
      </c>
      <c r="AL634" t="s">
        <v>1495</v>
      </c>
      <c r="AM634" t="s">
        <v>1496</v>
      </c>
      <c r="AN634" t="s">
        <v>1497</v>
      </c>
      <c r="AO634" t="s">
        <v>2080</v>
      </c>
      <c r="AP634" t="s">
        <v>2081</v>
      </c>
      <c r="AQ634" t="s">
        <v>74</v>
      </c>
      <c r="AR634" t="s">
        <v>2082</v>
      </c>
      <c r="AS634" t="s">
        <v>2083</v>
      </c>
      <c r="AT634" t="s">
        <v>11635</v>
      </c>
      <c r="AU634">
        <v>2013</v>
      </c>
      <c r="AV634">
        <v>43</v>
      </c>
      <c r="AW634">
        <v>10</v>
      </c>
      <c r="AX634" t="s">
        <v>74</v>
      </c>
      <c r="AY634" t="s">
        <v>74</v>
      </c>
      <c r="AZ634" t="s">
        <v>74</v>
      </c>
      <c r="BA634" t="s">
        <v>74</v>
      </c>
      <c r="BB634">
        <v>2113</v>
      </c>
      <c r="BC634">
        <v>2131</v>
      </c>
      <c r="BD634" t="s">
        <v>74</v>
      </c>
      <c r="BE634" t="s">
        <v>12351</v>
      </c>
      <c r="BF634" t="str">
        <f>HYPERLINK("http://dx.doi.org/10.1175/JPO-D-13-047.1","http://dx.doi.org/10.1175/JPO-D-13-047.1")</f>
        <v>http://dx.doi.org/10.1175/JPO-D-13-047.1</v>
      </c>
      <c r="BG634" t="s">
        <v>74</v>
      </c>
      <c r="BH634" t="s">
        <v>74</v>
      </c>
      <c r="BI634">
        <v>19</v>
      </c>
      <c r="BJ634" t="s">
        <v>1613</v>
      </c>
      <c r="BK634" t="s">
        <v>99</v>
      </c>
      <c r="BL634" t="s">
        <v>1613</v>
      </c>
      <c r="BM634" t="s">
        <v>12334</v>
      </c>
      <c r="BN634" t="s">
        <v>74</v>
      </c>
      <c r="BO634" t="s">
        <v>8622</v>
      </c>
      <c r="BP634" t="s">
        <v>74</v>
      </c>
      <c r="BQ634" t="s">
        <v>74</v>
      </c>
      <c r="BR634" t="s">
        <v>103</v>
      </c>
      <c r="BS634" t="s">
        <v>12352</v>
      </c>
      <c r="BT634" t="str">
        <f>HYPERLINK("https%3A%2F%2Fwww.webofscience.com%2Fwos%2Fwoscc%2Ffull-record%2FWOS:000325534400005","View Full Record in Web of Science")</f>
        <v>View Full Record in Web of Science</v>
      </c>
    </row>
    <row r="635" spans="1:72" x14ac:dyDescent="0.15">
      <c r="A635" t="s">
        <v>72</v>
      </c>
      <c r="B635" t="s">
        <v>12353</v>
      </c>
      <c r="C635" t="s">
        <v>74</v>
      </c>
      <c r="D635" t="s">
        <v>74</v>
      </c>
      <c r="E635" t="s">
        <v>74</v>
      </c>
      <c r="F635" t="s">
        <v>12354</v>
      </c>
      <c r="G635" t="s">
        <v>74</v>
      </c>
      <c r="H635" t="s">
        <v>74</v>
      </c>
      <c r="I635" t="s">
        <v>12355</v>
      </c>
      <c r="J635" t="s">
        <v>12356</v>
      </c>
      <c r="K635" t="s">
        <v>74</v>
      </c>
      <c r="L635" t="s">
        <v>74</v>
      </c>
      <c r="M635" t="s">
        <v>78</v>
      </c>
      <c r="N635" t="s">
        <v>79</v>
      </c>
      <c r="O635" t="s">
        <v>74</v>
      </c>
      <c r="P635" t="s">
        <v>74</v>
      </c>
      <c r="Q635" t="s">
        <v>74</v>
      </c>
      <c r="R635" t="s">
        <v>74</v>
      </c>
      <c r="S635" t="s">
        <v>74</v>
      </c>
      <c r="T635" t="s">
        <v>74</v>
      </c>
      <c r="U635" t="s">
        <v>12357</v>
      </c>
      <c r="V635" t="s">
        <v>12358</v>
      </c>
      <c r="W635" t="s">
        <v>12359</v>
      </c>
      <c r="X635" t="s">
        <v>12360</v>
      </c>
      <c r="Y635" t="s">
        <v>12361</v>
      </c>
      <c r="Z635" t="s">
        <v>12362</v>
      </c>
      <c r="AA635" t="s">
        <v>74</v>
      </c>
      <c r="AB635" t="s">
        <v>74</v>
      </c>
      <c r="AC635" t="s">
        <v>12363</v>
      </c>
      <c r="AD635" t="s">
        <v>12364</v>
      </c>
      <c r="AE635" t="s">
        <v>12365</v>
      </c>
      <c r="AF635" t="s">
        <v>74</v>
      </c>
      <c r="AG635">
        <v>58</v>
      </c>
      <c r="AH635">
        <v>13</v>
      </c>
      <c r="AI635">
        <v>13</v>
      </c>
      <c r="AJ635">
        <v>0</v>
      </c>
      <c r="AK635">
        <v>4</v>
      </c>
      <c r="AL635" t="s">
        <v>12366</v>
      </c>
      <c r="AM635" t="s">
        <v>12367</v>
      </c>
      <c r="AN635" t="s">
        <v>12368</v>
      </c>
      <c r="AO635" t="s">
        <v>12369</v>
      </c>
      <c r="AP635" t="s">
        <v>12370</v>
      </c>
      <c r="AQ635" t="s">
        <v>74</v>
      </c>
      <c r="AR635" t="s">
        <v>12371</v>
      </c>
      <c r="AS635" t="s">
        <v>12372</v>
      </c>
      <c r="AT635" t="s">
        <v>11635</v>
      </c>
      <c r="AU635">
        <v>2013</v>
      </c>
      <c r="AV635">
        <v>107</v>
      </c>
      <c r="AW635">
        <v>5</v>
      </c>
      <c r="AX635" t="s">
        <v>74</v>
      </c>
      <c r="AY635" t="s">
        <v>74</v>
      </c>
      <c r="AZ635" t="s">
        <v>283</v>
      </c>
      <c r="BA635" t="s">
        <v>74</v>
      </c>
      <c r="BB635">
        <v>651</v>
      </c>
      <c r="BC635">
        <v>664</v>
      </c>
      <c r="BD635" t="s">
        <v>74</v>
      </c>
      <c r="BE635" t="s">
        <v>12373</v>
      </c>
      <c r="BF635" t="str">
        <f>HYPERLINK("http://dx.doi.org/10.1007/s00710-012-0249-z","http://dx.doi.org/10.1007/s00710-012-0249-z")</f>
        <v>http://dx.doi.org/10.1007/s00710-012-0249-z</v>
      </c>
      <c r="BG635" t="s">
        <v>74</v>
      </c>
      <c r="BH635" t="s">
        <v>74</v>
      </c>
      <c r="BI635">
        <v>14</v>
      </c>
      <c r="BJ635" t="s">
        <v>12374</v>
      </c>
      <c r="BK635" t="s">
        <v>99</v>
      </c>
      <c r="BL635" t="s">
        <v>12374</v>
      </c>
      <c r="BM635" t="s">
        <v>12375</v>
      </c>
      <c r="BN635" t="s">
        <v>74</v>
      </c>
      <c r="BO635" t="s">
        <v>74</v>
      </c>
      <c r="BP635" t="s">
        <v>74</v>
      </c>
      <c r="BQ635" t="s">
        <v>74</v>
      </c>
      <c r="BR635" t="s">
        <v>103</v>
      </c>
      <c r="BS635" t="s">
        <v>12376</v>
      </c>
      <c r="BT635" t="str">
        <f>HYPERLINK("https%3A%2F%2Fwww.webofscience.com%2Fwos%2Fwoscc%2Ffull-record%2FWOS:000325018200003","View Full Record in Web of Science")</f>
        <v>View Full Record in Web of Science</v>
      </c>
    </row>
    <row r="636" spans="1:72" x14ac:dyDescent="0.15">
      <c r="A636" t="s">
        <v>72</v>
      </c>
      <c r="B636" t="s">
        <v>12377</v>
      </c>
      <c r="C636" t="s">
        <v>74</v>
      </c>
      <c r="D636" t="s">
        <v>74</v>
      </c>
      <c r="E636" t="s">
        <v>74</v>
      </c>
      <c r="F636" t="s">
        <v>12378</v>
      </c>
      <c r="G636" t="s">
        <v>74</v>
      </c>
      <c r="H636" t="s">
        <v>74</v>
      </c>
      <c r="I636" t="s">
        <v>12379</v>
      </c>
      <c r="J636" t="s">
        <v>3405</v>
      </c>
      <c r="K636" t="s">
        <v>74</v>
      </c>
      <c r="L636" t="s">
        <v>74</v>
      </c>
      <c r="M636" t="s">
        <v>78</v>
      </c>
      <c r="N636" t="s">
        <v>79</v>
      </c>
      <c r="O636" t="s">
        <v>74</v>
      </c>
      <c r="P636" t="s">
        <v>74</v>
      </c>
      <c r="Q636" t="s">
        <v>74</v>
      </c>
      <c r="R636" t="s">
        <v>74</v>
      </c>
      <c r="S636" t="s">
        <v>74</v>
      </c>
      <c r="T636" t="s">
        <v>12380</v>
      </c>
      <c r="U636" t="s">
        <v>12381</v>
      </c>
      <c r="V636" t="s">
        <v>12382</v>
      </c>
      <c r="W636" t="s">
        <v>12383</v>
      </c>
      <c r="X636" t="s">
        <v>12384</v>
      </c>
      <c r="Y636" t="s">
        <v>12385</v>
      </c>
      <c r="Z636" t="s">
        <v>12386</v>
      </c>
      <c r="AA636" t="s">
        <v>12387</v>
      </c>
      <c r="AB636" t="s">
        <v>12388</v>
      </c>
      <c r="AC636" t="s">
        <v>12389</v>
      </c>
      <c r="AD636" t="s">
        <v>12390</v>
      </c>
      <c r="AE636" t="s">
        <v>12391</v>
      </c>
      <c r="AF636" t="s">
        <v>74</v>
      </c>
      <c r="AG636">
        <v>80</v>
      </c>
      <c r="AH636">
        <v>52</v>
      </c>
      <c r="AI636">
        <v>56</v>
      </c>
      <c r="AJ636">
        <v>0</v>
      </c>
      <c r="AK636">
        <v>39</v>
      </c>
      <c r="AL636" t="s">
        <v>872</v>
      </c>
      <c r="AM636" t="s">
        <v>252</v>
      </c>
      <c r="AN636" t="s">
        <v>873</v>
      </c>
      <c r="AO636" t="s">
        <v>3416</v>
      </c>
      <c r="AP636" t="s">
        <v>74</v>
      </c>
      <c r="AQ636" t="s">
        <v>74</v>
      </c>
      <c r="AR636" t="s">
        <v>3417</v>
      </c>
      <c r="AS636" t="s">
        <v>3418</v>
      </c>
      <c r="AT636" t="s">
        <v>12056</v>
      </c>
      <c r="AU636">
        <v>2013</v>
      </c>
      <c r="AV636">
        <v>77</v>
      </c>
      <c r="AW636" t="s">
        <v>74</v>
      </c>
      <c r="AX636" t="s">
        <v>74</v>
      </c>
      <c r="AY636" t="s">
        <v>74</v>
      </c>
      <c r="AZ636" t="s">
        <v>74</v>
      </c>
      <c r="BA636" t="s">
        <v>74</v>
      </c>
      <c r="BB636">
        <v>70</v>
      </c>
      <c r="BC636">
        <v>79</v>
      </c>
      <c r="BD636" t="s">
        <v>74</v>
      </c>
      <c r="BE636" t="s">
        <v>12392</v>
      </c>
      <c r="BF636" t="str">
        <f>HYPERLINK("http://dx.doi.org/10.1016/j.quascirev.2013.07.008","http://dx.doi.org/10.1016/j.quascirev.2013.07.008")</f>
        <v>http://dx.doi.org/10.1016/j.quascirev.2013.07.008</v>
      </c>
      <c r="BG636" t="s">
        <v>74</v>
      </c>
      <c r="BH636" t="s">
        <v>74</v>
      </c>
      <c r="BI636">
        <v>10</v>
      </c>
      <c r="BJ636" t="s">
        <v>98</v>
      </c>
      <c r="BK636" t="s">
        <v>99</v>
      </c>
      <c r="BL636" t="s">
        <v>100</v>
      </c>
      <c r="BM636" t="s">
        <v>12393</v>
      </c>
      <c r="BN636" t="s">
        <v>74</v>
      </c>
      <c r="BO636" t="s">
        <v>831</v>
      </c>
      <c r="BP636" t="s">
        <v>74</v>
      </c>
      <c r="BQ636" t="s">
        <v>74</v>
      </c>
      <c r="BR636" t="s">
        <v>103</v>
      </c>
      <c r="BS636" t="s">
        <v>12394</v>
      </c>
      <c r="BT636" t="str">
        <f>HYPERLINK("https%3A%2F%2Fwww.webofscience.com%2Fwos%2Fwoscc%2Ffull-record%2FWOS:000325235600007","View Full Record in Web of Science")</f>
        <v>View Full Record in Web of Science</v>
      </c>
    </row>
    <row r="637" spans="1:72" x14ac:dyDescent="0.15">
      <c r="A637" t="s">
        <v>72</v>
      </c>
      <c r="B637" t="s">
        <v>12395</v>
      </c>
      <c r="C637" t="s">
        <v>74</v>
      </c>
      <c r="D637" t="s">
        <v>74</v>
      </c>
      <c r="E637" t="s">
        <v>74</v>
      </c>
      <c r="F637" t="s">
        <v>12396</v>
      </c>
      <c r="G637" t="s">
        <v>74</v>
      </c>
      <c r="H637" t="s">
        <v>74</v>
      </c>
      <c r="I637" t="s">
        <v>12397</v>
      </c>
      <c r="J637" t="s">
        <v>3405</v>
      </c>
      <c r="K637" t="s">
        <v>74</v>
      </c>
      <c r="L637" t="s">
        <v>74</v>
      </c>
      <c r="M637" t="s">
        <v>78</v>
      </c>
      <c r="N637" t="s">
        <v>79</v>
      </c>
      <c r="O637" t="s">
        <v>74</v>
      </c>
      <c r="P637" t="s">
        <v>74</v>
      </c>
      <c r="Q637" t="s">
        <v>74</v>
      </c>
      <c r="R637" t="s">
        <v>74</v>
      </c>
      <c r="S637" t="s">
        <v>74</v>
      </c>
      <c r="T637" t="s">
        <v>12398</v>
      </c>
      <c r="U637" t="s">
        <v>12399</v>
      </c>
      <c r="V637" t="s">
        <v>12400</v>
      </c>
      <c r="W637" t="s">
        <v>12401</v>
      </c>
      <c r="X637" t="s">
        <v>12402</v>
      </c>
      <c r="Y637" t="s">
        <v>12403</v>
      </c>
      <c r="Z637" t="s">
        <v>12404</v>
      </c>
      <c r="AA637" t="s">
        <v>12405</v>
      </c>
      <c r="AB637" t="s">
        <v>12406</v>
      </c>
      <c r="AC637" t="s">
        <v>12407</v>
      </c>
      <c r="AD637" t="s">
        <v>1564</v>
      </c>
      <c r="AE637" t="s">
        <v>12408</v>
      </c>
      <c r="AF637" t="s">
        <v>74</v>
      </c>
      <c r="AG637">
        <v>112</v>
      </c>
      <c r="AH637">
        <v>28</v>
      </c>
      <c r="AI637">
        <v>35</v>
      </c>
      <c r="AJ637">
        <v>0</v>
      </c>
      <c r="AK637">
        <v>29</v>
      </c>
      <c r="AL637" t="s">
        <v>872</v>
      </c>
      <c r="AM637" t="s">
        <v>252</v>
      </c>
      <c r="AN637" t="s">
        <v>873</v>
      </c>
      <c r="AO637" t="s">
        <v>3416</v>
      </c>
      <c r="AP637" t="s">
        <v>4643</v>
      </c>
      <c r="AQ637" t="s">
        <v>74</v>
      </c>
      <c r="AR637" t="s">
        <v>3417</v>
      </c>
      <c r="AS637" t="s">
        <v>3418</v>
      </c>
      <c r="AT637" t="s">
        <v>12056</v>
      </c>
      <c r="AU637">
        <v>2013</v>
      </c>
      <c r="AV637">
        <v>77</v>
      </c>
      <c r="AW637" t="s">
        <v>74</v>
      </c>
      <c r="AX637" t="s">
        <v>74</v>
      </c>
      <c r="AY637" t="s">
        <v>74</v>
      </c>
      <c r="AZ637" t="s">
        <v>74</v>
      </c>
      <c r="BA637" t="s">
        <v>74</v>
      </c>
      <c r="BB637">
        <v>141</v>
      </c>
      <c r="BC637">
        <v>155</v>
      </c>
      <c r="BD637" t="s">
        <v>74</v>
      </c>
      <c r="BE637" t="s">
        <v>12409</v>
      </c>
      <c r="BF637" t="str">
        <f>HYPERLINK("http://dx.doi.org/10.1016/j.quascirev.2013.07.027","http://dx.doi.org/10.1016/j.quascirev.2013.07.027")</f>
        <v>http://dx.doi.org/10.1016/j.quascirev.2013.07.027</v>
      </c>
      <c r="BG637" t="s">
        <v>74</v>
      </c>
      <c r="BH637" t="s">
        <v>74</v>
      </c>
      <c r="BI637">
        <v>15</v>
      </c>
      <c r="BJ637" t="s">
        <v>98</v>
      </c>
      <c r="BK637" t="s">
        <v>99</v>
      </c>
      <c r="BL637" t="s">
        <v>100</v>
      </c>
      <c r="BM637" t="s">
        <v>12393</v>
      </c>
      <c r="BN637" t="s">
        <v>74</v>
      </c>
      <c r="BO637" t="s">
        <v>74</v>
      </c>
      <c r="BP637" t="s">
        <v>74</v>
      </c>
      <c r="BQ637" t="s">
        <v>74</v>
      </c>
      <c r="BR637" t="s">
        <v>103</v>
      </c>
      <c r="BS637" t="s">
        <v>12410</v>
      </c>
      <c r="BT637" t="str">
        <f>HYPERLINK("https%3A%2F%2Fwww.webofscience.com%2Fwos%2Fwoscc%2Ffull-record%2FWOS:000325235600012","View Full Record in Web of Science")</f>
        <v>View Full Record in Web of Science</v>
      </c>
    </row>
    <row r="638" spans="1:72" x14ac:dyDescent="0.15">
      <c r="A638" t="s">
        <v>72</v>
      </c>
      <c r="B638" t="s">
        <v>12411</v>
      </c>
      <c r="C638" t="s">
        <v>74</v>
      </c>
      <c r="D638" t="s">
        <v>74</v>
      </c>
      <c r="E638" t="s">
        <v>74</v>
      </c>
      <c r="F638" t="s">
        <v>12412</v>
      </c>
      <c r="G638" t="s">
        <v>74</v>
      </c>
      <c r="H638" t="s">
        <v>74</v>
      </c>
      <c r="I638" t="s">
        <v>12413</v>
      </c>
      <c r="J638" t="s">
        <v>3405</v>
      </c>
      <c r="K638" t="s">
        <v>74</v>
      </c>
      <c r="L638" t="s">
        <v>74</v>
      </c>
      <c r="M638" t="s">
        <v>78</v>
      </c>
      <c r="N638" t="s">
        <v>4716</v>
      </c>
      <c r="O638" t="s">
        <v>74</v>
      </c>
      <c r="P638" t="s">
        <v>74</v>
      </c>
      <c r="Q638" t="s">
        <v>74</v>
      </c>
      <c r="R638" t="s">
        <v>74</v>
      </c>
      <c r="S638" t="s">
        <v>74</v>
      </c>
      <c r="T638" t="s">
        <v>74</v>
      </c>
      <c r="U638" t="s">
        <v>74</v>
      </c>
      <c r="V638" t="s">
        <v>74</v>
      </c>
      <c r="W638" t="s">
        <v>12414</v>
      </c>
      <c r="X638" t="s">
        <v>12415</v>
      </c>
      <c r="Y638" t="s">
        <v>12416</v>
      </c>
      <c r="Z638" t="s">
        <v>12417</v>
      </c>
      <c r="AA638" t="s">
        <v>74</v>
      </c>
      <c r="AB638" t="s">
        <v>12418</v>
      </c>
      <c r="AC638" t="s">
        <v>74</v>
      </c>
      <c r="AD638" t="s">
        <v>74</v>
      </c>
      <c r="AE638" t="s">
        <v>74</v>
      </c>
      <c r="AF638" t="s">
        <v>74</v>
      </c>
      <c r="AG638">
        <v>1</v>
      </c>
      <c r="AH638">
        <v>0</v>
      </c>
      <c r="AI638">
        <v>0</v>
      </c>
      <c r="AJ638">
        <v>0</v>
      </c>
      <c r="AK638">
        <v>10</v>
      </c>
      <c r="AL638" t="s">
        <v>872</v>
      </c>
      <c r="AM638" t="s">
        <v>252</v>
      </c>
      <c r="AN638" t="s">
        <v>873</v>
      </c>
      <c r="AO638" t="s">
        <v>3416</v>
      </c>
      <c r="AP638" t="s">
        <v>74</v>
      </c>
      <c r="AQ638" t="s">
        <v>74</v>
      </c>
      <c r="AR638" t="s">
        <v>3417</v>
      </c>
      <c r="AS638" t="s">
        <v>3418</v>
      </c>
      <c r="AT638" t="s">
        <v>12056</v>
      </c>
      <c r="AU638">
        <v>2013</v>
      </c>
      <c r="AV638">
        <v>77</v>
      </c>
      <c r="AW638" t="s">
        <v>74</v>
      </c>
      <c r="AX638" t="s">
        <v>74</v>
      </c>
      <c r="AY638" t="s">
        <v>74</v>
      </c>
      <c r="AZ638" t="s">
        <v>74</v>
      </c>
      <c r="BA638" t="s">
        <v>74</v>
      </c>
      <c r="BB638">
        <v>248</v>
      </c>
      <c r="BC638">
        <v>248</v>
      </c>
      <c r="BD638" t="s">
        <v>74</v>
      </c>
      <c r="BE638" t="s">
        <v>12419</v>
      </c>
      <c r="BF638" t="str">
        <f>HYPERLINK("http://dx.doi.org/10.1016/j.quascirev.2013.06.005","http://dx.doi.org/10.1016/j.quascirev.2013.06.005")</f>
        <v>http://dx.doi.org/10.1016/j.quascirev.2013.06.005</v>
      </c>
      <c r="BG638" t="s">
        <v>74</v>
      </c>
      <c r="BH638" t="s">
        <v>74</v>
      </c>
      <c r="BI638">
        <v>1</v>
      </c>
      <c r="BJ638" t="s">
        <v>98</v>
      </c>
      <c r="BK638" t="s">
        <v>99</v>
      </c>
      <c r="BL638" t="s">
        <v>100</v>
      </c>
      <c r="BM638" t="s">
        <v>12393</v>
      </c>
      <c r="BN638" t="s">
        <v>74</v>
      </c>
      <c r="BO638" t="s">
        <v>74</v>
      </c>
      <c r="BP638" t="s">
        <v>74</v>
      </c>
      <c r="BQ638" t="s">
        <v>74</v>
      </c>
      <c r="BR638" t="s">
        <v>103</v>
      </c>
      <c r="BS638" t="s">
        <v>12420</v>
      </c>
      <c r="BT638" t="str">
        <f>HYPERLINK("https%3A%2F%2Fwww.webofscience.com%2Fwos%2Fwoscc%2Ffull-record%2FWOS:000325235600022","View Full Record in Web of Science")</f>
        <v>View Full Record in Web of Science</v>
      </c>
    </row>
    <row r="639" spans="1:72" x14ac:dyDescent="0.15">
      <c r="A639" t="s">
        <v>72</v>
      </c>
      <c r="B639" t="s">
        <v>12421</v>
      </c>
      <c r="C639" t="s">
        <v>74</v>
      </c>
      <c r="D639" t="s">
        <v>74</v>
      </c>
      <c r="E639" t="s">
        <v>74</v>
      </c>
      <c r="F639" t="s">
        <v>12422</v>
      </c>
      <c r="G639" t="s">
        <v>74</v>
      </c>
      <c r="H639" t="s">
        <v>74</v>
      </c>
      <c r="I639" t="s">
        <v>12423</v>
      </c>
      <c r="J639" t="s">
        <v>12424</v>
      </c>
      <c r="K639" t="s">
        <v>74</v>
      </c>
      <c r="L639" t="s">
        <v>74</v>
      </c>
      <c r="M639" t="s">
        <v>78</v>
      </c>
      <c r="N639" t="s">
        <v>79</v>
      </c>
      <c r="O639" t="s">
        <v>74</v>
      </c>
      <c r="P639" t="s">
        <v>74</v>
      </c>
      <c r="Q639" t="s">
        <v>74</v>
      </c>
      <c r="R639" t="s">
        <v>74</v>
      </c>
      <c r="S639" t="s">
        <v>74</v>
      </c>
      <c r="T639" t="s">
        <v>12425</v>
      </c>
      <c r="U639" t="s">
        <v>12426</v>
      </c>
      <c r="V639" t="s">
        <v>12427</v>
      </c>
      <c r="W639" t="s">
        <v>12428</v>
      </c>
      <c r="X639" t="s">
        <v>12429</v>
      </c>
      <c r="Y639" t="s">
        <v>12430</v>
      </c>
      <c r="Z639" t="s">
        <v>12431</v>
      </c>
      <c r="AA639" t="s">
        <v>12432</v>
      </c>
      <c r="AB639" t="s">
        <v>12433</v>
      </c>
      <c r="AC639" t="s">
        <v>74</v>
      </c>
      <c r="AD639" t="s">
        <v>74</v>
      </c>
      <c r="AE639" t="s">
        <v>74</v>
      </c>
      <c r="AF639" t="s">
        <v>74</v>
      </c>
      <c r="AG639">
        <v>12</v>
      </c>
      <c r="AH639">
        <v>20</v>
      </c>
      <c r="AI639">
        <v>22</v>
      </c>
      <c r="AJ639">
        <v>1</v>
      </c>
      <c r="AK639">
        <v>26</v>
      </c>
      <c r="AL639" t="s">
        <v>2588</v>
      </c>
      <c r="AM639" t="s">
        <v>2470</v>
      </c>
      <c r="AN639" t="s">
        <v>2589</v>
      </c>
      <c r="AO639" t="s">
        <v>12434</v>
      </c>
      <c r="AP639" t="s">
        <v>74</v>
      </c>
      <c r="AQ639" t="s">
        <v>74</v>
      </c>
      <c r="AR639" t="s">
        <v>12424</v>
      </c>
      <c r="AS639" t="s">
        <v>12435</v>
      </c>
      <c r="AT639" t="s">
        <v>11635</v>
      </c>
      <c r="AU639">
        <v>2013</v>
      </c>
      <c r="AV639">
        <v>67</v>
      </c>
      <c r="AW639">
        <v>2</v>
      </c>
      <c r="AX639" t="s">
        <v>74</v>
      </c>
      <c r="AY639" t="s">
        <v>74</v>
      </c>
      <c r="AZ639" t="s">
        <v>74</v>
      </c>
      <c r="BA639" t="s">
        <v>74</v>
      </c>
      <c r="BB639">
        <v>241</v>
      </c>
      <c r="BC639">
        <v>243</v>
      </c>
      <c r="BD639" t="s">
        <v>74</v>
      </c>
      <c r="BE639" t="s">
        <v>12436</v>
      </c>
      <c r="BF639" t="str">
        <f>HYPERLINK("http://dx.doi.org/10.1016/j.cryobiol.2013.06.003","http://dx.doi.org/10.1016/j.cryobiol.2013.06.003")</f>
        <v>http://dx.doi.org/10.1016/j.cryobiol.2013.06.003</v>
      </c>
      <c r="BG639" t="s">
        <v>74</v>
      </c>
      <c r="BH639" t="s">
        <v>74</v>
      </c>
      <c r="BI639">
        <v>3</v>
      </c>
      <c r="BJ639" t="s">
        <v>12437</v>
      </c>
      <c r="BK639" t="s">
        <v>99</v>
      </c>
      <c r="BL639" t="s">
        <v>12438</v>
      </c>
      <c r="BM639" t="s">
        <v>12439</v>
      </c>
      <c r="BN639">
        <v>23810900</v>
      </c>
      <c r="BO639" t="s">
        <v>74</v>
      </c>
      <c r="BP639" t="s">
        <v>74</v>
      </c>
      <c r="BQ639" t="s">
        <v>74</v>
      </c>
      <c r="BR639" t="s">
        <v>103</v>
      </c>
      <c r="BS639" t="s">
        <v>12440</v>
      </c>
      <c r="BT639" t="str">
        <f>HYPERLINK("https%3A%2F%2Fwww.webofscience.com%2Fwos%2Fwoscc%2Ffull-record%2FWOS:000324608400020","View Full Record in Web of Science")</f>
        <v>View Full Record in Web of Science</v>
      </c>
    </row>
    <row r="640" spans="1:72" x14ac:dyDescent="0.15">
      <c r="A640" t="s">
        <v>72</v>
      </c>
      <c r="B640" t="s">
        <v>12441</v>
      </c>
      <c r="C640" t="s">
        <v>74</v>
      </c>
      <c r="D640" t="s">
        <v>74</v>
      </c>
      <c r="E640" t="s">
        <v>74</v>
      </c>
      <c r="F640" t="s">
        <v>12442</v>
      </c>
      <c r="G640" t="s">
        <v>74</v>
      </c>
      <c r="H640" t="s">
        <v>74</v>
      </c>
      <c r="I640" t="s">
        <v>12443</v>
      </c>
      <c r="J640" t="s">
        <v>12444</v>
      </c>
      <c r="K640" t="s">
        <v>74</v>
      </c>
      <c r="L640" t="s">
        <v>74</v>
      </c>
      <c r="M640" t="s">
        <v>78</v>
      </c>
      <c r="N640" t="s">
        <v>79</v>
      </c>
      <c r="O640" t="s">
        <v>74</v>
      </c>
      <c r="P640" t="s">
        <v>74</v>
      </c>
      <c r="Q640" t="s">
        <v>74</v>
      </c>
      <c r="R640" t="s">
        <v>74</v>
      </c>
      <c r="S640" t="s">
        <v>74</v>
      </c>
      <c r="T640" t="s">
        <v>12445</v>
      </c>
      <c r="U640" t="s">
        <v>12446</v>
      </c>
      <c r="V640" t="s">
        <v>12447</v>
      </c>
      <c r="W640" t="s">
        <v>12448</v>
      </c>
      <c r="X640" t="s">
        <v>74</v>
      </c>
      <c r="Y640" t="s">
        <v>12449</v>
      </c>
      <c r="Z640" t="s">
        <v>12450</v>
      </c>
      <c r="AA640" t="s">
        <v>12451</v>
      </c>
      <c r="AB640" t="s">
        <v>12452</v>
      </c>
      <c r="AC640" t="s">
        <v>12453</v>
      </c>
      <c r="AD640" t="s">
        <v>12453</v>
      </c>
      <c r="AE640" t="s">
        <v>12454</v>
      </c>
      <c r="AF640" t="s">
        <v>74</v>
      </c>
      <c r="AG640">
        <v>70</v>
      </c>
      <c r="AH640">
        <v>37</v>
      </c>
      <c r="AI640">
        <v>39</v>
      </c>
      <c r="AJ640">
        <v>0</v>
      </c>
      <c r="AK640">
        <v>54</v>
      </c>
      <c r="AL640" t="s">
        <v>1067</v>
      </c>
      <c r="AM640" t="s">
        <v>1068</v>
      </c>
      <c r="AN640" t="s">
        <v>1163</v>
      </c>
      <c r="AO640" t="s">
        <v>12455</v>
      </c>
      <c r="AP640" t="s">
        <v>12456</v>
      </c>
      <c r="AQ640" t="s">
        <v>74</v>
      </c>
      <c r="AR640" t="s">
        <v>12457</v>
      </c>
      <c r="AS640" t="s">
        <v>12458</v>
      </c>
      <c r="AT640" t="s">
        <v>11635</v>
      </c>
      <c r="AU640">
        <v>2013</v>
      </c>
      <c r="AV640">
        <v>185</v>
      </c>
      <c r="AW640">
        <v>10</v>
      </c>
      <c r="AX640" t="s">
        <v>74</v>
      </c>
      <c r="AY640" t="s">
        <v>74</v>
      </c>
      <c r="AZ640" t="s">
        <v>74</v>
      </c>
      <c r="BA640" t="s">
        <v>74</v>
      </c>
      <c r="BB640">
        <v>8089</v>
      </c>
      <c r="BC640">
        <v>8107</v>
      </c>
      <c r="BD640" t="s">
        <v>74</v>
      </c>
      <c r="BE640" t="s">
        <v>12459</v>
      </c>
      <c r="BF640" t="str">
        <f>HYPERLINK("http://dx.doi.org/10.1007/s10661-013-3157-8","http://dx.doi.org/10.1007/s10661-013-3157-8")</f>
        <v>http://dx.doi.org/10.1007/s10661-013-3157-8</v>
      </c>
      <c r="BG640" t="s">
        <v>74</v>
      </c>
      <c r="BH640" t="s">
        <v>74</v>
      </c>
      <c r="BI640">
        <v>19</v>
      </c>
      <c r="BJ640" t="s">
        <v>9250</v>
      </c>
      <c r="BK640" t="s">
        <v>99</v>
      </c>
      <c r="BL640" t="s">
        <v>420</v>
      </c>
      <c r="BM640" t="s">
        <v>12460</v>
      </c>
      <c r="BN640">
        <v>23512488</v>
      </c>
      <c r="BO640" t="s">
        <v>74</v>
      </c>
      <c r="BP640" t="s">
        <v>74</v>
      </c>
      <c r="BQ640" t="s">
        <v>74</v>
      </c>
      <c r="BR640" t="s">
        <v>103</v>
      </c>
      <c r="BS640" t="s">
        <v>12461</v>
      </c>
      <c r="BT640" t="str">
        <f>HYPERLINK("https%3A%2F%2Fwww.webofscience.com%2Fwos%2Fwoscc%2Ffull-record%2FWOS:000323836100012","View Full Record in Web of Science")</f>
        <v>View Full Record in Web of Science</v>
      </c>
    </row>
    <row r="641" spans="1:72" x14ac:dyDescent="0.15">
      <c r="A641" t="s">
        <v>72</v>
      </c>
      <c r="B641" t="s">
        <v>12462</v>
      </c>
      <c r="C641" t="s">
        <v>74</v>
      </c>
      <c r="D641" t="s">
        <v>74</v>
      </c>
      <c r="E641" t="s">
        <v>74</v>
      </c>
      <c r="F641" t="s">
        <v>12463</v>
      </c>
      <c r="G641" t="s">
        <v>74</v>
      </c>
      <c r="H641" t="s">
        <v>74</v>
      </c>
      <c r="I641" t="s">
        <v>12464</v>
      </c>
      <c r="J641" t="s">
        <v>1526</v>
      </c>
      <c r="K641" t="s">
        <v>74</v>
      </c>
      <c r="L641" t="s">
        <v>74</v>
      </c>
      <c r="M641" t="s">
        <v>78</v>
      </c>
      <c r="N641" t="s">
        <v>79</v>
      </c>
      <c r="O641" t="s">
        <v>74</v>
      </c>
      <c r="P641" t="s">
        <v>74</v>
      </c>
      <c r="Q641" t="s">
        <v>74</v>
      </c>
      <c r="R641" t="s">
        <v>74</v>
      </c>
      <c r="S641" t="s">
        <v>74</v>
      </c>
      <c r="T641" t="s">
        <v>12465</v>
      </c>
      <c r="U641" t="s">
        <v>12466</v>
      </c>
      <c r="V641" t="s">
        <v>12467</v>
      </c>
      <c r="W641" t="s">
        <v>12468</v>
      </c>
      <c r="X641" t="s">
        <v>12469</v>
      </c>
      <c r="Y641" t="s">
        <v>12470</v>
      </c>
      <c r="Z641" t="s">
        <v>12471</v>
      </c>
      <c r="AA641" t="s">
        <v>12472</v>
      </c>
      <c r="AB641" t="s">
        <v>1562</v>
      </c>
      <c r="AC641" t="s">
        <v>12473</v>
      </c>
      <c r="AD641" t="s">
        <v>1564</v>
      </c>
      <c r="AE641" t="s">
        <v>12474</v>
      </c>
      <c r="AF641" t="s">
        <v>74</v>
      </c>
      <c r="AG641">
        <v>65</v>
      </c>
      <c r="AH641">
        <v>17</v>
      </c>
      <c r="AI641">
        <v>20</v>
      </c>
      <c r="AJ641">
        <v>0</v>
      </c>
      <c r="AK641">
        <v>35</v>
      </c>
      <c r="AL641" t="s">
        <v>12475</v>
      </c>
      <c r="AM641" t="s">
        <v>1470</v>
      </c>
      <c r="AN641" t="s">
        <v>12476</v>
      </c>
      <c r="AO641" t="s">
        <v>1541</v>
      </c>
      <c r="AP641" t="s">
        <v>74</v>
      </c>
      <c r="AQ641" t="s">
        <v>74</v>
      </c>
      <c r="AR641" t="s">
        <v>1543</v>
      </c>
      <c r="AS641" t="s">
        <v>1544</v>
      </c>
      <c r="AT641" t="s">
        <v>11635</v>
      </c>
      <c r="AU641">
        <v>2013</v>
      </c>
      <c r="AV641">
        <v>216</v>
      </c>
      <c r="AW641">
        <v>20</v>
      </c>
      <c r="AX641" t="s">
        <v>74</v>
      </c>
      <c r="AY641" t="s">
        <v>74</v>
      </c>
      <c r="AZ641" t="s">
        <v>74</v>
      </c>
      <c r="BA641" t="s">
        <v>74</v>
      </c>
      <c r="BB641">
        <v>3937</v>
      </c>
      <c r="BC641">
        <v>3945</v>
      </c>
      <c r="BD641" t="s">
        <v>74</v>
      </c>
      <c r="BE641" t="s">
        <v>12477</v>
      </c>
      <c r="BF641" t="str">
        <f>HYPERLINK("http://dx.doi.org/10.1242/jeb.088278","http://dx.doi.org/10.1242/jeb.088278")</f>
        <v>http://dx.doi.org/10.1242/jeb.088278</v>
      </c>
      <c r="BG641" t="s">
        <v>74</v>
      </c>
      <c r="BH641" t="s">
        <v>74</v>
      </c>
      <c r="BI641">
        <v>9</v>
      </c>
      <c r="BJ641" t="s">
        <v>1546</v>
      </c>
      <c r="BK641" t="s">
        <v>99</v>
      </c>
      <c r="BL641" t="s">
        <v>1547</v>
      </c>
      <c r="BM641" t="s">
        <v>12478</v>
      </c>
      <c r="BN641">
        <v>23868837</v>
      </c>
      <c r="BO641" t="s">
        <v>475</v>
      </c>
      <c r="BP641" t="s">
        <v>74</v>
      </c>
      <c r="BQ641" t="s">
        <v>74</v>
      </c>
      <c r="BR641" t="s">
        <v>103</v>
      </c>
      <c r="BS641" t="s">
        <v>12479</v>
      </c>
      <c r="BT641" t="str">
        <f>HYPERLINK("https%3A%2F%2Fwww.webofscience.com%2Fwos%2Fwoscc%2Ffull-record%2FWOS:000324911200024","View Full Record in Web of Science")</f>
        <v>View Full Record in Web of Science</v>
      </c>
    </row>
    <row r="642" spans="1:72" x14ac:dyDescent="0.15">
      <c r="A642" t="s">
        <v>72</v>
      </c>
      <c r="B642" t="s">
        <v>12480</v>
      </c>
      <c r="C642" t="s">
        <v>74</v>
      </c>
      <c r="D642" t="s">
        <v>74</v>
      </c>
      <c r="E642" t="s">
        <v>74</v>
      </c>
      <c r="F642" t="s">
        <v>12481</v>
      </c>
      <c r="G642" t="s">
        <v>74</v>
      </c>
      <c r="H642" t="s">
        <v>74</v>
      </c>
      <c r="I642" t="s">
        <v>12482</v>
      </c>
      <c r="J642" t="s">
        <v>6355</v>
      </c>
      <c r="K642" t="s">
        <v>74</v>
      </c>
      <c r="L642" t="s">
        <v>74</v>
      </c>
      <c r="M642" t="s">
        <v>78</v>
      </c>
      <c r="N642" t="s">
        <v>79</v>
      </c>
      <c r="O642" t="s">
        <v>74</v>
      </c>
      <c r="P642" t="s">
        <v>74</v>
      </c>
      <c r="Q642" t="s">
        <v>74</v>
      </c>
      <c r="R642" t="s">
        <v>74</v>
      </c>
      <c r="S642" t="s">
        <v>74</v>
      </c>
      <c r="T642" t="s">
        <v>12483</v>
      </c>
      <c r="U642" t="s">
        <v>12484</v>
      </c>
      <c r="V642" t="s">
        <v>12485</v>
      </c>
      <c r="W642" t="s">
        <v>12486</v>
      </c>
      <c r="X642" t="s">
        <v>12487</v>
      </c>
      <c r="Y642" t="s">
        <v>12488</v>
      </c>
      <c r="Z642" t="s">
        <v>12489</v>
      </c>
      <c r="AA642" t="s">
        <v>12490</v>
      </c>
      <c r="AB642" t="s">
        <v>12491</v>
      </c>
      <c r="AC642" t="s">
        <v>12492</v>
      </c>
      <c r="AD642" t="s">
        <v>12493</v>
      </c>
      <c r="AE642" t="s">
        <v>12494</v>
      </c>
      <c r="AF642" t="s">
        <v>74</v>
      </c>
      <c r="AG642">
        <v>44</v>
      </c>
      <c r="AH642">
        <v>7</v>
      </c>
      <c r="AI642">
        <v>8</v>
      </c>
      <c r="AJ642">
        <v>0</v>
      </c>
      <c r="AK642">
        <v>10</v>
      </c>
      <c r="AL642" t="s">
        <v>872</v>
      </c>
      <c r="AM642" t="s">
        <v>252</v>
      </c>
      <c r="AN642" t="s">
        <v>873</v>
      </c>
      <c r="AO642" t="s">
        <v>6366</v>
      </c>
      <c r="AP642" t="s">
        <v>6367</v>
      </c>
      <c r="AQ642" t="s">
        <v>74</v>
      </c>
      <c r="AR642" t="s">
        <v>6368</v>
      </c>
      <c r="AS642" t="s">
        <v>6369</v>
      </c>
      <c r="AT642" t="s">
        <v>11635</v>
      </c>
      <c r="AU642">
        <v>2013</v>
      </c>
      <c r="AV642">
        <v>80</v>
      </c>
      <c r="AW642" t="s">
        <v>74</v>
      </c>
      <c r="AX642" t="s">
        <v>74</v>
      </c>
      <c r="AY642" t="s">
        <v>74</v>
      </c>
      <c r="AZ642" t="s">
        <v>74</v>
      </c>
      <c r="BA642" t="s">
        <v>74</v>
      </c>
      <c r="BB642">
        <v>11</v>
      </c>
      <c r="BC642">
        <v>22</v>
      </c>
      <c r="BD642" t="s">
        <v>74</v>
      </c>
      <c r="BE642" t="s">
        <v>12495</v>
      </c>
      <c r="BF642" t="str">
        <f>HYPERLINK("http://dx.doi.org/10.1016/j.dsr.2013.06.001","http://dx.doi.org/10.1016/j.dsr.2013.06.001")</f>
        <v>http://dx.doi.org/10.1016/j.dsr.2013.06.001</v>
      </c>
      <c r="BG642" t="s">
        <v>74</v>
      </c>
      <c r="BH642" t="s">
        <v>74</v>
      </c>
      <c r="BI642">
        <v>12</v>
      </c>
      <c r="BJ642" t="s">
        <v>1613</v>
      </c>
      <c r="BK642" t="s">
        <v>99</v>
      </c>
      <c r="BL642" t="s">
        <v>1613</v>
      </c>
      <c r="BM642" t="s">
        <v>12496</v>
      </c>
      <c r="BN642" t="s">
        <v>74</v>
      </c>
      <c r="BO642" t="s">
        <v>74</v>
      </c>
      <c r="BP642" t="s">
        <v>74</v>
      </c>
      <c r="BQ642" t="s">
        <v>74</v>
      </c>
      <c r="BR642" t="s">
        <v>103</v>
      </c>
      <c r="BS642" t="s">
        <v>12497</v>
      </c>
      <c r="BT642" t="str">
        <f>HYPERLINK("https%3A%2F%2Fwww.webofscience.com%2Fwos%2Fwoscc%2Ffull-record%2FWOS:000324227700002","View Full Record in Web of Science")</f>
        <v>View Full Record in Web of Science</v>
      </c>
    </row>
    <row r="643" spans="1:72" x14ac:dyDescent="0.15">
      <c r="A643" t="s">
        <v>72</v>
      </c>
      <c r="B643" t="s">
        <v>12498</v>
      </c>
      <c r="C643" t="s">
        <v>74</v>
      </c>
      <c r="D643" t="s">
        <v>74</v>
      </c>
      <c r="E643" t="s">
        <v>74</v>
      </c>
      <c r="F643" t="s">
        <v>12499</v>
      </c>
      <c r="G643" t="s">
        <v>74</v>
      </c>
      <c r="H643" t="s">
        <v>74</v>
      </c>
      <c r="I643" t="s">
        <v>12500</v>
      </c>
      <c r="J643" t="s">
        <v>12501</v>
      </c>
      <c r="K643" t="s">
        <v>74</v>
      </c>
      <c r="L643" t="s">
        <v>74</v>
      </c>
      <c r="M643" t="s">
        <v>78</v>
      </c>
      <c r="N643" t="s">
        <v>79</v>
      </c>
      <c r="O643" t="s">
        <v>74</v>
      </c>
      <c r="P643" t="s">
        <v>74</v>
      </c>
      <c r="Q643" t="s">
        <v>74</v>
      </c>
      <c r="R643" t="s">
        <v>74</v>
      </c>
      <c r="S643" t="s">
        <v>74</v>
      </c>
      <c r="T643" t="s">
        <v>12502</v>
      </c>
      <c r="U643" t="s">
        <v>12503</v>
      </c>
      <c r="V643" t="s">
        <v>12504</v>
      </c>
      <c r="W643" t="s">
        <v>12505</v>
      </c>
      <c r="X643" t="s">
        <v>12506</v>
      </c>
      <c r="Y643" t="s">
        <v>12507</v>
      </c>
      <c r="Z643" t="s">
        <v>11291</v>
      </c>
      <c r="AA643" t="s">
        <v>12508</v>
      </c>
      <c r="AB643" t="s">
        <v>12509</v>
      </c>
      <c r="AC643" t="s">
        <v>12510</v>
      </c>
      <c r="AD643" t="s">
        <v>12511</v>
      </c>
      <c r="AE643" t="s">
        <v>12512</v>
      </c>
      <c r="AF643" t="s">
        <v>74</v>
      </c>
      <c r="AG643">
        <v>15</v>
      </c>
      <c r="AH643">
        <v>29</v>
      </c>
      <c r="AI643">
        <v>31</v>
      </c>
      <c r="AJ643">
        <v>1</v>
      </c>
      <c r="AK643">
        <v>34</v>
      </c>
      <c r="AL643" t="s">
        <v>624</v>
      </c>
      <c r="AM643" t="s">
        <v>411</v>
      </c>
      <c r="AN643" t="s">
        <v>412</v>
      </c>
      <c r="AO643" t="s">
        <v>12513</v>
      </c>
      <c r="AP643" t="s">
        <v>74</v>
      </c>
      <c r="AQ643" t="s">
        <v>74</v>
      </c>
      <c r="AR643" t="s">
        <v>12514</v>
      </c>
      <c r="AS643" t="s">
        <v>12515</v>
      </c>
      <c r="AT643" t="s">
        <v>11635</v>
      </c>
      <c r="AU643">
        <v>2013</v>
      </c>
      <c r="AV643">
        <v>32</v>
      </c>
      <c r="AW643">
        <v>10</v>
      </c>
      <c r="AX643" t="s">
        <v>74</v>
      </c>
      <c r="AY643" t="s">
        <v>74</v>
      </c>
      <c r="AZ643" t="s">
        <v>74</v>
      </c>
      <c r="BA643" t="s">
        <v>74</v>
      </c>
      <c r="BB643">
        <v>2331</v>
      </c>
      <c r="BC643">
        <v>2334</v>
      </c>
      <c r="BD643" t="s">
        <v>74</v>
      </c>
      <c r="BE643" t="s">
        <v>12516</v>
      </c>
      <c r="BF643" t="str">
        <f>HYPERLINK("http://dx.doi.org/10.1002/etc.2303","http://dx.doi.org/10.1002/etc.2303")</f>
        <v>http://dx.doi.org/10.1002/etc.2303</v>
      </c>
      <c r="BG643" t="s">
        <v>74</v>
      </c>
      <c r="BH643" t="s">
        <v>74</v>
      </c>
      <c r="BI643">
        <v>4</v>
      </c>
      <c r="BJ643" t="s">
        <v>12517</v>
      </c>
      <c r="BK643" t="s">
        <v>99</v>
      </c>
      <c r="BL643" t="s">
        <v>12518</v>
      </c>
      <c r="BM643" t="s">
        <v>12519</v>
      </c>
      <c r="BN643">
        <v>23761066</v>
      </c>
      <c r="BO643" t="s">
        <v>831</v>
      </c>
      <c r="BP643" t="s">
        <v>74</v>
      </c>
      <c r="BQ643" t="s">
        <v>74</v>
      </c>
      <c r="BR643" t="s">
        <v>103</v>
      </c>
      <c r="BS643" t="s">
        <v>12520</v>
      </c>
      <c r="BT643" t="str">
        <f>HYPERLINK("https%3A%2F%2Fwww.webofscience.com%2Fwos%2Fwoscc%2Ffull-record%2FWOS:000323887300019","View Full Record in Web of Science")</f>
        <v>View Full Record in Web of Science</v>
      </c>
    </row>
    <row r="644" spans="1:72" x14ac:dyDescent="0.15">
      <c r="A644" t="s">
        <v>72</v>
      </c>
      <c r="B644" t="s">
        <v>12521</v>
      </c>
      <c r="C644" t="s">
        <v>74</v>
      </c>
      <c r="D644" t="s">
        <v>74</v>
      </c>
      <c r="E644" t="s">
        <v>74</v>
      </c>
      <c r="F644" t="s">
        <v>12522</v>
      </c>
      <c r="G644" t="s">
        <v>74</v>
      </c>
      <c r="H644" t="s">
        <v>74</v>
      </c>
      <c r="I644" t="s">
        <v>12523</v>
      </c>
      <c r="J644" t="s">
        <v>12524</v>
      </c>
      <c r="K644" t="s">
        <v>74</v>
      </c>
      <c r="L644" t="s">
        <v>74</v>
      </c>
      <c r="M644" t="s">
        <v>78</v>
      </c>
      <c r="N644" t="s">
        <v>79</v>
      </c>
      <c r="O644" t="s">
        <v>74</v>
      </c>
      <c r="P644" t="s">
        <v>74</v>
      </c>
      <c r="Q644" t="s">
        <v>74</v>
      </c>
      <c r="R644" t="s">
        <v>74</v>
      </c>
      <c r="S644" t="s">
        <v>74</v>
      </c>
      <c r="T644" t="s">
        <v>12525</v>
      </c>
      <c r="U644" t="s">
        <v>12526</v>
      </c>
      <c r="V644" t="s">
        <v>12527</v>
      </c>
      <c r="W644" t="s">
        <v>12528</v>
      </c>
      <c r="X644" t="s">
        <v>12529</v>
      </c>
      <c r="Y644" t="s">
        <v>12530</v>
      </c>
      <c r="Z644" t="s">
        <v>12531</v>
      </c>
      <c r="AA644" t="s">
        <v>74</v>
      </c>
      <c r="AB644" t="s">
        <v>12532</v>
      </c>
      <c r="AC644" t="s">
        <v>12533</v>
      </c>
      <c r="AD644" t="s">
        <v>12534</v>
      </c>
      <c r="AE644" t="s">
        <v>12535</v>
      </c>
      <c r="AF644" t="s">
        <v>74</v>
      </c>
      <c r="AG644">
        <v>49</v>
      </c>
      <c r="AH644">
        <v>1</v>
      </c>
      <c r="AI644">
        <v>1</v>
      </c>
      <c r="AJ644">
        <v>0</v>
      </c>
      <c r="AK644">
        <v>14</v>
      </c>
      <c r="AL644" t="s">
        <v>1067</v>
      </c>
      <c r="AM644" t="s">
        <v>921</v>
      </c>
      <c r="AN644" t="s">
        <v>2493</v>
      </c>
      <c r="AO644" t="s">
        <v>12536</v>
      </c>
      <c r="AP644" t="s">
        <v>12537</v>
      </c>
      <c r="AQ644" t="s">
        <v>74</v>
      </c>
      <c r="AR644" t="s">
        <v>12538</v>
      </c>
      <c r="AS644" t="s">
        <v>12539</v>
      </c>
      <c r="AT644" t="s">
        <v>11635</v>
      </c>
      <c r="AU644">
        <v>2013</v>
      </c>
      <c r="AV644">
        <v>35</v>
      </c>
      <c r="AW644">
        <v>5</v>
      </c>
      <c r="AX644" t="s">
        <v>74</v>
      </c>
      <c r="AY644" t="s">
        <v>74</v>
      </c>
      <c r="AZ644" t="s">
        <v>74</v>
      </c>
      <c r="BA644" t="s">
        <v>74</v>
      </c>
      <c r="BB644">
        <v>575</v>
      </c>
      <c r="BC644">
        <v>586</v>
      </c>
      <c r="BD644" t="s">
        <v>74</v>
      </c>
      <c r="BE644" t="s">
        <v>12540</v>
      </c>
      <c r="BF644" t="str">
        <f>HYPERLINK("http://dx.doi.org/10.1007/s13258-013-0106-4","http://dx.doi.org/10.1007/s13258-013-0106-4")</f>
        <v>http://dx.doi.org/10.1007/s13258-013-0106-4</v>
      </c>
      <c r="BG644" t="s">
        <v>74</v>
      </c>
      <c r="BH644" t="s">
        <v>74</v>
      </c>
      <c r="BI644">
        <v>12</v>
      </c>
      <c r="BJ644" t="s">
        <v>12541</v>
      </c>
      <c r="BK644" t="s">
        <v>99</v>
      </c>
      <c r="BL644" t="s">
        <v>12541</v>
      </c>
      <c r="BM644" t="s">
        <v>12542</v>
      </c>
      <c r="BN644" t="s">
        <v>74</v>
      </c>
      <c r="BO644" t="s">
        <v>74</v>
      </c>
      <c r="BP644" t="s">
        <v>74</v>
      </c>
      <c r="BQ644" t="s">
        <v>74</v>
      </c>
      <c r="BR644" t="s">
        <v>103</v>
      </c>
      <c r="BS644" t="s">
        <v>12543</v>
      </c>
      <c r="BT644" t="str">
        <f>HYPERLINK("https%3A%2F%2Fwww.webofscience.com%2Fwos%2Fwoscc%2Ffull-record%2FWOS:000324570400004","View Full Record in Web of Science")</f>
        <v>View Full Record in Web of Science</v>
      </c>
    </row>
    <row r="645" spans="1:72" x14ac:dyDescent="0.15">
      <c r="A645" t="s">
        <v>72</v>
      </c>
      <c r="B645" t="s">
        <v>12544</v>
      </c>
      <c r="C645" t="s">
        <v>74</v>
      </c>
      <c r="D645" t="s">
        <v>74</v>
      </c>
      <c r="E645" t="s">
        <v>74</v>
      </c>
      <c r="F645" t="s">
        <v>12545</v>
      </c>
      <c r="G645" t="s">
        <v>74</v>
      </c>
      <c r="H645" t="s">
        <v>74</v>
      </c>
      <c r="I645" t="s">
        <v>12546</v>
      </c>
      <c r="J645" t="s">
        <v>3167</v>
      </c>
      <c r="K645" t="s">
        <v>74</v>
      </c>
      <c r="L645" t="s">
        <v>74</v>
      </c>
      <c r="M645" t="s">
        <v>78</v>
      </c>
      <c r="N645" t="s">
        <v>79</v>
      </c>
      <c r="O645" t="s">
        <v>74</v>
      </c>
      <c r="P645" t="s">
        <v>74</v>
      </c>
      <c r="Q645" t="s">
        <v>74</v>
      </c>
      <c r="R645" t="s">
        <v>74</v>
      </c>
      <c r="S645" t="s">
        <v>74</v>
      </c>
      <c r="T645" t="s">
        <v>12547</v>
      </c>
      <c r="U645" t="s">
        <v>12548</v>
      </c>
      <c r="V645" t="s">
        <v>12549</v>
      </c>
      <c r="W645" t="s">
        <v>12550</v>
      </c>
      <c r="X645" t="s">
        <v>12551</v>
      </c>
      <c r="Y645" t="s">
        <v>12552</v>
      </c>
      <c r="Z645" t="s">
        <v>12553</v>
      </c>
      <c r="AA645" t="s">
        <v>12554</v>
      </c>
      <c r="AB645" t="s">
        <v>12555</v>
      </c>
      <c r="AC645" t="s">
        <v>74</v>
      </c>
      <c r="AD645" t="s">
        <v>74</v>
      </c>
      <c r="AE645" t="s">
        <v>74</v>
      </c>
      <c r="AF645" t="s">
        <v>74</v>
      </c>
      <c r="AG645">
        <v>36</v>
      </c>
      <c r="AH645">
        <v>7</v>
      </c>
      <c r="AI645">
        <v>9</v>
      </c>
      <c r="AJ645">
        <v>1</v>
      </c>
      <c r="AK645">
        <v>56</v>
      </c>
      <c r="AL645" t="s">
        <v>1067</v>
      </c>
      <c r="AM645" t="s">
        <v>921</v>
      </c>
      <c r="AN645" t="s">
        <v>2690</v>
      </c>
      <c r="AO645" t="s">
        <v>3178</v>
      </c>
      <c r="AP645" t="s">
        <v>3179</v>
      </c>
      <c r="AQ645" t="s">
        <v>74</v>
      </c>
      <c r="AR645" t="s">
        <v>3180</v>
      </c>
      <c r="AS645" t="s">
        <v>3181</v>
      </c>
      <c r="AT645" t="s">
        <v>11635</v>
      </c>
      <c r="AU645">
        <v>2013</v>
      </c>
      <c r="AV645">
        <v>36</v>
      </c>
      <c r="AW645">
        <v>10</v>
      </c>
      <c r="AX645" t="s">
        <v>74</v>
      </c>
      <c r="AY645" t="s">
        <v>74</v>
      </c>
      <c r="AZ645" t="s">
        <v>74</v>
      </c>
      <c r="BA645" t="s">
        <v>74</v>
      </c>
      <c r="BB645">
        <v>1385</v>
      </c>
      <c r="BC645">
        <v>1399</v>
      </c>
      <c r="BD645" t="s">
        <v>74</v>
      </c>
      <c r="BE645" t="s">
        <v>12556</v>
      </c>
      <c r="BF645" t="str">
        <f>HYPERLINK("http://dx.doi.org/10.1007/s00300-013-1358-9","http://dx.doi.org/10.1007/s00300-013-1358-9")</f>
        <v>http://dx.doi.org/10.1007/s00300-013-1358-9</v>
      </c>
      <c r="BG645" t="s">
        <v>74</v>
      </c>
      <c r="BH645" t="s">
        <v>74</v>
      </c>
      <c r="BI645">
        <v>15</v>
      </c>
      <c r="BJ645" t="s">
        <v>3183</v>
      </c>
      <c r="BK645" t="s">
        <v>99</v>
      </c>
      <c r="BL645" t="s">
        <v>1050</v>
      </c>
      <c r="BM645" t="s">
        <v>12557</v>
      </c>
      <c r="BN645" t="s">
        <v>74</v>
      </c>
      <c r="BO645" t="s">
        <v>74</v>
      </c>
      <c r="BP645" t="s">
        <v>74</v>
      </c>
      <c r="BQ645" t="s">
        <v>74</v>
      </c>
      <c r="BR645" t="s">
        <v>103</v>
      </c>
      <c r="BS645" t="s">
        <v>12558</v>
      </c>
      <c r="BT645" t="str">
        <f>HYPERLINK("https%3A%2F%2Fwww.webofscience.com%2Fwos%2Fwoscc%2Ffull-record%2FWOS:000324142700001","View Full Record in Web of Science")</f>
        <v>View Full Record in Web of Science</v>
      </c>
    </row>
    <row r="646" spans="1:72" x14ac:dyDescent="0.15">
      <c r="A646" t="s">
        <v>72</v>
      </c>
      <c r="B646" t="s">
        <v>12559</v>
      </c>
      <c r="C646" t="s">
        <v>74</v>
      </c>
      <c r="D646" t="s">
        <v>74</v>
      </c>
      <c r="E646" t="s">
        <v>74</v>
      </c>
      <c r="F646" t="s">
        <v>12560</v>
      </c>
      <c r="G646" t="s">
        <v>74</v>
      </c>
      <c r="H646" t="s">
        <v>74</v>
      </c>
      <c r="I646" t="s">
        <v>12561</v>
      </c>
      <c r="J646" t="s">
        <v>3167</v>
      </c>
      <c r="K646" t="s">
        <v>74</v>
      </c>
      <c r="L646" t="s">
        <v>74</v>
      </c>
      <c r="M646" t="s">
        <v>78</v>
      </c>
      <c r="N646" t="s">
        <v>79</v>
      </c>
      <c r="O646" t="s">
        <v>74</v>
      </c>
      <c r="P646" t="s">
        <v>74</v>
      </c>
      <c r="Q646" t="s">
        <v>74</v>
      </c>
      <c r="R646" t="s">
        <v>74</v>
      </c>
      <c r="S646" t="s">
        <v>74</v>
      </c>
      <c r="T646" t="s">
        <v>12562</v>
      </c>
      <c r="U646" t="s">
        <v>12563</v>
      </c>
      <c r="V646" t="s">
        <v>12564</v>
      </c>
      <c r="W646" t="s">
        <v>12565</v>
      </c>
      <c r="X646" t="s">
        <v>12566</v>
      </c>
      <c r="Y646" t="s">
        <v>12567</v>
      </c>
      <c r="Z646" t="s">
        <v>12568</v>
      </c>
      <c r="AA646" t="s">
        <v>12569</v>
      </c>
      <c r="AB646" t="s">
        <v>12570</v>
      </c>
      <c r="AC646" t="s">
        <v>12571</v>
      </c>
      <c r="AD646" t="s">
        <v>12572</v>
      </c>
      <c r="AE646" t="s">
        <v>12573</v>
      </c>
      <c r="AF646" t="s">
        <v>74</v>
      </c>
      <c r="AG646">
        <v>73</v>
      </c>
      <c r="AH646">
        <v>13</v>
      </c>
      <c r="AI646">
        <v>15</v>
      </c>
      <c r="AJ646">
        <v>1</v>
      </c>
      <c r="AK646">
        <v>20</v>
      </c>
      <c r="AL646" t="s">
        <v>1067</v>
      </c>
      <c r="AM646" t="s">
        <v>921</v>
      </c>
      <c r="AN646" t="s">
        <v>2493</v>
      </c>
      <c r="AO646" t="s">
        <v>3178</v>
      </c>
      <c r="AP646" t="s">
        <v>3179</v>
      </c>
      <c r="AQ646" t="s">
        <v>74</v>
      </c>
      <c r="AR646" t="s">
        <v>3180</v>
      </c>
      <c r="AS646" t="s">
        <v>3181</v>
      </c>
      <c r="AT646" t="s">
        <v>11635</v>
      </c>
      <c r="AU646">
        <v>2013</v>
      </c>
      <c r="AV646">
        <v>36</v>
      </c>
      <c r="AW646">
        <v>10</v>
      </c>
      <c r="AX646" t="s">
        <v>74</v>
      </c>
      <c r="AY646" t="s">
        <v>74</v>
      </c>
      <c r="AZ646" t="s">
        <v>74</v>
      </c>
      <c r="BA646" t="s">
        <v>74</v>
      </c>
      <c r="BB646">
        <v>1415</v>
      </c>
      <c r="BC646">
        <v>1430</v>
      </c>
      <c r="BD646" t="s">
        <v>74</v>
      </c>
      <c r="BE646" t="s">
        <v>12574</v>
      </c>
      <c r="BF646" t="str">
        <f>HYPERLINK("http://dx.doi.org/10.1007/s00300-013-1360-2","http://dx.doi.org/10.1007/s00300-013-1360-2")</f>
        <v>http://dx.doi.org/10.1007/s00300-013-1360-2</v>
      </c>
      <c r="BG646" t="s">
        <v>74</v>
      </c>
      <c r="BH646" t="s">
        <v>74</v>
      </c>
      <c r="BI646">
        <v>16</v>
      </c>
      <c r="BJ646" t="s">
        <v>3183</v>
      </c>
      <c r="BK646" t="s">
        <v>99</v>
      </c>
      <c r="BL646" t="s">
        <v>1050</v>
      </c>
      <c r="BM646" t="s">
        <v>12557</v>
      </c>
      <c r="BN646" t="s">
        <v>74</v>
      </c>
      <c r="BO646" t="s">
        <v>74</v>
      </c>
      <c r="BP646" t="s">
        <v>74</v>
      </c>
      <c r="BQ646" t="s">
        <v>74</v>
      </c>
      <c r="BR646" t="s">
        <v>103</v>
      </c>
      <c r="BS646" t="s">
        <v>12575</v>
      </c>
      <c r="BT646" t="str">
        <f>HYPERLINK("https%3A%2F%2Fwww.webofscience.com%2Fwos%2Fwoscc%2Ffull-record%2FWOS:000324142700003","View Full Record in Web of Science")</f>
        <v>View Full Record in Web of Science</v>
      </c>
    </row>
    <row r="647" spans="1:72" x14ac:dyDescent="0.15">
      <c r="A647" t="s">
        <v>72</v>
      </c>
      <c r="B647" t="s">
        <v>12576</v>
      </c>
      <c r="C647" t="s">
        <v>74</v>
      </c>
      <c r="D647" t="s">
        <v>74</v>
      </c>
      <c r="E647" t="s">
        <v>74</v>
      </c>
      <c r="F647" t="s">
        <v>12577</v>
      </c>
      <c r="G647" t="s">
        <v>74</v>
      </c>
      <c r="H647" t="s">
        <v>74</v>
      </c>
      <c r="I647" t="s">
        <v>12578</v>
      </c>
      <c r="J647" t="s">
        <v>3167</v>
      </c>
      <c r="K647" t="s">
        <v>74</v>
      </c>
      <c r="L647" t="s">
        <v>74</v>
      </c>
      <c r="M647" t="s">
        <v>78</v>
      </c>
      <c r="N647" t="s">
        <v>79</v>
      </c>
      <c r="O647" t="s">
        <v>74</v>
      </c>
      <c r="P647" t="s">
        <v>74</v>
      </c>
      <c r="Q647" t="s">
        <v>74</v>
      </c>
      <c r="R647" t="s">
        <v>74</v>
      </c>
      <c r="S647" t="s">
        <v>74</v>
      </c>
      <c r="T647" t="s">
        <v>12579</v>
      </c>
      <c r="U647" t="s">
        <v>12580</v>
      </c>
      <c r="V647" t="s">
        <v>12581</v>
      </c>
      <c r="W647" t="s">
        <v>12582</v>
      </c>
      <c r="X647" t="s">
        <v>12583</v>
      </c>
      <c r="Y647" t="s">
        <v>12584</v>
      </c>
      <c r="Z647" t="s">
        <v>12585</v>
      </c>
      <c r="AA647" t="s">
        <v>12586</v>
      </c>
      <c r="AB647" t="s">
        <v>12587</v>
      </c>
      <c r="AC647" t="s">
        <v>12588</v>
      </c>
      <c r="AD647" t="s">
        <v>12588</v>
      </c>
      <c r="AE647" t="s">
        <v>12589</v>
      </c>
      <c r="AF647" t="s">
        <v>74</v>
      </c>
      <c r="AG647">
        <v>54</v>
      </c>
      <c r="AH647">
        <v>7</v>
      </c>
      <c r="AI647">
        <v>7</v>
      </c>
      <c r="AJ647">
        <v>1</v>
      </c>
      <c r="AK647">
        <v>22</v>
      </c>
      <c r="AL647" t="s">
        <v>1067</v>
      </c>
      <c r="AM647" t="s">
        <v>921</v>
      </c>
      <c r="AN647" t="s">
        <v>2690</v>
      </c>
      <c r="AO647" t="s">
        <v>3178</v>
      </c>
      <c r="AP647" t="s">
        <v>74</v>
      </c>
      <c r="AQ647" t="s">
        <v>74</v>
      </c>
      <c r="AR647" t="s">
        <v>3180</v>
      </c>
      <c r="AS647" t="s">
        <v>3181</v>
      </c>
      <c r="AT647" t="s">
        <v>11635</v>
      </c>
      <c r="AU647">
        <v>2013</v>
      </c>
      <c r="AV647">
        <v>36</v>
      </c>
      <c r="AW647">
        <v>10</v>
      </c>
      <c r="AX647" t="s">
        <v>74</v>
      </c>
      <c r="AY647" t="s">
        <v>74</v>
      </c>
      <c r="AZ647" t="s">
        <v>74</v>
      </c>
      <c r="BA647" t="s">
        <v>74</v>
      </c>
      <c r="BB647">
        <v>1431</v>
      </c>
      <c r="BC647">
        <v>1439</v>
      </c>
      <c r="BD647" t="s">
        <v>74</v>
      </c>
      <c r="BE647" t="s">
        <v>12590</v>
      </c>
      <c r="BF647" t="str">
        <f>HYPERLINK("http://dx.doi.org/10.1007/s00300-013-1361-1","http://dx.doi.org/10.1007/s00300-013-1361-1")</f>
        <v>http://dx.doi.org/10.1007/s00300-013-1361-1</v>
      </c>
      <c r="BG647" t="s">
        <v>74</v>
      </c>
      <c r="BH647" t="s">
        <v>74</v>
      </c>
      <c r="BI647">
        <v>9</v>
      </c>
      <c r="BJ647" t="s">
        <v>3183</v>
      </c>
      <c r="BK647" t="s">
        <v>99</v>
      </c>
      <c r="BL647" t="s">
        <v>1050</v>
      </c>
      <c r="BM647" t="s">
        <v>12557</v>
      </c>
      <c r="BN647" t="s">
        <v>74</v>
      </c>
      <c r="BO647" t="s">
        <v>74</v>
      </c>
      <c r="BP647" t="s">
        <v>74</v>
      </c>
      <c r="BQ647" t="s">
        <v>74</v>
      </c>
      <c r="BR647" t="s">
        <v>103</v>
      </c>
      <c r="BS647" t="s">
        <v>12591</v>
      </c>
      <c r="BT647" t="str">
        <f>HYPERLINK("https%3A%2F%2Fwww.webofscience.com%2Fwos%2Fwoscc%2Ffull-record%2FWOS:000324142700004","View Full Record in Web of Science")</f>
        <v>View Full Record in Web of Science</v>
      </c>
    </row>
    <row r="648" spans="1:72" x14ac:dyDescent="0.15">
      <c r="A648" t="s">
        <v>72</v>
      </c>
      <c r="B648" t="s">
        <v>12592</v>
      </c>
      <c r="C648" t="s">
        <v>74</v>
      </c>
      <c r="D648" t="s">
        <v>74</v>
      </c>
      <c r="E648" t="s">
        <v>74</v>
      </c>
      <c r="F648" t="s">
        <v>12593</v>
      </c>
      <c r="G648" t="s">
        <v>74</v>
      </c>
      <c r="H648" t="s">
        <v>74</v>
      </c>
      <c r="I648" t="s">
        <v>12594</v>
      </c>
      <c r="J648" t="s">
        <v>3167</v>
      </c>
      <c r="K648" t="s">
        <v>74</v>
      </c>
      <c r="L648" t="s">
        <v>74</v>
      </c>
      <c r="M648" t="s">
        <v>78</v>
      </c>
      <c r="N648" t="s">
        <v>79</v>
      </c>
      <c r="O648" t="s">
        <v>74</v>
      </c>
      <c r="P648" t="s">
        <v>74</v>
      </c>
      <c r="Q648" t="s">
        <v>74</v>
      </c>
      <c r="R648" t="s">
        <v>74</v>
      </c>
      <c r="S648" t="s">
        <v>74</v>
      </c>
      <c r="T648" t="s">
        <v>12595</v>
      </c>
      <c r="U648" t="s">
        <v>12596</v>
      </c>
      <c r="V648" t="s">
        <v>12597</v>
      </c>
      <c r="W648" t="s">
        <v>12598</v>
      </c>
      <c r="X648" t="s">
        <v>12599</v>
      </c>
      <c r="Y648" t="s">
        <v>12600</v>
      </c>
      <c r="Z648" t="s">
        <v>12601</v>
      </c>
      <c r="AA648" t="s">
        <v>12235</v>
      </c>
      <c r="AB648" t="s">
        <v>12602</v>
      </c>
      <c r="AC648" t="s">
        <v>12237</v>
      </c>
      <c r="AD648" t="s">
        <v>12238</v>
      </c>
      <c r="AE648" t="s">
        <v>12603</v>
      </c>
      <c r="AF648" t="s">
        <v>74</v>
      </c>
      <c r="AG648">
        <v>41</v>
      </c>
      <c r="AH648">
        <v>7</v>
      </c>
      <c r="AI648">
        <v>8</v>
      </c>
      <c r="AJ648">
        <v>1</v>
      </c>
      <c r="AK648">
        <v>25</v>
      </c>
      <c r="AL648" t="s">
        <v>1067</v>
      </c>
      <c r="AM648" t="s">
        <v>921</v>
      </c>
      <c r="AN648" t="s">
        <v>2690</v>
      </c>
      <c r="AO648" t="s">
        <v>3178</v>
      </c>
      <c r="AP648" t="s">
        <v>3179</v>
      </c>
      <c r="AQ648" t="s">
        <v>74</v>
      </c>
      <c r="AR648" t="s">
        <v>3180</v>
      </c>
      <c r="AS648" t="s">
        <v>3181</v>
      </c>
      <c r="AT648" t="s">
        <v>11635</v>
      </c>
      <c r="AU648">
        <v>2013</v>
      </c>
      <c r="AV648">
        <v>36</v>
      </c>
      <c r="AW648">
        <v>10</v>
      </c>
      <c r="AX648" t="s">
        <v>74</v>
      </c>
      <c r="AY648" t="s">
        <v>74</v>
      </c>
      <c r="AZ648" t="s">
        <v>74</v>
      </c>
      <c r="BA648" t="s">
        <v>74</v>
      </c>
      <c r="BB648">
        <v>1441</v>
      </c>
      <c r="BC648">
        <v>1450</v>
      </c>
      <c r="BD648" t="s">
        <v>74</v>
      </c>
      <c r="BE648" t="s">
        <v>12604</v>
      </c>
      <c r="BF648" t="str">
        <f>HYPERLINK("http://dx.doi.org/10.1007/s00300-013-1362-0","http://dx.doi.org/10.1007/s00300-013-1362-0")</f>
        <v>http://dx.doi.org/10.1007/s00300-013-1362-0</v>
      </c>
      <c r="BG648" t="s">
        <v>74</v>
      </c>
      <c r="BH648" t="s">
        <v>74</v>
      </c>
      <c r="BI648">
        <v>10</v>
      </c>
      <c r="BJ648" t="s">
        <v>3183</v>
      </c>
      <c r="BK648" t="s">
        <v>99</v>
      </c>
      <c r="BL648" t="s">
        <v>1050</v>
      </c>
      <c r="BM648" t="s">
        <v>12557</v>
      </c>
      <c r="BN648" t="s">
        <v>74</v>
      </c>
      <c r="BO648" t="s">
        <v>74</v>
      </c>
      <c r="BP648" t="s">
        <v>74</v>
      </c>
      <c r="BQ648" t="s">
        <v>74</v>
      </c>
      <c r="BR648" t="s">
        <v>103</v>
      </c>
      <c r="BS648" t="s">
        <v>12605</v>
      </c>
      <c r="BT648" t="str">
        <f>HYPERLINK("https%3A%2F%2Fwww.webofscience.com%2Fwos%2Fwoscc%2Ffull-record%2FWOS:000324142700005","View Full Record in Web of Science")</f>
        <v>View Full Record in Web of Science</v>
      </c>
    </row>
    <row r="649" spans="1:72" x14ac:dyDescent="0.15">
      <c r="A649" t="s">
        <v>72</v>
      </c>
      <c r="B649" t="s">
        <v>12606</v>
      </c>
      <c r="C649" t="s">
        <v>74</v>
      </c>
      <c r="D649" t="s">
        <v>74</v>
      </c>
      <c r="E649" t="s">
        <v>74</v>
      </c>
      <c r="F649" t="s">
        <v>12607</v>
      </c>
      <c r="G649" t="s">
        <v>74</v>
      </c>
      <c r="H649" t="s">
        <v>74</v>
      </c>
      <c r="I649" t="s">
        <v>12608</v>
      </c>
      <c r="J649" t="s">
        <v>3167</v>
      </c>
      <c r="K649" t="s">
        <v>74</v>
      </c>
      <c r="L649" t="s">
        <v>74</v>
      </c>
      <c r="M649" t="s">
        <v>78</v>
      </c>
      <c r="N649" t="s">
        <v>79</v>
      </c>
      <c r="O649" t="s">
        <v>74</v>
      </c>
      <c r="P649" t="s">
        <v>74</v>
      </c>
      <c r="Q649" t="s">
        <v>74</v>
      </c>
      <c r="R649" t="s">
        <v>74</v>
      </c>
      <c r="S649" t="s">
        <v>74</v>
      </c>
      <c r="T649" t="s">
        <v>12609</v>
      </c>
      <c r="U649" t="s">
        <v>12610</v>
      </c>
      <c r="V649" t="s">
        <v>12611</v>
      </c>
      <c r="W649" t="s">
        <v>12612</v>
      </c>
      <c r="X649" t="s">
        <v>12613</v>
      </c>
      <c r="Y649" t="s">
        <v>12614</v>
      </c>
      <c r="Z649" t="s">
        <v>12615</v>
      </c>
      <c r="AA649" t="s">
        <v>74</v>
      </c>
      <c r="AB649" t="s">
        <v>74</v>
      </c>
      <c r="AC649" t="s">
        <v>74</v>
      </c>
      <c r="AD649" t="s">
        <v>74</v>
      </c>
      <c r="AE649" t="s">
        <v>74</v>
      </c>
      <c r="AF649" t="s">
        <v>74</v>
      </c>
      <c r="AG649">
        <v>52</v>
      </c>
      <c r="AH649">
        <v>13</v>
      </c>
      <c r="AI649">
        <v>17</v>
      </c>
      <c r="AJ649">
        <v>3</v>
      </c>
      <c r="AK649">
        <v>30</v>
      </c>
      <c r="AL649" t="s">
        <v>1067</v>
      </c>
      <c r="AM649" t="s">
        <v>921</v>
      </c>
      <c r="AN649" t="s">
        <v>2690</v>
      </c>
      <c r="AO649" t="s">
        <v>3178</v>
      </c>
      <c r="AP649" t="s">
        <v>74</v>
      </c>
      <c r="AQ649" t="s">
        <v>74</v>
      </c>
      <c r="AR649" t="s">
        <v>3180</v>
      </c>
      <c r="AS649" t="s">
        <v>3181</v>
      </c>
      <c r="AT649" t="s">
        <v>11635</v>
      </c>
      <c r="AU649">
        <v>2013</v>
      </c>
      <c r="AV649">
        <v>36</v>
      </c>
      <c r="AW649">
        <v>10</v>
      </c>
      <c r="AX649" t="s">
        <v>74</v>
      </c>
      <c r="AY649" t="s">
        <v>74</v>
      </c>
      <c r="AZ649" t="s">
        <v>74</v>
      </c>
      <c r="BA649" t="s">
        <v>74</v>
      </c>
      <c r="BB649">
        <v>1451</v>
      </c>
      <c r="BC649">
        <v>1462</v>
      </c>
      <c r="BD649" t="s">
        <v>74</v>
      </c>
      <c r="BE649" t="s">
        <v>12616</v>
      </c>
      <c r="BF649" t="str">
        <f>HYPERLINK("http://dx.doi.org/10.1007/s00300-013-1363-z","http://dx.doi.org/10.1007/s00300-013-1363-z")</f>
        <v>http://dx.doi.org/10.1007/s00300-013-1363-z</v>
      </c>
      <c r="BG649" t="s">
        <v>74</v>
      </c>
      <c r="BH649" t="s">
        <v>74</v>
      </c>
      <c r="BI649">
        <v>12</v>
      </c>
      <c r="BJ649" t="s">
        <v>3183</v>
      </c>
      <c r="BK649" t="s">
        <v>99</v>
      </c>
      <c r="BL649" t="s">
        <v>1050</v>
      </c>
      <c r="BM649" t="s">
        <v>12557</v>
      </c>
      <c r="BN649" t="s">
        <v>74</v>
      </c>
      <c r="BO649" t="s">
        <v>74</v>
      </c>
      <c r="BP649" t="s">
        <v>74</v>
      </c>
      <c r="BQ649" t="s">
        <v>74</v>
      </c>
      <c r="BR649" t="s">
        <v>103</v>
      </c>
      <c r="BS649" t="s">
        <v>12617</v>
      </c>
      <c r="BT649" t="str">
        <f>HYPERLINK("https%3A%2F%2Fwww.webofscience.com%2Fwos%2Fwoscc%2Ffull-record%2FWOS:000324142700006","View Full Record in Web of Science")</f>
        <v>View Full Record in Web of Science</v>
      </c>
    </row>
    <row r="650" spans="1:72" x14ac:dyDescent="0.15">
      <c r="A650" t="s">
        <v>72</v>
      </c>
      <c r="B650" t="s">
        <v>12618</v>
      </c>
      <c r="C650" t="s">
        <v>74</v>
      </c>
      <c r="D650" t="s">
        <v>74</v>
      </c>
      <c r="E650" t="s">
        <v>74</v>
      </c>
      <c r="F650" t="s">
        <v>12619</v>
      </c>
      <c r="G650" t="s">
        <v>74</v>
      </c>
      <c r="H650" t="s">
        <v>74</v>
      </c>
      <c r="I650" t="s">
        <v>12620</v>
      </c>
      <c r="J650" t="s">
        <v>3167</v>
      </c>
      <c r="K650" t="s">
        <v>74</v>
      </c>
      <c r="L650" t="s">
        <v>74</v>
      </c>
      <c r="M650" t="s">
        <v>78</v>
      </c>
      <c r="N650" t="s">
        <v>79</v>
      </c>
      <c r="O650" t="s">
        <v>74</v>
      </c>
      <c r="P650" t="s">
        <v>74</v>
      </c>
      <c r="Q650" t="s">
        <v>74</v>
      </c>
      <c r="R650" t="s">
        <v>74</v>
      </c>
      <c r="S650" t="s">
        <v>74</v>
      </c>
      <c r="T650" t="s">
        <v>12621</v>
      </c>
      <c r="U650" t="s">
        <v>12622</v>
      </c>
      <c r="V650" t="s">
        <v>12623</v>
      </c>
      <c r="W650" t="s">
        <v>12624</v>
      </c>
      <c r="X650" t="s">
        <v>12625</v>
      </c>
      <c r="Y650" t="s">
        <v>12626</v>
      </c>
      <c r="Z650" t="s">
        <v>12627</v>
      </c>
      <c r="AA650" t="s">
        <v>12628</v>
      </c>
      <c r="AB650" t="s">
        <v>12629</v>
      </c>
      <c r="AC650" t="s">
        <v>12630</v>
      </c>
      <c r="AD650" t="s">
        <v>12631</v>
      </c>
      <c r="AE650" t="s">
        <v>12632</v>
      </c>
      <c r="AF650" t="s">
        <v>74</v>
      </c>
      <c r="AG650">
        <v>64</v>
      </c>
      <c r="AH650">
        <v>28</v>
      </c>
      <c r="AI650">
        <v>29</v>
      </c>
      <c r="AJ650">
        <v>0</v>
      </c>
      <c r="AK650">
        <v>54</v>
      </c>
      <c r="AL650" t="s">
        <v>1067</v>
      </c>
      <c r="AM650" t="s">
        <v>921</v>
      </c>
      <c r="AN650" t="s">
        <v>2690</v>
      </c>
      <c r="AO650" t="s">
        <v>3178</v>
      </c>
      <c r="AP650" t="s">
        <v>3179</v>
      </c>
      <c r="AQ650" t="s">
        <v>74</v>
      </c>
      <c r="AR650" t="s">
        <v>3180</v>
      </c>
      <c r="AS650" t="s">
        <v>3181</v>
      </c>
      <c r="AT650" t="s">
        <v>11635</v>
      </c>
      <c r="AU650">
        <v>2013</v>
      </c>
      <c r="AV650">
        <v>36</v>
      </c>
      <c r="AW650">
        <v>10</v>
      </c>
      <c r="AX650" t="s">
        <v>74</v>
      </c>
      <c r="AY650" t="s">
        <v>74</v>
      </c>
      <c r="AZ650" t="s">
        <v>74</v>
      </c>
      <c r="BA650" t="s">
        <v>74</v>
      </c>
      <c r="BB650">
        <v>1483</v>
      </c>
      <c r="BC650">
        <v>1497</v>
      </c>
      <c r="BD650" t="s">
        <v>74</v>
      </c>
      <c r="BE650" t="s">
        <v>12633</v>
      </c>
      <c r="BF650" t="str">
        <f>HYPERLINK("http://dx.doi.org/10.1007/s00300-013-1368-7","http://dx.doi.org/10.1007/s00300-013-1368-7")</f>
        <v>http://dx.doi.org/10.1007/s00300-013-1368-7</v>
      </c>
      <c r="BG650" t="s">
        <v>74</v>
      </c>
      <c r="BH650" t="s">
        <v>74</v>
      </c>
      <c r="BI650">
        <v>15</v>
      </c>
      <c r="BJ650" t="s">
        <v>3183</v>
      </c>
      <c r="BK650" t="s">
        <v>99</v>
      </c>
      <c r="BL650" t="s">
        <v>1050</v>
      </c>
      <c r="BM650" t="s">
        <v>12557</v>
      </c>
      <c r="BN650" t="s">
        <v>74</v>
      </c>
      <c r="BO650" t="s">
        <v>12634</v>
      </c>
      <c r="BP650" t="s">
        <v>74</v>
      </c>
      <c r="BQ650" t="s">
        <v>74</v>
      </c>
      <c r="BR650" t="s">
        <v>103</v>
      </c>
      <c r="BS650" t="s">
        <v>12635</v>
      </c>
      <c r="BT650" t="str">
        <f>HYPERLINK("https%3A%2F%2Fwww.webofscience.com%2Fwos%2Fwoscc%2Ffull-record%2FWOS:000324142700009","View Full Record in Web of Science")</f>
        <v>View Full Record in Web of Science</v>
      </c>
    </row>
    <row r="651" spans="1:72" x14ac:dyDescent="0.15">
      <c r="A651" t="s">
        <v>72</v>
      </c>
      <c r="B651" t="s">
        <v>12636</v>
      </c>
      <c r="C651" t="s">
        <v>74</v>
      </c>
      <c r="D651" t="s">
        <v>74</v>
      </c>
      <c r="E651" t="s">
        <v>74</v>
      </c>
      <c r="F651" t="s">
        <v>12637</v>
      </c>
      <c r="G651" t="s">
        <v>74</v>
      </c>
      <c r="H651" t="s">
        <v>74</v>
      </c>
      <c r="I651" t="s">
        <v>12638</v>
      </c>
      <c r="J651" t="s">
        <v>3167</v>
      </c>
      <c r="K651" t="s">
        <v>74</v>
      </c>
      <c r="L651" t="s">
        <v>74</v>
      </c>
      <c r="M651" t="s">
        <v>78</v>
      </c>
      <c r="N651" t="s">
        <v>79</v>
      </c>
      <c r="O651" t="s">
        <v>74</v>
      </c>
      <c r="P651" t="s">
        <v>74</v>
      </c>
      <c r="Q651" t="s">
        <v>74</v>
      </c>
      <c r="R651" t="s">
        <v>74</v>
      </c>
      <c r="S651" t="s">
        <v>74</v>
      </c>
      <c r="T651" t="s">
        <v>12639</v>
      </c>
      <c r="U651" t="s">
        <v>12640</v>
      </c>
      <c r="V651" t="s">
        <v>12641</v>
      </c>
      <c r="W651" t="s">
        <v>12642</v>
      </c>
      <c r="X651" t="s">
        <v>12643</v>
      </c>
      <c r="Y651" t="s">
        <v>12644</v>
      </c>
      <c r="Z651" t="s">
        <v>12072</v>
      </c>
      <c r="AA651" t="s">
        <v>12645</v>
      </c>
      <c r="AB651" t="s">
        <v>12646</v>
      </c>
      <c r="AC651" t="s">
        <v>12647</v>
      </c>
      <c r="AD651" t="s">
        <v>12648</v>
      </c>
      <c r="AE651" t="s">
        <v>12649</v>
      </c>
      <c r="AF651" t="s">
        <v>74</v>
      </c>
      <c r="AG651">
        <v>52</v>
      </c>
      <c r="AH651">
        <v>5</v>
      </c>
      <c r="AI651">
        <v>5</v>
      </c>
      <c r="AJ651">
        <v>0</v>
      </c>
      <c r="AK651">
        <v>28</v>
      </c>
      <c r="AL651" t="s">
        <v>1067</v>
      </c>
      <c r="AM651" t="s">
        <v>921</v>
      </c>
      <c r="AN651" t="s">
        <v>2690</v>
      </c>
      <c r="AO651" t="s">
        <v>3178</v>
      </c>
      <c r="AP651" t="s">
        <v>3179</v>
      </c>
      <c r="AQ651" t="s">
        <v>74</v>
      </c>
      <c r="AR651" t="s">
        <v>3180</v>
      </c>
      <c r="AS651" t="s">
        <v>3181</v>
      </c>
      <c r="AT651" t="s">
        <v>11635</v>
      </c>
      <c r="AU651">
        <v>2013</v>
      </c>
      <c r="AV651">
        <v>36</v>
      </c>
      <c r="AW651">
        <v>10</v>
      </c>
      <c r="AX651" t="s">
        <v>74</v>
      </c>
      <c r="AY651" t="s">
        <v>74</v>
      </c>
      <c r="AZ651" t="s">
        <v>74</v>
      </c>
      <c r="BA651" t="s">
        <v>74</v>
      </c>
      <c r="BB651">
        <v>1509</v>
      </c>
      <c r="BC651">
        <v>1518</v>
      </c>
      <c r="BD651" t="s">
        <v>74</v>
      </c>
      <c r="BE651" t="s">
        <v>12650</v>
      </c>
      <c r="BF651" t="str">
        <f>HYPERLINK("http://dx.doi.org/10.1007/s00300-013-1370-0","http://dx.doi.org/10.1007/s00300-013-1370-0")</f>
        <v>http://dx.doi.org/10.1007/s00300-013-1370-0</v>
      </c>
      <c r="BG651" t="s">
        <v>74</v>
      </c>
      <c r="BH651" t="s">
        <v>74</v>
      </c>
      <c r="BI651">
        <v>10</v>
      </c>
      <c r="BJ651" t="s">
        <v>3183</v>
      </c>
      <c r="BK651" t="s">
        <v>99</v>
      </c>
      <c r="BL651" t="s">
        <v>1050</v>
      </c>
      <c r="BM651" t="s">
        <v>12557</v>
      </c>
      <c r="BN651" t="s">
        <v>74</v>
      </c>
      <c r="BO651" t="s">
        <v>1145</v>
      </c>
      <c r="BP651" t="s">
        <v>74</v>
      </c>
      <c r="BQ651" t="s">
        <v>74</v>
      </c>
      <c r="BR651" t="s">
        <v>103</v>
      </c>
      <c r="BS651" t="s">
        <v>12651</v>
      </c>
      <c r="BT651" t="str">
        <f>HYPERLINK("https%3A%2F%2Fwww.webofscience.com%2Fwos%2Fwoscc%2Ffull-record%2FWOS:000324142700011","View Full Record in Web of Science")</f>
        <v>View Full Record in Web of Science</v>
      </c>
    </row>
    <row r="652" spans="1:72" x14ac:dyDescent="0.15">
      <c r="A652" t="s">
        <v>72</v>
      </c>
      <c r="B652" t="s">
        <v>12652</v>
      </c>
      <c r="C652" t="s">
        <v>74</v>
      </c>
      <c r="D652" t="s">
        <v>74</v>
      </c>
      <c r="E652" t="s">
        <v>74</v>
      </c>
      <c r="F652" t="s">
        <v>12653</v>
      </c>
      <c r="G652" t="s">
        <v>74</v>
      </c>
      <c r="H652" t="s">
        <v>74</v>
      </c>
      <c r="I652" t="s">
        <v>12654</v>
      </c>
      <c r="J652" t="s">
        <v>3167</v>
      </c>
      <c r="K652" t="s">
        <v>74</v>
      </c>
      <c r="L652" t="s">
        <v>74</v>
      </c>
      <c r="M652" t="s">
        <v>78</v>
      </c>
      <c r="N652" t="s">
        <v>79</v>
      </c>
      <c r="O652" t="s">
        <v>74</v>
      </c>
      <c r="P652" t="s">
        <v>74</v>
      </c>
      <c r="Q652" t="s">
        <v>74</v>
      </c>
      <c r="R652" t="s">
        <v>74</v>
      </c>
      <c r="S652" t="s">
        <v>74</v>
      </c>
      <c r="T652" t="s">
        <v>12655</v>
      </c>
      <c r="U652" t="s">
        <v>12656</v>
      </c>
      <c r="V652" t="s">
        <v>12657</v>
      </c>
      <c r="W652" t="s">
        <v>12658</v>
      </c>
      <c r="X652" t="s">
        <v>12659</v>
      </c>
      <c r="Y652" t="s">
        <v>12660</v>
      </c>
      <c r="Z652" t="s">
        <v>12661</v>
      </c>
      <c r="AA652" t="s">
        <v>12662</v>
      </c>
      <c r="AB652" t="s">
        <v>12663</v>
      </c>
      <c r="AC652" t="s">
        <v>12664</v>
      </c>
      <c r="AD652" t="s">
        <v>12665</v>
      </c>
      <c r="AE652" t="s">
        <v>12666</v>
      </c>
      <c r="AF652" t="s">
        <v>74</v>
      </c>
      <c r="AG652">
        <v>18</v>
      </c>
      <c r="AH652">
        <v>12</v>
      </c>
      <c r="AI652">
        <v>13</v>
      </c>
      <c r="AJ652">
        <v>0</v>
      </c>
      <c r="AK652">
        <v>72</v>
      </c>
      <c r="AL652" t="s">
        <v>1067</v>
      </c>
      <c r="AM652" t="s">
        <v>921</v>
      </c>
      <c r="AN652" t="s">
        <v>2690</v>
      </c>
      <c r="AO652" t="s">
        <v>3178</v>
      </c>
      <c r="AP652" t="s">
        <v>74</v>
      </c>
      <c r="AQ652" t="s">
        <v>74</v>
      </c>
      <c r="AR652" t="s">
        <v>3180</v>
      </c>
      <c r="AS652" t="s">
        <v>3181</v>
      </c>
      <c r="AT652" t="s">
        <v>11635</v>
      </c>
      <c r="AU652">
        <v>2013</v>
      </c>
      <c r="AV652">
        <v>36</v>
      </c>
      <c r="AW652">
        <v>10</v>
      </c>
      <c r="AX652" t="s">
        <v>74</v>
      </c>
      <c r="AY652" t="s">
        <v>74</v>
      </c>
      <c r="AZ652" t="s">
        <v>74</v>
      </c>
      <c r="BA652" t="s">
        <v>74</v>
      </c>
      <c r="BB652">
        <v>1531</v>
      </c>
      <c r="BC652">
        <v>1536</v>
      </c>
      <c r="BD652" t="s">
        <v>74</v>
      </c>
      <c r="BE652" t="s">
        <v>12667</v>
      </c>
      <c r="BF652" t="str">
        <f>HYPERLINK("http://dx.doi.org/10.1007/s00300-013-1365-x","http://dx.doi.org/10.1007/s00300-013-1365-x")</f>
        <v>http://dx.doi.org/10.1007/s00300-013-1365-x</v>
      </c>
      <c r="BG652" t="s">
        <v>74</v>
      </c>
      <c r="BH652" t="s">
        <v>74</v>
      </c>
      <c r="BI652">
        <v>6</v>
      </c>
      <c r="BJ652" t="s">
        <v>3183</v>
      </c>
      <c r="BK652" t="s">
        <v>99</v>
      </c>
      <c r="BL652" t="s">
        <v>1050</v>
      </c>
      <c r="BM652" t="s">
        <v>12557</v>
      </c>
      <c r="BN652" t="s">
        <v>74</v>
      </c>
      <c r="BO652" t="s">
        <v>74</v>
      </c>
      <c r="BP652" t="s">
        <v>74</v>
      </c>
      <c r="BQ652" t="s">
        <v>74</v>
      </c>
      <c r="BR652" t="s">
        <v>103</v>
      </c>
      <c r="BS652" t="s">
        <v>12668</v>
      </c>
      <c r="BT652" t="str">
        <f>HYPERLINK("https%3A%2F%2Fwww.webofscience.com%2Fwos%2Fwoscc%2Ffull-record%2FWOS:000324142700014","View Full Record in Web of Science")</f>
        <v>View Full Record in Web of Science</v>
      </c>
    </row>
    <row r="653" spans="1:72" x14ac:dyDescent="0.15">
      <c r="A653" t="s">
        <v>72</v>
      </c>
      <c r="B653" t="s">
        <v>4242</v>
      </c>
      <c r="C653" t="s">
        <v>74</v>
      </c>
      <c r="D653" t="s">
        <v>74</v>
      </c>
      <c r="E653" t="s">
        <v>74</v>
      </c>
      <c r="F653" t="s">
        <v>4243</v>
      </c>
      <c r="G653" t="s">
        <v>74</v>
      </c>
      <c r="H653" t="s">
        <v>74</v>
      </c>
      <c r="I653" t="s">
        <v>12669</v>
      </c>
      <c r="J653" t="s">
        <v>3228</v>
      </c>
      <c r="K653" t="s">
        <v>74</v>
      </c>
      <c r="L653" t="s">
        <v>74</v>
      </c>
      <c r="M653" t="s">
        <v>78</v>
      </c>
      <c r="N653" t="s">
        <v>79</v>
      </c>
      <c r="O653" t="s">
        <v>74</v>
      </c>
      <c r="P653" t="s">
        <v>74</v>
      </c>
      <c r="Q653" t="s">
        <v>74</v>
      </c>
      <c r="R653" t="s">
        <v>74</v>
      </c>
      <c r="S653" t="s">
        <v>74</v>
      </c>
      <c r="T653" t="s">
        <v>74</v>
      </c>
      <c r="U653" t="s">
        <v>74</v>
      </c>
      <c r="V653" t="s">
        <v>12670</v>
      </c>
      <c r="W653" t="s">
        <v>12671</v>
      </c>
      <c r="X653" t="s">
        <v>74</v>
      </c>
      <c r="Y653" t="s">
        <v>12672</v>
      </c>
      <c r="Z653" t="s">
        <v>4248</v>
      </c>
      <c r="AA653" t="s">
        <v>74</v>
      </c>
      <c r="AB653" t="s">
        <v>74</v>
      </c>
      <c r="AC653" t="s">
        <v>74</v>
      </c>
      <c r="AD653" t="s">
        <v>74</v>
      </c>
      <c r="AE653" t="s">
        <v>74</v>
      </c>
      <c r="AF653" t="s">
        <v>74</v>
      </c>
      <c r="AG653">
        <v>39</v>
      </c>
      <c r="AH653">
        <v>2</v>
      </c>
      <c r="AI653">
        <v>2</v>
      </c>
      <c r="AJ653">
        <v>0</v>
      </c>
      <c r="AK653">
        <v>5</v>
      </c>
      <c r="AL653" t="s">
        <v>1748</v>
      </c>
      <c r="AM653" t="s">
        <v>921</v>
      </c>
      <c r="AN653" t="s">
        <v>3232</v>
      </c>
      <c r="AO653" t="s">
        <v>3233</v>
      </c>
      <c r="AP653" t="s">
        <v>3234</v>
      </c>
      <c r="AQ653" t="s">
        <v>74</v>
      </c>
      <c r="AR653" t="s">
        <v>3235</v>
      </c>
      <c r="AS653" t="s">
        <v>3236</v>
      </c>
      <c r="AT653" t="s">
        <v>11635</v>
      </c>
      <c r="AU653">
        <v>2013</v>
      </c>
      <c r="AV653">
        <v>49</v>
      </c>
      <c r="AW653">
        <v>251</v>
      </c>
      <c r="AX653" t="s">
        <v>74</v>
      </c>
      <c r="AY653" t="s">
        <v>74</v>
      </c>
      <c r="AZ653" t="s">
        <v>74</v>
      </c>
      <c r="BA653" t="s">
        <v>74</v>
      </c>
      <c r="BB653">
        <v>321</v>
      </c>
      <c r="BC653">
        <v>327</v>
      </c>
      <c r="BD653" t="s">
        <v>74</v>
      </c>
      <c r="BE653" t="s">
        <v>12673</v>
      </c>
      <c r="BF653" t="str">
        <f>HYPERLINK("http://dx.doi.org/10.1017/S0032247412000381","http://dx.doi.org/10.1017/S0032247412000381")</f>
        <v>http://dx.doi.org/10.1017/S0032247412000381</v>
      </c>
      <c r="BG653" t="s">
        <v>74</v>
      </c>
      <c r="BH653" t="s">
        <v>74</v>
      </c>
      <c r="BI653">
        <v>7</v>
      </c>
      <c r="BJ653" t="s">
        <v>3238</v>
      </c>
      <c r="BK653" t="s">
        <v>99</v>
      </c>
      <c r="BL653" t="s">
        <v>420</v>
      </c>
      <c r="BM653" t="s">
        <v>12674</v>
      </c>
      <c r="BN653" t="s">
        <v>74</v>
      </c>
      <c r="BO653" t="s">
        <v>74</v>
      </c>
      <c r="BP653" t="s">
        <v>74</v>
      </c>
      <c r="BQ653" t="s">
        <v>74</v>
      </c>
      <c r="BR653" t="s">
        <v>103</v>
      </c>
      <c r="BS653" t="s">
        <v>12675</v>
      </c>
      <c r="BT653" t="str">
        <f>HYPERLINK("https%3A%2F%2Fwww.webofscience.com%2Fwos%2Fwoscc%2Ffull-record%2FWOS:000324397000001","View Full Record in Web of Science")</f>
        <v>View Full Record in Web of Science</v>
      </c>
    </row>
    <row r="654" spans="1:72" x14ac:dyDescent="0.15">
      <c r="A654" t="s">
        <v>72</v>
      </c>
      <c r="B654" t="s">
        <v>12676</v>
      </c>
      <c r="C654" t="s">
        <v>74</v>
      </c>
      <c r="D654" t="s">
        <v>74</v>
      </c>
      <c r="E654" t="s">
        <v>74</v>
      </c>
      <c r="F654" t="s">
        <v>12677</v>
      </c>
      <c r="G654" t="s">
        <v>74</v>
      </c>
      <c r="H654" t="s">
        <v>74</v>
      </c>
      <c r="I654" t="s">
        <v>12678</v>
      </c>
      <c r="J654" t="s">
        <v>3228</v>
      </c>
      <c r="K654" t="s">
        <v>74</v>
      </c>
      <c r="L654" t="s">
        <v>74</v>
      </c>
      <c r="M654" t="s">
        <v>78</v>
      </c>
      <c r="N654" t="s">
        <v>79</v>
      </c>
      <c r="O654" t="s">
        <v>74</v>
      </c>
      <c r="P654" t="s">
        <v>74</v>
      </c>
      <c r="Q654" t="s">
        <v>74</v>
      </c>
      <c r="R654" t="s">
        <v>74</v>
      </c>
      <c r="S654" t="s">
        <v>74</v>
      </c>
      <c r="T654" t="s">
        <v>74</v>
      </c>
      <c r="U654" t="s">
        <v>74</v>
      </c>
      <c r="V654" t="s">
        <v>12679</v>
      </c>
      <c r="W654" t="s">
        <v>12680</v>
      </c>
      <c r="X654" t="s">
        <v>12681</v>
      </c>
      <c r="Y654" t="s">
        <v>12682</v>
      </c>
      <c r="Z654" t="s">
        <v>12683</v>
      </c>
      <c r="AA654" t="s">
        <v>74</v>
      </c>
      <c r="AB654" t="s">
        <v>74</v>
      </c>
      <c r="AC654" t="s">
        <v>12684</v>
      </c>
      <c r="AD654" t="s">
        <v>12685</v>
      </c>
      <c r="AE654" t="s">
        <v>12686</v>
      </c>
      <c r="AF654" t="s">
        <v>74</v>
      </c>
      <c r="AG654">
        <v>36</v>
      </c>
      <c r="AH654">
        <v>4</v>
      </c>
      <c r="AI654">
        <v>4</v>
      </c>
      <c r="AJ654">
        <v>0</v>
      </c>
      <c r="AK654">
        <v>8</v>
      </c>
      <c r="AL654" t="s">
        <v>1748</v>
      </c>
      <c r="AM654" t="s">
        <v>921</v>
      </c>
      <c r="AN654" t="s">
        <v>3232</v>
      </c>
      <c r="AO654" t="s">
        <v>3233</v>
      </c>
      <c r="AP654" t="s">
        <v>74</v>
      </c>
      <c r="AQ654" t="s">
        <v>74</v>
      </c>
      <c r="AR654" t="s">
        <v>3235</v>
      </c>
      <c r="AS654" t="s">
        <v>3236</v>
      </c>
      <c r="AT654" t="s">
        <v>11635</v>
      </c>
      <c r="AU654">
        <v>2013</v>
      </c>
      <c r="AV654">
        <v>49</v>
      </c>
      <c r="AW654">
        <v>251</v>
      </c>
      <c r="AX654" t="s">
        <v>74</v>
      </c>
      <c r="AY654" t="s">
        <v>74</v>
      </c>
      <c r="AZ654" t="s">
        <v>74</v>
      </c>
      <c r="BA654" t="s">
        <v>74</v>
      </c>
      <c r="BB654">
        <v>381</v>
      </c>
      <c r="BC654">
        <v>391</v>
      </c>
      <c r="BD654" t="s">
        <v>74</v>
      </c>
      <c r="BE654" t="s">
        <v>12687</v>
      </c>
      <c r="BF654" t="str">
        <f>HYPERLINK("http://dx.doi.org/10.1017/S0032247412000411","http://dx.doi.org/10.1017/S0032247412000411")</f>
        <v>http://dx.doi.org/10.1017/S0032247412000411</v>
      </c>
      <c r="BG654" t="s">
        <v>74</v>
      </c>
      <c r="BH654" t="s">
        <v>74</v>
      </c>
      <c r="BI654">
        <v>11</v>
      </c>
      <c r="BJ654" t="s">
        <v>3238</v>
      </c>
      <c r="BK654" t="s">
        <v>99</v>
      </c>
      <c r="BL654" t="s">
        <v>420</v>
      </c>
      <c r="BM654" t="s">
        <v>12674</v>
      </c>
      <c r="BN654" t="s">
        <v>74</v>
      </c>
      <c r="BO654" t="s">
        <v>74</v>
      </c>
      <c r="BP654" t="s">
        <v>74</v>
      </c>
      <c r="BQ654" t="s">
        <v>74</v>
      </c>
      <c r="BR654" t="s">
        <v>103</v>
      </c>
      <c r="BS654" t="s">
        <v>12688</v>
      </c>
      <c r="BT654" t="str">
        <f>HYPERLINK("https%3A%2F%2Fwww.webofscience.com%2Fwos%2Fwoscc%2Ffull-record%2FWOS:000324397000006","View Full Record in Web of Science")</f>
        <v>View Full Record in Web of Science</v>
      </c>
    </row>
    <row r="655" spans="1:72" x14ac:dyDescent="0.15">
      <c r="A655" t="s">
        <v>72</v>
      </c>
      <c r="B655" t="s">
        <v>12689</v>
      </c>
      <c r="C655" t="s">
        <v>74</v>
      </c>
      <c r="D655" t="s">
        <v>74</v>
      </c>
      <c r="E655" t="s">
        <v>74</v>
      </c>
      <c r="F655" t="s">
        <v>12690</v>
      </c>
      <c r="G655" t="s">
        <v>74</v>
      </c>
      <c r="H655" t="s">
        <v>74</v>
      </c>
      <c r="I655" t="s">
        <v>12691</v>
      </c>
      <c r="J655" t="s">
        <v>3228</v>
      </c>
      <c r="K655" t="s">
        <v>74</v>
      </c>
      <c r="L655" t="s">
        <v>74</v>
      </c>
      <c r="M655" t="s">
        <v>78</v>
      </c>
      <c r="N655" t="s">
        <v>79</v>
      </c>
      <c r="O655" t="s">
        <v>74</v>
      </c>
      <c r="P655" t="s">
        <v>74</v>
      </c>
      <c r="Q655" t="s">
        <v>74</v>
      </c>
      <c r="R655" t="s">
        <v>74</v>
      </c>
      <c r="S655" t="s">
        <v>74</v>
      </c>
      <c r="T655" t="s">
        <v>74</v>
      </c>
      <c r="U655" t="s">
        <v>74</v>
      </c>
      <c r="V655" t="s">
        <v>12692</v>
      </c>
      <c r="W655" t="s">
        <v>74</v>
      </c>
      <c r="X655" t="s">
        <v>74</v>
      </c>
      <c r="Y655" t="s">
        <v>12693</v>
      </c>
      <c r="Z655" t="s">
        <v>12694</v>
      </c>
      <c r="AA655" t="s">
        <v>74</v>
      </c>
      <c r="AB655" t="s">
        <v>74</v>
      </c>
      <c r="AC655" t="s">
        <v>74</v>
      </c>
      <c r="AD655" t="s">
        <v>74</v>
      </c>
      <c r="AE655" t="s">
        <v>74</v>
      </c>
      <c r="AF655" t="s">
        <v>74</v>
      </c>
      <c r="AG655">
        <v>17</v>
      </c>
      <c r="AH655">
        <v>0</v>
      </c>
      <c r="AI655">
        <v>0</v>
      </c>
      <c r="AJ655">
        <v>0</v>
      </c>
      <c r="AK655">
        <v>4</v>
      </c>
      <c r="AL655" t="s">
        <v>1748</v>
      </c>
      <c r="AM655" t="s">
        <v>921</v>
      </c>
      <c r="AN655" t="s">
        <v>3232</v>
      </c>
      <c r="AO655" t="s">
        <v>3233</v>
      </c>
      <c r="AP655" t="s">
        <v>74</v>
      </c>
      <c r="AQ655" t="s">
        <v>74</v>
      </c>
      <c r="AR655" t="s">
        <v>3235</v>
      </c>
      <c r="AS655" t="s">
        <v>3236</v>
      </c>
      <c r="AT655" t="s">
        <v>11635</v>
      </c>
      <c r="AU655">
        <v>2013</v>
      </c>
      <c r="AV655">
        <v>49</v>
      </c>
      <c r="AW655">
        <v>251</v>
      </c>
      <c r="AX655" t="s">
        <v>74</v>
      </c>
      <c r="AY655" t="s">
        <v>74</v>
      </c>
      <c r="AZ655" t="s">
        <v>74</v>
      </c>
      <c r="BA655" t="s">
        <v>74</v>
      </c>
      <c r="BB655">
        <v>409</v>
      </c>
      <c r="BC655">
        <v>412</v>
      </c>
      <c r="BD655" t="s">
        <v>74</v>
      </c>
      <c r="BE655" t="s">
        <v>12695</v>
      </c>
      <c r="BF655" t="str">
        <f>HYPERLINK("http://dx.doi.org/10.1017/S003224741100074X","http://dx.doi.org/10.1017/S003224741100074X")</f>
        <v>http://dx.doi.org/10.1017/S003224741100074X</v>
      </c>
      <c r="BG655" t="s">
        <v>74</v>
      </c>
      <c r="BH655" t="s">
        <v>74</v>
      </c>
      <c r="BI655">
        <v>4</v>
      </c>
      <c r="BJ655" t="s">
        <v>3238</v>
      </c>
      <c r="BK655" t="s">
        <v>99</v>
      </c>
      <c r="BL655" t="s">
        <v>420</v>
      </c>
      <c r="BM655" t="s">
        <v>12674</v>
      </c>
      <c r="BN655" t="s">
        <v>74</v>
      </c>
      <c r="BO655" t="s">
        <v>74</v>
      </c>
      <c r="BP655" t="s">
        <v>74</v>
      </c>
      <c r="BQ655" t="s">
        <v>74</v>
      </c>
      <c r="BR655" t="s">
        <v>103</v>
      </c>
      <c r="BS655" t="s">
        <v>12696</v>
      </c>
      <c r="BT655" t="str">
        <f>HYPERLINK("https%3A%2F%2Fwww.webofscience.com%2Fwos%2Fwoscc%2Ffull-record%2FWOS:000324397000009","View Full Record in Web of Science")</f>
        <v>View Full Record in Web of Science</v>
      </c>
    </row>
    <row r="656" spans="1:72" x14ac:dyDescent="0.15">
      <c r="A656" t="s">
        <v>72</v>
      </c>
      <c r="B656" t="s">
        <v>12697</v>
      </c>
      <c r="C656" t="s">
        <v>74</v>
      </c>
      <c r="D656" t="s">
        <v>74</v>
      </c>
      <c r="E656" t="s">
        <v>74</v>
      </c>
      <c r="F656" t="s">
        <v>12698</v>
      </c>
      <c r="G656" t="s">
        <v>74</v>
      </c>
      <c r="H656" t="s">
        <v>74</v>
      </c>
      <c r="I656" t="s">
        <v>12699</v>
      </c>
      <c r="J656" t="s">
        <v>7644</v>
      </c>
      <c r="K656" t="s">
        <v>74</v>
      </c>
      <c r="L656" t="s">
        <v>74</v>
      </c>
      <c r="M656" t="s">
        <v>78</v>
      </c>
      <c r="N656" t="s">
        <v>79</v>
      </c>
      <c r="O656" t="s">
        <v>74</v>
      </c>
      <c r="P656" t="s">
        <v>74</v>
      </c>
      <c r="Q656" t="s">
        <v>74</v>
      </c>
      <c r="R656" t="s">
        <v>74</v>
      </c>
      <c r="S656" t="s">
        <v>74</v>
      </c>
      <c r="T656" t="s">
        <v>12700</v>
      </c>
      <c r="U656" t="s">
        <v>12701</v>
      </c>
      <c r="V656" t="s">
        <v>12702</v>
      </c>
      <c r="W656" t="s">
        <v>12703</v>
      </c>
      <c r="X656" t="s">
        <v>6470</v>
      </c>
      <c r="Y656" t="s">
        <v>12704</v>
      </c>
      <c r="Z656" t="s">
        <v>12705</v>
      </c>
      <c r="AA656" t="s">
        <v>12706</v>
      </c>
      <c r="AB656" t="s">
        <v>12707</v>
      </c>
      <c r="AC656" t="s">
        <v>12708</v>
      </c>
      <c r="AD656" t="s">
        <v>12709</v>
      </c>
      <c r="AE656" t="s">
        <v>12710</v>
      </c>
      <c r="AF656" t="s">
        <v>74</v>
      </c>
      <c r="AG656">
        <v>36</v>
      </c>
      <c r="AH656">
        <v>15</v>
      </c>
      <c r="AI656">
        <v>16</v>
      </c>
      <c r="AJ656">
        <v>2</v>
      </c>
      <c r="AK656">
        <v>34</v>
      </c>
      <c r="AL656" t="s">
        <v>4723</v>
      </c>
      <c r="AM656" t="s">
        <v>921</v>
      </c>
      <c r="AN656" t="s">
        <v>7655</v>
      </c>
      <c r="AO656" t="s">
        <v>7656</v>
      </c>
      <c r="AP656" t="s">
        <v>7657</v>
      </c>
      <c r="AQ656" t="s">
        <v>74</v>
      </c>
      <c r="AR656" t="s">
        <v>7658</v>
      </c>
      <c r="AS656" t="s">
        <v>7659</v>
      </c>
      <c r="AT656" t="s">
        <v>11635</v>
      </c>
      <c r="AU656">
        <v>2013</v>
      </c>
      <c r="AV656">
        <v>137</v>
      </c>
      <c r="AW656" t="s">
        <v>74</v>
      </c>
      <c r="AX656" t="s">
        <v>74</v>
      </c>
      <c r="AY656" t="s">
        <v>74</v>
      </c>
      <c r="AZ656" t="s">
        <v>74</v>
      </c>
      <c r="BA656" t="s">
        <v>74</v>
      </c>
      <c r="BB656">
        <v>198</v>
      </c>
      <c r="BC656">
        <v>211</v>
      </c>
      <c r="BD656" t="s">
        <v>74</v>
      </c>
      <c r="BE656" t="s">
        <v>12711</v>
      </c>
      <c r="BF656" t="str">
        <f>HYPERLINK("http://dx.doi.org/10.1016/j.rse.2013.06.017","http://dx.doi.org/10.1016/j.rse.2013.06.017")</f>
        <v>http://dx.doi.org/10.1016/j.rse.2013.06.017</v>
      </c>
      <c r="BG656" t="s">
        <v>74</v>
      </c>
      <c r="BH656" t="s">
        <v>74</v>
      </c>
      <c r="BI656">
        <v>14</v>
      </c>
      <c r="BJ656" t="s">
        <v>7661</v>
      </c>
      <c r="BK656" t="s">
        <v>99</v>
      </c>
      <c r="BL656" t="s">
        <v>7662</v>
      </c>
      <c r="BM656" t="s">
        <v>12712</v>
      </c>
      <c r="BN656" t="s">
        <v>74</v>
      </c>
      <c r="BO656" t="s">
        <v>831</v>
      </c>
      <c r="BP656" t="s">
        <v>74</v>
      </c>
      <c r="BQ656" t="s">
        <v>74</v>
      </c>
      <c r="BR656" t="s">
        <v>103</v>
      </c>
      <c r="BS656" t="s">
        <v>12713</v>
      </c>
      <c r="BT656" t="str">
        <f>HYPERLINK("https%3A%2F%2Fwww.webofscience.com%2Fwos%2Fwoscc%2Ffull-record%2FWOS:000324156600017","View Full Record in Web of Science")</f>
        <v>View Full Record in Web of Science</v>
      </c>
    </row>
    <row r="657" spans="1:72" x14ac:dyDescent="0.15">
      <c r="A657" t="s">
        <v>72</v>
      </c>
      <c r="B657" t="s">
        <v>12714</v>
      </c>
      <c r="C657" t="s">
        <v>74</v>
      </c>
      <c r="D657" t="s">
        <v>74</v>
      </c>
      <c r="E657" t="s">
        <v>74</v>
      </c>
      <c r="F657" t="s">
        <v>12715</v>
      </c>
      <c r="G657" t="s">
        <v>74</v>
      </c>
      <c r="H657" t="s">
        <v>74</v>
      </c>
      <c r="I657" t="s">
        <v>12716</v>
      </c>
      <c r="J657" t="s">
        <v>11323</v>
      </c>
      <c r="K657" t="s">
        <v>74</v>
      </c>
      <c r="L657" t="s">
        <v>74</v>
      </c>
      <c r="M657" t="s">
        <v>78</v>
      </c>
      <c r="N657" t="s">
        <v>79</v>
      </c>
      <c r="O657" t="s">
        <v>74</v>
      </c>
      <c r="P657" t="s">
        <v>74</v>
      </c>
      <c r="Q657" t="s">
        <v>74</v>
      </c>
      <c r="R657" t="s">
        <v>74</v>
      </c>
      <c r="S657" t="s">
        <v>74</v>
      </c>
      <c r="T657" t="s">
        <v>12717</v>
      </c>
      <c r="U657" t="s">
        <v>12718</v>
      </c>
      <c r="V657" t="s">
        <v>12719</v>
      </c>
      <c r="W657" t="s">
        <v>12720</v>
      </c>
      <c r="X657" t="s">
        <v>12721</v>
      </c>
      <c r="Y657" t="s">
        <v>12722</v>
      </c>
      <c r="Z657" t="s">
        <v>12723</v>
      </c>
      <c r="AA657" t="s">
        <v>12724</v>
      </c>
      <c r="AB657" t="s">
        <v>12725</v>
      </c>
      <c r="AC657" t="s">
        <v>12726</v>
      </c>
      <c r="AD657" t="s">
        <v>12727</v>
      </c>
      <c r="AE657" t="s">
        <v>12728</v>
      </c>
      <c r="AF657" t="s">
        <v>74</v>
      </c>
      <c r="AG657">
        <v>28</v>
      </c>
      <c r="AH657">
        <v>11</v>
      </c>
      <c r="AI657">
        <v>11</v>
      </c>
      <c r="AJ657">
        <v>0</v>
      </c>
      <c r="AK657">
        <v>23</v>
      </c>
      <c r="AL657" t="s">
        <v>783</v>
      </c>
      <c r="AM657" t="s">
        <v>252</v>
      </c>
      <c r="AN657" t="s">
        <v>784</v>
      </c>
      <c r="AO657" t="s">
        <v>11335</v>
      </c>
      <c r="AP657" t="s">
        <v>11336</v>
      </c>
      <c r="AQ657" t="s">
        <v>74</v>
      </c>
      <c r="AR657" t="s">
        <v>11337</v>
      </c>
      <c r="AS657" t="s">
        <v>11338</v>
      </c>
      <c r="AT657" t="s">
        <v>12056</v>
      </c>
      <c r="AU657">
        <v>2013</v>
      </c>
      <c r="AV657">
        <v>52</v>
      </c>
      <c r="AW657">
        <v>7</v>
      </c>
      <c r="AX657" t="s">
        <v>74</v>
      </c>
      <c r="AY657" t="s">
        <v>74</v>
      </c>
      <c r="AZ657" t="s">
        <v>74</v>
      </c>
      <c r="BA657" t="s">
        <v>74</v>
      </c>
      <c r="BB657">
        <v>1237</v>
      </c>
      <c r="BC657">
        <v>1246</v>
      </c>
      <c r="BD657" t="s">
        <v>74</v>
      </c>
      <c r="BE657" t="s">
        <v>12729</v>
      </c>
      <c r="BF657" t="str">
        <f>HYPERLINK("http://dx.doi.org/10.1016/j.asr.2013.06.028","http://dx.doi.org/10.1016/j.asr.2013.06.028")</f>
        <v>http://dx.doi.org/10.1016/j.asr.2013.06.028</v>
      </c>
      <c r="BG657" t="s">
        <v>74</v>
      </c>
      <c r="BH657" t="s">
        <v>74</v>
      </c>
      <c r="BI657">
        <v>10</v>
      </c>
      <c r="BJ657" t="s">
        <v>11340</v>
      </c>
      <c r="BK657" t="s">
        <v>99</v>
      </c>
      <c r="BL657" t="s">
        <v>11341</v>
      </c>
      <c r="BM657" t="s">
        <v>12730</v>
      </c>
      <c r="BN657" t="s">
        <v>74</v>
      </c>
      <c r="BO657" t="s">
        <v>74</v>
      </c>
      <c r="BP657" t="s">
        <v>74</v>
      </c>
      <c r="BQ657" t="s">
        <v>74</v>
      </c>
      <c r="BR657" t="s">
        <v>103</v>
      </c>
      <c r="BS657" t="s">
        <v>12731</v>
      </c>
      <c r="BT657" t="str">
        <f>HYPERLINK("https%3A%2F%2Fwww.webofscience.com%2Fwos%2Fwoscc%2Ffull-record%2FWOS:000325045800004","View Full Record in Web of Science")</f>
        <v>View Full Record in Web of Science</v>
      </c>
    </row>
    <row r="658" spans="1:72" x14ac:dyDescent="0.15">
      <c r="A658" t="s">
        <v>72</v>
      </c>
      <c r="B658" t="s">
        <v>12732</v>
      </c>
      <c r="C658" t="s">
        <v>74</v>
      </c>
      <c r="D658" t="s">
        <v>74</v>
      </c>
      <c r="E658" t="s">
        <v>74</v>
      </c>
      <c r="F658" t="s">
        <v>12733</v>
      </c>
      <c r="G658" t="s">
        <v>74</v>
      </c>
      <c r="H658" t="s">
        <v>74</v>
      </c>
      <c r="I658" t="s">
        <v>12734</v>
      </c>
      <c r="J658" t="s">
        <v>5635</v>
      </c>
      <c r="K658" t="s">
        <v>74</v>
      </c>
      <c r="L658" t="s">
        <v>74</v>
      </c>
      <c r="M658" t="s">
        <v>78</v>
      </c>
      <c r="N658" t="s">
        <v>2830</v>
      </c>
      <c r="O658" t="s">
        <v>74</v>
      </c>
      <c r="P658" t="s">
        <v>74</v>
      </c>
      <c r="Q658" t="s">
        <v>74</v>
      </c>
      <c r="R658" t="s">
        <v>74</v>
      </c>
      <c r="S658" t="s">
        <v>74</v>
      </c>
      <c r="T658" t="s">
        <v>74</v>
      </c>
      <c r="U658" t="s">
        <v>74</v>
      </c>
      <c r="V658" t="s">
        <v>74</v>
      </c>
      <c r="W658" t="s">
        <v>74</v>
      </c>
      <c r="X658" t="s">
        <v>74</v>
      </c>
      <c r="Y658" t="s">
        <v>74</v>
      </c>
      <c r="Z658" t="s">
        <v>74</v>
      </c>
      <c r="AA658" t="s">
        <v>6740</v>
      </c>
      <c r="AB658" t="s">
        <v>74</v>
      </c>
      <c r="AC658" t="s">
        <v>2468</v>
      </c>
      <c r="AD658" t="s">
        <v>1747</v>
      </c>
      <c r="AE658" t="s">
        <v>74</v>
      </c>
      <c r="AF658" t="s">
        <v>74</v>
      </c>
      <c r="AG658">
        <v>0</v>
      </c>
      <c r="AH658">
        <v>2</v>
      </c>
      <c r="AI658">
        <v>2</v>
      </c>
      <c r="AJ658">
        <v>0</v>
      </c>
      <c r="AK658">
        <v>9</v>
      </c>
      <c r="AL658" t="s">
        <v>1748</v>
      </c>
      <c r="AM658" t="s">
        <v>921</v>
      </c>
      <c r="AN658" t="s">
        <v>3232</v>
      </c>
      <c r="AO658" t="s">
        <v>5647</v>
      </c>
      <c r="AP658" t="s">
        <v>74</v>
      </c>
      <c r="AQ658" t="s">
        <v>74</v>
      </c>
      <c r="AR658" t="s">
        <v>5649</v>
      </c>
      <c r="AS658" t="s">
        <v>5650</v>
      </c>
      <c r="AT658" t="s">
        <v>11635</v>
      </c>
      <c r="AU658">
        <v>2013</v>
      </c>
      <c r="AV658">
        <v>25</v>
      </c>
      <c r="AW658">
        <v>5</v>
      </c>
      <c r="AX658" t="s">
        <v>74</v>
      </c>
      <c r="AY658" t="s">
        <v>74</v>
      </c>
      <c r="AZ658" t="s">
        <v>74</v>
      </c>
      <c r="BA658" t="s">
        <v>74</v>
      </c>
      <c r="BB658">
        <v>601</v>
      </c>
      <c r="BC658">
        <v>601</v>
      </c>
      <c r="BD658" t="s">
        <v>74</v>
      </c>
      <c r="BE658" t="s">
        <v>12735</v>
      </c>
      <c r="BF658" t="str">
        <f>HYPERLINK("http://dx.doi.org/10.1017/S0954102013000709","http://dx.doi.org/10.1017/S0954102013000709")</f>
        <v>http://dx.doi.org/10.1017/S0954102013000709</v>
      </c>
      <c r="BG658" t="s">
        <v>74</v>
      </c>
      <c r="BH658" t="s">
        <v>74</v>
      </c>
      <c r="BI658">
        <v>1</v>
      </c>
      <c r="BJ658" t="s">
        <v>5652</v>
      </c>
      <c r="BK658" t="s">
        <v>99</v>
      </c>
      <c r="BL658" t="s">
        <v>5653</v>
      </c>
      <c r="BM658" t="s">
        <v>12131</v>
      </c>
      <c r="BN658" t="s">
        <v>74</v>
      </c>
      <c r="BO658" t="s">
        <v>1733</v>
      </c>
      <c r="BP658" t="s">
        <v>74</v>
      </c>
      <c r="BQ658" t="s">
        <v>74</v>
      </c>
      <c r="BR658" t="s">
        <v>103</v>
      </c>
      <c r="BS658" t="s">
        <v>12736</v>
      </c>
      <c r="BT658" t="str">
        <f>HYPERLINK("https%3A%2F%2Fwww.webofscience.com%2Fwos%2Fwoscc%2Ffull-record%2FWOS:000325404500001","View Full Record in Web of Science")</f>
        <v>View Full Record in Web of Science</v>
      </c>
    </row>
    <row r="659" spans="1:72" x14ac:dyDescent="0.15">
      <c r="A659" t="s">
        <v>72</v>
      </c>
      <c r="B659" t="s">
        <v>12737</v>
      </c>
      <c r="C659" t="s">
        <v>74</v>
      </c>
      <c r="D659" t="s">
        <v>74</v>
      </c>
      <c r="E659" t="s">
        <v>74</v>
      </c>
      <c r="F659" t="s">
        <v>12738</v>
      </c>
      <c r="G659" t="s">
        <v>74</v>
      </c>
      <c r="H659" t="s">
        <v>74</v>
      </c>
      <c r="I659" t="s">
        <v>12739</v>
      </c>
      <c r="J659" t="s">
        <v>5635</v>
      </c>
      <c r="K659" t="s">
        <v>74</v>
      </c>
      <c r="L659" t="s">
        <v>74</v>
      </c>
      <c r="M659" t="s">
        <v>78</v>
      </c>
      <c r="N659" t="s">
        <v>213</v>
      </c>
      <c r="O659" t="s">
        <v>74</v>
      </c>
      <c r="P659" t="s">
        <v>74</v>
      </c>
      <c r="Q659" t="s">
        <v>74</v>
      </c>
      <c r="R659" t="s">
        <v>74</v>
      </c>
      <c r="S659" t="s">
        <v>74</v>
      </c>
      <c r="T659" t="s">
        <v>12740</v>
      </c>
      <c r="U659" t="s">
        <v>12741</v>
      </c>
      <c r="V659" t="s">
        <v>12742</v>
      </c>
      <c r="W659" t="s">
        <v>12743</v>
      </c>
      <c r="X659" t="s">
        <v>709</v>
      </c>
      <c r="Y659" t="s">
        <v>12744</v>
      </c>
      <c r="Z659" t="s">
        <v>6739</v>
      </c>
      <c r="AA659" t="s">
        <v>12745</v>
      </c>
      <c r="AB659" t="s">
        <v>12746</v>
      </c>
      <c r="AC659" t="s">
        <v>12747</v>
      </c>
      <c r="AD659" t="s">
        <v>12748</v>
      </c>
      <c r="AE659" t="s">
        <v>12749</v>
      </c>
      <c r="AF659" t="s">
        <v>74</v>
      </c>
      <c r="AG659">
        <v>93</v>
      </c>
      <c r="AH659">
        <v>67</v>
      </c>
      <c r="AI659">
        <v>68</v>
      </c>
      <c r="AJ659">
        <v>6</v>
      </c>
      <c r="AK659">
        <v>123</v>
      </c>
      <c r="AL659" t="s">
        <v>1748</v>
      </c>
      <c r="AM659" t="s">
        <v>921</v>
      </c>
      <c r="AN659" t="s">
        <v>3232</v>
      </c>
      <c r="AO659" t="s">
        <v>5647</v>
      </c>
      <c r="AP659" t="s">
        <v>5648</v>
      </c>
      <c r="AQ659" t="s">
        <v>74</v>
      </c>
      <c r="AR659" t="s">
        <v>5649</v>
      </c>
      <c r="AS659" t="s">
        <v>5650</v>
      </c>
      <c r="AT659" t="s">
        <v>11635</v>
      </c>
      <c r="AU659">
        <v>2013</v>
      </c>
      <c r="AV659">
        <v>25</v>
      </c>
      <c r="AW659">
        <v>5</v>
      </c>
      <c r="AX659" t="s">
        <v>74</v>
      </c>
      <c r="AY659" t="s">
        <v>74</v>
      </c>
      <c r="AZ659" t="s">
        <v>74</v>
      </c>
      <c r="BA659" t="s">
        <v>74</v>
      </c>
      <c r="BB659">
        <v>603</v>
      </c>
      <c r="BC659">
        <v>617</v>
      </c>
      <c r="BD659" t="s">
        <v>74</v>
      </c>
      <c r="BE659" t="s">
        <v>12750</v>
      </c>
      <c r="BF659" t="str">
        <f>HYPERLINK("http://dx.doi.org/10.1017/S0954102013000308","http://dx.doi.org/10.1017/S0954102013000308")</f>
        <v>http://dx.doi.org/10.1017/S0954102013000308</v>
      </c>
      <c r="BG659" t="s">
        <v>74</v>
      </c>
      <c r="BH659" t="s">
        <v>74</v>
      </c>
      <c r="BI659">
        <v>15</v>
      </c>
      <c r="BJ659" t="s">
        <v>5652</v>
      </c>
      <c r="BK659" t="s">
        <v>99</v>
      </c>
      <c r="BL659" t="s">
        <v>5653</v>
      </c>
      <c r="BM659" t="s">
        <v>12131</v>
      </c>
      <c r="BN659">
        <v>24163501</v>
      </c>
      <c r="BO659" t="s">
        <v>315</v>
      </c>
      <c r="BP659" t="s">
        <v>74</v>
      </c>
      <c r="BQ659" t="s">
        <v>74</v>
      </c>
      <c r="BR659" t="s">
        <v>103</v>
      </c>
      <c r="BS659" t="s">
        <v>12751</v>
      </c>
      <c r="BT659" t="str">
        <f>HYPERLINK("https%3A%2F%2Fwww.webofscience.com%2Fwos%2Fwoscc%2Ffull-record%2FWOS:000325404500002","View Full Record in Web of Science")</f>
        <v>View Full Record in Web of Science</v>
      </c>
    </row>
    <row r="660" spans="1:72" x14ac:dyDescent="0.15">
      <c r="A660" t="s">
        <v>72</v>
      </c>
      <c r="B660" t="s">
        <v>12752</v>
      </c>
      <c r="C660" t="s">
        <v>74</v>
      </c>
      <c r="D660" t="s">
        <v>74</v>
      </c>
      <c r="E660" t="s">
        <v>74</v>
      </c>
      <c r="F660" t="s">
        <v>12753</v>
      </c>
      <c r="G660" t="s">
        <v>74</v>
      </c>
      <c r="H660" t="s">
        <v>74</v>
      </c>
      <c r="I660" t="s">
        <v>12754</v>
      </c>
      <c r="J660" t="s">
        <v>5635</v>
      </c>
      <c r="K660" t="s">
        <v>74</v>
      </c>
      <c r="L660" t="s">
        <v>74</v>
      </c>
      <c r="M660" t="s">
        <v>78</v>
      </c>
      <c r="N660" t="s">
        <v>79</v>
      </c>
      <c r="O660" t="s">
        <v>74</v>
      </c>
      <c r="P660" t="s">
        <v>74</v>
      </c>
      <c r="Q660" t="s">
        <v>74</v>
      </c>
      <c r="R660" t="s">
        <v>74</v>
      </c>
      <c r="S660" t="s">
        <v>74</v>
      </c>
      <c r="T660" t="s">
        <v>12755</v>
      </c>
      <c r="U660" t="s">
        <v>12756</v>
      </c>
      <c r="V660" t="s">
        <v>12757</v>
      </c>
      <c r="W660" t="s">
        <v>12758</v>
      </c>
      <c r="X660" t="s">
        <v>12759</v>
      </c>
      <c r="Y660" t="s">
        <v>12760</v>
      </c>
      <c r="Z660" t="s">
        <v>12761</v>
      </c>
      <c r="AA660" t="s">
        <v>12762</v>
      </c>
      <c r="AB660" t="s">
        <v>12763</v>
      </c>
      <c r="AC660" t="s">
        <v>12764</v>
      </c>
      <c r="AD660" t="s">
        <v>12765</v>
      </c>
      <c r="AE660" t="s">
        <v>12766</v>
      </c>
      <c r="AF660" t="s">
        <v>74</v>
      </c>
      <c r="AG660">
        <v>38</v>
      </c>
      <c r="AH660">
        <v>56</v>
      </c>
      <c r="AI660">
        <v>59</v>
      </c>
      <c r="AJ660">
        <v>3</v>
      </c>
      <c r="AK660">
        <v>49</v>
      </c>
      <c r="AL660" t="s">
        <v>1748</v>
      </c>
      <c r="AM660" t="s">
        <v>921</v>
      </c>
      <c r="AN660" t="s">
        <v>3232</v>
      </c>
      <c r="AO660" t="s">
        <v>5647</v>
      </c>
      <c r="AP660" t="s">
        <v>5648</v>
      </c>
      <c r="AQ660" t="s">
        <v>74</v>
      </c>
      <c r="AR660" t="s">
        <v>5649</v>
      </c>
      <c r="AS660" t="s">
        <v>5650</v>
      </c>
      <c r="AT660" t="s">
        <v>11635</v>
      </c>
      <c r="AU660">
        <v>2013</v>
      </c>
      <c r="AV660">
        <v>25</v>
      </c>
      <c r="AW660">
        <v>5</v>
      </c>
      <c r="AX660" t="s">
        <v>74</v>
      </c>
      <c r="AY660" t="s">
        <v>74</v>
      </c>
      <c r="AZ660" t="s">
        <v>74</v>
      </c>
      <c r="BA660" t="s">
        <v>74</v>
      </c>
      <c r="BB660">
        <v>648</v>
      </c>
      <c r="BC660">
        <v>656</v>
      </c>
      <c r="BD660" t="s">
        <v>74</v>
      </c>
      <c r="BE660" t="s">
        <v>12767</v>
      </c>
      <c r="BF660" t="str">
        <f>HYPERLINK("http://dx.doi.org/10.1017/S0954102013000060","http://dx.doi.org/10.1017/S0954102013000060")</f>
        <v>http://dx.doi.org/10.1017/S0954102013000060</v>
      </c>
      <c r="BG660" t="s">
        <v>74</v>
      </c>
      <c r="BH660" t="s">
        <v>74</v>
      </c>
      <c r="BI660">
        <v>9</v>
      </c>
      <c r="BJ660" t="s">
        <v>5652</v>
      </c>
      <c r="BK660" t="s">
        <v>99</v>
      </c>
      <c r="BL660" t="s">
        <v>5653</v>
      </c>
      <c r="BM660" t="s">
        <v>12131</v>
      </c>
      <c r="BN660" t="s">
        <v>74</v>
      </c>
      <c r="BO660" t="s">
        <v>74</v>
      </c>
      <c r="BP660" t="s">
        <v>74</v>
      </c>
      <c r="BQ660" t="s">
        <v>74</v>
      </c>
      <c r="BR660" t="s">
        <v>103</v>
      </c>
      <c r="BS660" t="s">
        <v>12768</v>
      </c>
      <c r="BT660" t="str">
        <f>HYPERLINK("https%3A%2F%2Fwww.webofscience.com%2Fwos%2Fwoscc%2Ffull-record%2FWOS:000325404500005","View Full Record in Web of Science")</f>
        <v>View Full Record in Web of Science</v>
      </c>
    </row>
    <row r="661" spans="1:72" x14ac:dyDescent="0.15">
      <c r="A661" t="s">
        <v>72</v>
      </c>
      <c r="B661" t="s">
        <v>12769</v>
      </c>
      <c r="C661" t="s">
        <v>74</v>
      </c>
      <c r="D661" t="s">
        <v>74</v>
      </c>
      <c r="E661" t="s">
        <v>74</v>
      </c>
      <c r="F661" t="s">
        <v>12770</v>
      </c>
      <c r="G661" t="s">
        <v>74</v>
      </c>
      <c r="H661" t="s">
        <v>74</v>
      </c>
      <c r="I661" t="s">
        <v>12771</v>
      </c>
      <c r="J661" t="s">
        <v>5981</v>
      </c>
      <c r="K661" t="s">
        <v>74</v>
      </c>
      <c r="L661" t="s">
        <v>74</v>
      </c>
      <c r="M661" t="s">
        <v>78</v>
      </c>
      <c r="N661" t="s">
        <v>79</v>
      </c>
      <c r="O661" t="s">
        <v>74</v>
      </c>
      <c r="P661" t="s">
        <v>74</v>
      </c>
      <c r="Q661" t="s">
        <v>74</v>
      </c>
      <c r="R661" t="s">
        <v>74</v>
      </c>
      <c r="S661" t="s">
        <v>74</v>
      </c>
      <c r="T661" t="s">
        <v>12772</v>
      </c>
      <c r="U661" t="s">
        <v>12773</v>
      </c>
      <c r="V661" t="s">
        <v>12774</v>
      </c>
      <c r="W661" t="s">
        <v>12775</v>
      </c>
      <c r="X661" t="s">
        <v>12776</v>
      </c>
      <c r="Y661" t="s">
        <v>12777</v>
      </c>
      <c r="Z661" t="s">
        <v>12778</v>
      </c>
      <c r="AA661" t="s">
        <v>12779</v>
      </c>
      <c r="AB661" t="s">
        <v>12780</v>
      </c>
      <c r="AC661" t="s">
        <v>12781</v>
      </c>
      <c r="AD661" t="s">
        <v>12782</v>
      </c>
      <c r="AE661" t="s">
        <v>12783</v>
      </c>
      <c r="AF661" t="s">
        <v>74</v>
      </c>
      <c r="AG661">
        <v>88</v>
      </c>
      <c r="AH661">
        <v>32</v>
      </c>
      <c r="AI661">
        <v>36</v>
      </c>
      <c r="AJ661">
        <v>4</v>
      </c>
      <c r="AK661">
        <v>159</v>
      </c>
      <c r="AL661" t="s">
        <v>624</v>
      </c>
      <c r="AM661" t="s">
        <v>411</v>
      </c>
      <c r="AN661" t="s">
        <v>412</v>
      </c>
      <c r="AO661" t="s">
        <v>5990</v>
      </c>
      <c r="AP661" t="s">
        <v>74</v>
      </c>
      <c r="AQ661" t="s">
        <v>74</v>
      </c>
      <c r="AR661" t="s">
        <v>5992</v>
      </c>
      <c r="AS661" t="s">
        <v>5993</v>
      </c>
      <c r="AT661" t="s">
        <v>11635</v>
      </c>
      <c r="AU661">
        <v>2013</v>
      </c>
      <c r="AV661">
        <v>23</v>
      </c>
      <c r="AW661">
        <v>5</v>
      </c>
      <c r="AX661" t="s">
        <v>74</v>
      </c>
      <c r="AY661" t="s">
        <v>74</v>
      </c>
      <c r="AZ661" t="s">
        <v>74</v>
      </c>
      <c r="BA661" t="s">
        <v>74</v>
      </c>
      <c r="BB661">
        <v>777</v>
      </c>
      <c r="BC661">
        <v>789</v>
      </c>
      <c r="BD661" t="s">
        <v>74</v>
      </c>
      <c r="BE661" t="s">
        <v>12784</v>
      </c>
      <c r="BF661" t="str">
        <f>HYPERLINK("http://dx.doi.org/10.1002/aqc.2331","http://dx.doi.org/10.1002/aqc.2331")</f>
        <v>http://dx.doi.org/10.1002/aqc.2331</v>
      </c>
      <c r="BG661" t="s">
        <v>74</v>
      </c>
      <c r="BH661" t="s">
        <v>74</v>
      </c>
      <c r="BI661">
        <v>13</v>
      </c>
      <c r="BJ661" t="s">
        <v>5995</v>
      </c>
      <c r="BK661" t="s">
        <v>99</v>
      </c>
      <c r="BL661" t="s">
        <v>5996</v>
      </c>
      <c r="BM661" t="s">
        <v>12785</v>
      </c>
      <c r="BN661" t="s">
        <v>74</v>
      </c>
      <c r="BO661" t="s">
        <v>74</v>
      </c>
      <c r="BP661" t="s">
        <v>74</v>
      </c>
      <c r="BQ661" t="s">
        <v>74</v>
      </c>
      <c r="BR661" t="s">
        <v>103</v>
      </c>
      <c r="BS661" t="s">
        <v>12786</v>
      </c>
      <c r="BT661" t="str">
        <f>HYPERLINK("https%3A%2F%2Fwww.webofscience.com%2Fwos%2Fwoscc%2Ffull-record%2FWOS:000325228300012","View Full Record in Web of Science")</f>
        <v>View Full Record in Web of Science</v>
      </c>
    </row>
    <row r="662" spans="1:72" x14ac:dyDescent="0.15">
      <c r="A662" t="s">
        <v>72</v>
      </c>
      <c r="B662" t="s">
        <v>12787</v>
      </c>
      <c r="C662" t="s">
        <v>74</v>
      </c>
      <c r="D662" t="s">
        <v>74</v>
      </c>
      <c r="E662" t="s">
        <v>74</v>
      </c>
      <c r="F662" t="s">
        <v>12788</v>
      </c>
      <c r="G662" t="s">
        <v>74</v>
      </c>
      <c r="H662" t="s">
        <v>74</v>
      </c>
      <c r="I662" t="s">
        <v>12789</v>
      </c>
      <c r="J662" t="s">
        <v>5946</v>
      </c>
      <c r="K662" t="s">
        <v>74</v>
      </c>
      <c r="L662" t="s">
        <v>74</v>
      </c>
      <c r="M662" t="s">
        <v>78</v>
      </c>
      <c r="N662" t="s">
        <v>79</v>
      </c>
      <c r="O662" t="s">
        <v>74</v>
      </c>
      <c r="P662" t="s">
        <v>74</v>
      </c>
      <c r="Q662" t="s">
        <v>74</v>
      </c>
      <c r="R662" t="s">
        <v>74</v>
      </c>
      <c r="S662" t="s">
        <v>74</v>
      </c>
      <c r="T662" t="s">
        <v>12790</v>
      </c>
      <c r="U662" t="s">
        <v>12791</v>
      </c>
      <c r="V662" t="s">
        <v>12792</v>
      </c>
      <c r="W662" t="s">
        <v>12793</v>
      </c>
      <c r="X662" t="s">
        <v>12794</v>
      </c>
      <c r="Y662" t="s">
        <v>12795</v>
      </c>
      <c r="Z662" t="s">
        <v>12796</v>
      </c>
      <c r="AA662" t="s">
        <v>12797</v>
      </c>
      <c r="AB662" t="s">
        <v>12798</v>
      </c>
      <c r="AC662" t="s">
        <v>12799</v>
      </c>
      <c r="AD662" t="s">
        <v>12800</v>
      </c>
      <c r="AE662" t="s">
        <v>12801</v>
      </c>
      <c r="AF662" t="s">
        <v>74</v>
      </c>
      <c r="AG662">
        <v>34</v>
      </c>
      <c r="AH662">
        <v>53</v>
      </c>
      <c r="AI662">
        <v>62</v>
      </c>
      <c r="AJ662">
        <v>7</v>
      </c>
      <c r="AK662">
        <v>98</v>
      </c>
      <c r="AL662" t="s">
        <v>872</v>
      </c>
      <c r="AM662" t="s">
        <v>252</v>
      </c>
      <c r="AN662" t="s">
        <v>873</v>
      </c>
      <c r="AO662" t="s">
        <v>5956</v>
      </c>
      <c r="AP662" t="s">
        <v>5957</v>
      </c>
      <c r="AQ662" t="s">
        <v>74</v>
      </c>
      <c r="AR662" t="s">
        <v>5958</v>
      </c>
      <c r="AS662" t="s">
        <v>5959</v>
      </c>
      <c r="AT662" t="s">
        <v>11635</v>
      </c>
      <c r="AU662">
        <v>2013</v>
      </c>
      <c r="AV662">
        <v>77</v>
      </c>
      <c r="AW662" t="s">
        <v>74</v>
      </c>
      <c r="AX662" t="s">
        <v>74</v>
      </c>
      <c r="AY662" t="s">
        <v>74</v>
      </c>
      <c r="AZ662" t="s">
        <v>74</v>
      </c>
      <c r="BA662" t="s">
        <v>74</v>
      </c>
      <c r="BB662">
        <v>640</v>
      </c>
      <c r="BC662">
        <v>646</v>
      </c>
      <c r="BD662" t="s">
        <v>74</v>
      </c>
      <c r="BE662" t="s">
        <v>12802</v>
      </c>
      <c r="BF662" t="str">
        <f>HYPERLINK("http://dx.doi.org/10.1016/j.atmosenv.2013.05.052","http://dx.doi.org/10.1016/j.atmosenv.2013.05.052")</f>
        <v>http://dx.doi.org/10.1016/j.atmosenv.2013.05.052</v>
      </c>
      <c r="BG662" t="s">
        <v>74</v>
      </c>
      <c r="BH662" t="s">
        <v>74</v>
      </c>
      <c r="BI662">
        <v>7</v>
      </c>
      <c r="BJ662" t="s">
        <v>5023</v>
      </c>
      <c r="BK662" t="s">
        <v>99</v>
      </c>
      <c r="BL662" t="s">
        <v>3933</v>
      </c>
      <c r="BM662" t="s">
        <v>12803</v>
      </c>
      <c r="BN662" t="s">
        <v>74</v>
      </c>
      <c r="BO662" t="s">
        <v>74</v>
      </c>
      <c r="BP662" t="s">
        <v>74</v>
      </c>
      <c r="BQ662" t="s">
        <v>74</v>
      </c>
      <c r="BR662" t="s">
        <v>103</v>
      </c>
      <c r="BS662" t="s">
        <v>12804</v>
      </c>
      <c r="BT662" t="str">
        <f>HYPERLINK("https%3A%2F%2Fwww.webofscience.com%2Fwos%2Fwoscc%2Ffull-record%2FWOS:000324848500067","View Full Record in Web of Science")</f>
        <v>View Full Record in Web of Science</v>
      </c>
    </row>
    <row r="663" spans="1:72" x14ac:dyDescent="0.15">
      <c r="A663" t="s">
        <v>72</v>
      </c>
      <c r="B663" t="s">
        <v>12805</v>
      </c>
      <c r="C663" t="s">
        <v>74</v>
      </c>
      <c r="D663" t="s">
        <v>74</v>
      </c>
      <c r="E663" t="s">
        <v>74</v>
      </c>
      <c r="F663" t="s">
        <v>12806</v>
      </c>
      <c r="G663" t="s">
        <v>74</v>
      </c>
      <c r="H663" t="s">
        <v>12807</v>
      </c>
      <c r="I663" t="s">
        <v>12808</v>
      </c>
      <c r="J663" t="s">
        <v>12809</v>
      </c>
      <c r="K663" t="s">
        <v>74</v>
      </c>
      <c r="L663" t="s">
        <v>74</v>
      </c>
      <c r="M663" t="s">
        <v>78</v>
      </c>
      <c r="N663" t="s">
        <v>79</v>
      </c>
      <c r="O663" t="s">
        <v>74</v>
      </c>
      <c r="P663" t="s">
        <v>74</v>
      </c>
      <c r="Q663" t="s">
        <v>74</v>
      </c>
      <c r="R663" t="s">
        <v>74</v>
      </c>
      <c r="S663" t="s">
        <v>74</v>
      </c>
      <c r="T663" t="s">
        <v>12810</v>
      </c>
      <c r="U663" t="s">
        <v>12811</v>
      </c>
      <c r="V663" t="s">
        <v>12812</v>
      </c>
      <c r="W663" t="s">
        <v>12813</v>
      </c>
      <c r="X663" t="s">
        <v>12814</v>
      </c>
      <c r="Y663" t="s">
        <v>12815</v>
      </c>
      <c r="Z663" t="s">
        <v>12816</v>
      </c>
      <c r="AA663" t="s">
        <v>74</v>
      </c>
      <c r="AB663" t="s">
        <v>12817</v>
      </c>
      <c r="AC663" t="s">
        <v>12818</v>
      </c>
      <c r="AD663" t="s">
        <v>12819</v>
      </c>
      <c r="AE663" t="s">
        <v>12820</v>
      </c>
      <c r="AF663" t="s">
        <v>74</v>
      </c>
      <c r="AG663">
        <v>55</v>
      </c>
      <c r="AH663">
        <v>67</v>
      </c>
      <c r="AI663">
        <v>75</v>
      </c>
      <c r="AJ663">
        <v>2</v>
      </c>
      <c r="AK663">
        <v>53</v>
      </c>
      <c r="AL663" t="s">
        <v>4723</v>
      </c>
      <c r="AM663" t="s">
        <v>921</v>
      </c>
      <c r="AN663" t="s">
        <v>7655</v>
      </c>
      <c r="AO663" t="s">
        <v>12821</v>
      </c>
      <c r="AP663" t="s">
        <v>12822</v>
      </c>
      <c r="AQ663" t="s">
        <v>74</v>
      </c>
      <c r="AR663" t="s">
        <v>12823</v>
      </c>
      <c r="AS663" t="s">
        <v>12824</v>
      </c>
      <c r="AT663" t="s">
        <v>12825</v>
      </c>
      <c r="AU663">
        <v>2013</v>
      </c>
      <c r="AV663">
        <v>132</v>
      </c>
      <c r="AW663" t="s">
        <v>74</v>
      </c>
      <c r="AX663" t="s">
        <v>74</v>
      </c>
      <c r="AY663" t="s">
        <v>74</v>
      </c>
      <c r="AZ663" t="s">
        <v>74</v>
      </c>
      <c r="BA663" t="s">
        <v>74</v>
      </c>
      <c r="BB663">
        <v>460</v>
      </c>
      <c r="BC663">
        <v>472</v>
      </c>
      <c r="BD663" t="s">
        <v>74</v>
      </c>
      <c r="BE663" t="s">
        <v>12826</v>
      </c>
      <c r="BF663" t="str">
        <f>HYPERLINK("http://dx.doi.org/10.1016/j.atmosres.2013.06.006","http://dx.doi.org/10.1016/j.atmosres.2013.06.006")</f>
        <v>http://dx.doi.org/10.1016/j.atmosres.2013.06.006</v>
      </c>
      <c r="BG663" t="s">
        <v>74</v>
      </c>
      <c r="BH663" t="s">
        <v>74</v>
      </c>
      <c r="BI663">
        <v>13</v>
      </c>
      <c r="BJ663" t="s">
        <v>1503</v>
      </c>
      <c r="BK663" t="s">
        <v>99</v>
      </c>
      <c r="BL663" t="s">
        <v>1503</v>
      </c>
      <c r="BM663" t="s">
        <v>12827</v>
      </c>
      <c r="BN663" t="s">
        <v>74</v>
      </c>
      <c r="BO663" t="s">
        <v>74</v>
      </c>
      <c r="BP663" t="s">
        <v>74</v>
      </c>
      <c r="BQ663" t="s">
        <v>74</v>
      </c>
      <c r="BR663" t="s">
        <v>103</v>
      </c>
      <c r="BS663" t="s">
        <v>12828</v>
      </c>
      <c r="BT663" t="str">
        <f>HYPERLINK("https%3A%2F%2Fwww.webofscience.com%2Fwos%2Fwoscc%2Ffull-record%2FWOS:000326141500037","View Full Record in Web of Science")</f>
        <v>View Full Record in Web of Science</v>
      </c>
    </row>
    <row r="664" spans="1:72" x14ac:dyDescent="0.15">
      <c r="A664" t="s">
        <v>72</v>
      </c>
      <c r="B664" t="s">
        <v>12829</v>
      </c>
      <c r="C664" t="s">
        <v>74</v>
      </c>
      <c r="D664" t="s">
        <v>74</v>
      </c>
      <c r="E664" t="s">
        <v>74</v>
      </c>
      <c r="F664" t="s">
        <v>12830</v>
      </c>
      <c r="G664" t="s">
        <v>74</v>
      </c>
      <c r="H664" t="s">
        <v>74</v>
      </c>
      <c r="I664" t="s">
        <v>12831</v>
      </c>
      <c r="J664" t="s">
        <v>12832</v>
      </c>
      <c r="K664" t="s">
        <v>74</v>
      </c>
      <c r="L664" t="s">
        <v>74</v>
      </c>
      <c r="M664" t="s">
        <v>78</v>
      </c>
      <c r="N664" t="s">
        <v>79</v>
      </c>
      <c r="O664" t="s">
        <v>74</v>
      </c>
      <c r="P664" t="s">
        <v>74</v>
      </c>
      <c r="Q664" t="s">
        <v>74</v>
      </c>
      <c r="R664" t="s">
        <v>74</v>
      </c>
      <c r="S664" t="s">
        <v>74</v>
      </c>
      <c r="T664" t="s">
        <v>12833</v>
      </c>
      <c r="U664" t="s">
        <v>12834</v>
      </c>
      <c r="V664" t="s">
        <v>12835</v>
      </c>
      <c r="W664" t="s">
        <v>12836</v>
      </c>
      <c r="X664" t="s">
        <v>12837</v>
      </c>
      <c r="Y664" t="s">
        <v>12838</v>
      </c>
      <c r="Z664" t="s">
        <v>12839</v>
      </c>
      <c r="AA664" t="s">
        <v>74</v>
      </c>
      <c r="AB664" t="s">
        <v>12840</v>
      </c>
      <c r="AC664" t="s">
        <v>12841</v>
      </c>
      <c r="AD664" t="s">
        <v>12842</v>
      </c>
      <c r="AE664" t="s">
        <v>12843</v>
      </c>
      <c r="AF664" t="s">
        <v>74</v>
      </c>
      <c r="AG664">
        <v>81</v>
      </c>
      <c r="AH664">
        <v>15</v>
      </c>
      <c r="AI664">
        <v>15</v>
      </c>
      <c r="AJ664">
        <v>1</v>
      </c>
      <c r="AK664">
        <v>48</v>
      </c>
      <c r="AL664" t="s">
        <v>276</v>
      </c>
      <c r="AM664" t="s">
        <v>277</v>
      </c>
      <c r="AN664" t="s">
        <v>2752</v>
      </c>
      <c r="AO664" t="s">
        <v>12844</v>
      </c>
      <c r="AP664" t="s">
        <v>12845</v>
      </c>
      <c r="AQ664" t="s">
        <v>74</v>
      </c>
      <c r="AR664" t="s">
        <v>12832</v>
      </c>
      <c r="AS664" t="s">
        <v>12846</v>
      </c>
      <c r="AT664" t="s">
        <v>12056</v>
      </c>
      <c r="AU664">
        <v>2013</v>
      </c>
      <c r="AV664">
        <v>29</v>
      </c>
      <c r="AW664">
        <v>9</v>
      </c>
      <c r="AX664" t="s">
        <v>74</v>
      </c>
      <c r="AY664" t="s">
        <v>74</v>
      </c>
      <c r="AZ664" t="s">
        <v>74</v>
      </c>
      <c r="BA664" t="s">
        <v>74</v>
      </c>
      <c r="BB664">
        <v>1029</v>
      </c>
      <c r="BC664">
        <v>1042</v>
      </c>
      <c r="BD664" t="s">
        <v>74</v>
      </c>
      <c r="BE664" t="s">
        <v>12847</v>
      </c>
      <c r="BF664" t="str">
        <f>HYPERLINK("http://dx.doi.org/10.1080/08927014.2013.824967","http://dx.doi.org/10.1080/08927014.2013.824967")</f>
        <v>http://dx.doi.org/10.1080/08927014.2013.824967</v>
      </c>
      <c r="BG664" t="s">
        <v>74</v>
      </c>
      <c r="BH664" t="s">
        <v>74</v>
      </c>
      <c r="BI664">
        <v>14</v>
      </c>
      <c r="BJ664" t="s">
        <v>12848</v>
      </c>
      <c r="BK664" t="s">
        <v>99</v>
      </c>
      <c r="BL664" t="s">
        <v>12848</v>
      </c>
      <c r="BM664" t="s">
        <v>12849</v>
      </c>
      <c r="BN664">
        <v>23964799</v>
      </c>
      <c r="BO664" t="s">
        <v>74</v>
      </c>
      <c r="BP664" t="s">
        <v>74</v>
      </c>
      <c r="BQ664" t="s">
        <v>74</v>
      </c>
      <c r="BR664" t="s">
        <v>103</v>
      </c>
      <c r="BS664" t="s">
        <v>12850</v>
      </c>
      <c r="BT664" t="str">
        <f>HYPERLINK("https%3A%2F%2Fwww.webofscience.com%2Fwos%2Fwoscc%2Ffull-record%2FWOS:000324887500001","View Full Record in Web of Science")</f>
        <v>View Full Record in Web of Science</v>
      </c>
    </row>
    <row r="665" spans="1:72" x14ac:dyDescent="0.15">
      <c r="A665" t="s">
        <v>72</v>
      </c>
      <c r="B665" t="s">
        <v>12851</v>
      </c>
      <c r="C665" t="s">
        <v>74</v>
      </c>
      <c r="D665" t="s">
        <v>74</v>
      </c>
      <c r="E665" t="s">
        <v>74</v>
      </c>
      <c r="F665" t="s">
        <v>12852</v>
      </c>
      <c r="G665" t="s">
        <v>74</v>
      </c>
      <c r="H665" t="s">
        <v>74</v>
      </c>
      <c r="I665" t="s">
        <v>12853</v>
      </c>
      <c r="J665" t="s">
        <v>12854</v>
      </c>
      <c r="K665" t="s">
        <v>74</v>
      </c>
      <c r="L665" t="s">
        <v>74</v>
      </c>
      <c r="M665" t="s">
        <v>78</v>
      </c>
      <c r="N665" t="s">
        <v>79</v>
      </c>
      <c r="O665" t="s">
        <v>74</v>
      </c>
      <c r="P665" t="s">
        <v>74</v>
      </c>
      <c r="Q665" t="s">
        <v>74</v>
      </c>
      <c r="R665" t="s">
        <v>74</v>
      </c>
      <c r="S665" t="s">
        <v>74</v>
      </c>
      <c r="T665" t="s">
        <v>12855</v>
      </c>
      <c r="U665" t="s">
        <v>12856</v>
      </c>
      <c r="V665" t="s">
        <v>12857</v>
      </c>
      <c r="W665" t="s">
        <v>12858</v>
      </c>
      <c r="X665" t="s">
        <v>12859</v>
      </c>
      <c r="Y665" t="s">
        <v>12860</v>
      </c>
      <c r="Z665" t="s">
        <v>12861</v>
      </c>
      <c r="AA665" t="s">
        <v>12862</v>
      </c>
      <c r="AB665" t="s">
        <v>12863</v>
      </c>
      <c r="AC665" t="s">
        <v>12864</v>
      </c>
      <c r="AD665" t="s">
        <v>12865</v>
      </c>
      <c r="AE665" t="s">
        <v>12866</v>
      </c>
      <c r="AF665" t="s">
        <v>74</v>
      </c>
      <c r="AG665">
        <v>59</v>
      </c>
      <c r="AH665">
        <v>14</v>
      </c>
      <c r="AI665">
        <v>15</v>
      </c>
      <c r="AJ665">
        <v>0</v>
      </c>
      <c r="AK665">
        <v>31</v>
      </c>
      <c r="AL665" t="s">
        <v>783</v>
      </c>
      <c r="AM665" t="s">
        <v>252</v>
      </c>
      <c r="AN665" t="s">
        <v>784</v>
      </c>
      <c r="AO665" t="s">
        <v>12867</v>
      </c>
      <c r="AP665" t="s">
        <v>12868</v>
      </c>
      <c r="AQ665" t="s">
        <v>74</v>
      </c>
      <c r="AR665" t="s">
        <v>12869</v>
      </c>
      <c r="AS665" t="s">
        <v>12870</v>
      </c>
      <c r="AT665" t="s">
        <v>11635</v>
      </c>
      <c r="AU665">
        <v>2013</v>
      </c>
      <c r="AV665">
        <v>166</v>
      </c>
      <c r="AW665" t="s">
        <v>74</v>
      </c>
      <c r="AX665" t="s">
        <v>74</v>
      </c>
      <c r="AY665" t="s">
        <v>74</v>
      </c>
      <c r="AZ665" t="s">
        <v>74</v>
      </c>
      <c r="BA665" t="s">
        <v>74</v>
      </c>
      <c r="BB665">
        <v>3</v>
      </c>
      <c r="BC665">
        <v>10</v>
      </c>
      <c r="BD665" t="s">
        <v>74</v>
      </c>
      <c r="BE665" t="s">
        <v>12871</v>
      </c>
      <c r="BF665" t="str">
        <f>HYPERLINK("http://dx.doi.org/10.1016/j.biocon.2013.06.006","http://dx.doi.org/10.1016/j.biocon.2013.06.006")</f>
        <v>http://dx.doi.org/10.1016/j.biocon.2013.06.006</v>
      </c>
      <c r="BG665" t="s">
        <v>74</v>
      </c>
      <c r="BH665" t="s">
        <v>74</v>
      </c>
      <c r="BI665">
        <v>8</v>
      </c>
      <c r="BJ665" t="s">
        <v>1049</v>
      </c>
      <c r="BK665" t="s">
        <v>99</v>
      </c>
      <c r="BL665" t="s">
        <v>1050</v>
      </c>
      <c r="BM665" t="s">
        <v>12872</v>
      </c>
      <c r="BN665" t="s">
        <v>74</v>
      </c>
      <c r="BO665" t="s">
        <v>450</v>
      </c>
      <c r="BP665" t="s">
        <v>74</v>
      </c>
      <c r="BQ665" t="s">
        <v>74</v>
      </c>
      <c r="BR665" t="s">
        <v>103</v>
      </c>
      <c r="BS665" t="s">
        <v>12873</v>
      </c>
      <c r="BT665" t="str">
        <f>HYPERLINK("https%3A%2F%2Fwww.webofscience.com%2Fwos%2Fwoscc%2Ffull-record%2FWOS:000328523900001","View Full Record in Web of Science")</f>
        <v>View Full Record in Web of Science</v>
      </c>
    </row>
    <row r="666" spans="1:72" x14ac:dyDescent="0.15">
      <c r="A666" t="s">
        <v>72</v>
      </c>
      <c r="B666" t="s">
        <v>12874</v>
      </c>
      <c r="C666" t="s">
        <v>74</v>
      </c>
      <c r="D666" t="s">
        <v>74</v>
      </c>
      <c r="E666" t="s">
        <v>74</v>
      </c>
      <c r="F666" t="s">
        <v>12875</v>
      </c>
      <c r="G666" t="s">
        <v>74</v>
      </c>
      <c r="H666" t="s">
        <v>74</v>
      </c>
      <c r="I666" t="s">
        <v>12876</v>
      </c>
      <c r="J666" t="s">
        <v>12854</v>
      </c>
      <c r="K666" t="s">
        <v>74</v>
      </c>
      <c r="L666" t="s">
        <v>74</v>
      </c>
      <c r="M666" t="s">
        <v>78</v>
      </c>
      <c r="N666" t="s">
        <v>79</v>
      </c>
      <c r="O666" t="s">
        <v>74</v>
      </c>
      <c r="P666" t="s">
        <v>74</v>
      </c>
      <c r="Q666" t="s">
        <v>74</v>
      </c>
      <c r="R666" t="s">
        <v>74</v>
      </c>
      <c r="S666" t="s">
        <v>74</v>
      </c>
      <c r="T666" t="s">
        <v>12877</v>
      </c>
      <c r="U666" t="s">
        <v>12878</v>
      </c>
      <c r="V666" t="s">
        <v>12879</v>
      </c>
      <c r="W666" t="s">
        <v>12880</v>
      </c>
      <c r="X666" t="s">
        <v>12881</v>
      </c>
      <c r="Y666" t="s">
        <v>12882</v>
      </c>
      <c r="Z666" t="s">
        <v>12883</v>
      </c>
      <c r="AA666" t="s">
        <v>12884</v>
      </c>
      <c r="AB666" t="s">
        <v>12885</v>
      </c>
      <c r="AC666" t="s">
        <v>12886</v>
      </c>
      <c r="AD666" t="s">
        <v>12887</v>
      </c>
      <c r="AE666" t="s">
        <v>12888</v>
      </c>
      <c r="AF666" t="s">
        <v>74</v>
      </c>
      <c r="AG666">
        <v>58</v>
      </c>
      <c r="AH666">
        <v>19</v>
      </c>
      <c r="AI666">
        <v>20</v>
      </c>
      <c r="AJ666">
        <v>0</v>
      </c>
      <c r="AK666">
        <v>92</v>
      </c>
      <c r="AL666" t="s">
        <v>783</v>
      </c>
      <c r="AM666" t="s">
        <v>252</v>
      </c>
      <c r="AN666" t="s">
        <v>784</v>
      </c>
      <c r="AO666" t="s">
        <v>12867</v>
      </c>
      <c r="AP666" t="s">
        <v>12868</v>
      </c>
      <c r="AQ666" t="s">
        <v>74</v>
      </c>
      <c r="AR666" t="s">
        <v>12869</v>
      </c>
      <c r="AS666" t="s">
        <v>12870</v>
      </c>
      <c r="AT666" t="s">
        <v>11635</v>
      </c>
      <c r="AU666">
        <v>2013</v>
      </c>
      <c r="AV666">
        <v>166</v>
      </c>
      <c r="AW666" t="s">
        <v>74</v>
      </c>
      <c r="AX666" t="s">
        <v>74</v>
      </c>
      <c r="AY666" t="s">
        <v>74</v>
      </c>
      <c r="AZ666" t="s">
        <v>74</v>
      </c>
      <c r="BA666" t="s">
        <v>74</v>
      </c>
      <c r="BB666">
        <v>124</v>
      </c>
      <c r="BC666">
        <v>131</v>
      </c>
      <c r="BD666" t="s">
        <v>74</v>
      </c>
      <c r="BE666" t="s">
        <v>12889</v>
      </c>
      <c r="BF666" t="str">
        <f>HYPERLINK("http://dx.doi.org/10.1016/j.biocon.2013.06.017","http://dx.doi.org/10.1016/j.biocon.2013.06.017")</f>
        <v>http://dx.doi.org/10.1016/j.biocon.2013.06.017</v>
      </c>
      <c r="BG666" t="s">
        <v>74</v>
      </c>
      <c r="BH666" t="s">
        <v>74</v>
      </c>
      <c r="BI666">
        <v>8</v>
      </c>
      <c r="BJ666" t="s">
        <v>1049</v>
      </c>
      <c r="BK666" t="s">
        <v>99</v>
      </c>
      <c r="BL666" t="s">
        <v>1050</v>
      </c>
      <c r="BM666" t="s">
        <v>12872</v>
      </c>
      <c r="BN666" t="s">
        <v>74</v>
      </c>
      <c r="BO666" t="s">
        <v>74</v>
      </c>
      <c r="BP666" t="s">
        <v>74</v>
      </c>
      <c r="BQ666" t="s">
        <v>74</v>
      </c>
      <c r="BR666" t="s">
        <v>103</v>
      </c>
      <c r="BS666" t="s">
        <v>12890</v>
      </c>
      <c r="BT666" t="str">
        <f>HYPERLINK("https%3A%2F%2Fwww.webofscience.com%2Fwos%2Fwoscc%2Ffull-record%2FWOS:000328523900015","View Full Record in Web of Science")</f>
        <v>View Full Record in Web of Science</v>
      </c>
    </row>
    <row r="667" spans="1:72" x14ac:dyDescent="0.15">
      <c r="A667" t="s">
        <v>72</v>
      </c>
      <c r="B667" t="s">
        <v>12891</v>
      </c>
      <c r="C667" t="s">
        <v>74</v>
      </c>
      <c r="D667" t="s">
        <v>74</v>
      </c>
      <c r="E667" t="s">
        <v>74</v>
      </c>
      <c r="F667" t="s">
        <v>12892</v>
      </c>
      <c r="G667" t="s">
        <v>74</v>
      </c>
      <c r="H667" t="s">
        <v>74</v>
      </c>
      <c r="I667" t="s">
        <v>12893</v>
      </c>
      <c r="J667" t="s">
        <v>6300</v>
      </c>
      <c r="K667" t="s">
        <v>74</v>
      </c>
      <c r="L667" t="s">
        <v>74</v>
      </c>
      <c r="M667" t="s">
        <v>78</v>
      </c>
      <c r="N667" t="s">
        <v>79</v>
      </c>
      <c r="O667" t="s">
        <v>74</v>
      </c>
      <c r="P667" t="s">
        <v>74</v>
      </c>
      <c r="Q667" t="s">
        <v>74</v>
      </c>
      <c r="R667" t="s">
        <v>74</v>
      </c>
      <c r="S667" t="s">
        <v>74</v>
      </c>
      <c r="T667" t="s">
        <v>12894</v>
      </c>
      <c r="U667" t="s">
        <v>12895</v>
      </c>
      <c r="V667" t="s">
        <v>12896</v>
      </c>
      <c r="W667" t="s">
        <v>12897</v>
      </c>
      <c r="X667" t="s">
        <v>12898</v>
      </c>
      <c r="Y667" t="s">
        <v>12899</v>
      </c>
      <c r="Z667" t="s">
        <v>12900</v>
      </c>
      <c r="AA667" t="s">
        <v>12901</v>
      </c>
      <c r="AB667" t="s">
        <v>12902</v>
      </c>
      <c r="AC667" t="s">
        <v>12903</v>
      </c>
      <c r="AD667" t="s">
        <v>12904</v>
      </c>
      <c r="AE667" t="s">
        <v>12905</v>
      </c>
      <c r="AF667" t="s">
        <v>74</v>
      </c>
      <c r="AG667">
        <v>52</v>
      </c>
      <c r="AH667">
        <v>32</v>
      </c>
      <c r="AI667">
        <v>35</v>
      </c>
      <c r="AJ667">
        <v>2</v>
      </c>
      <c r="AK667">
        <v>28</v>
      </c>
      <c r="AL667" t="s">
        <v>1067</v>
      </c>
      <c r="AM667" t="s">
        <v>921</v>
      </c>
      <c r="AN667" t="s">
        <v>2690</v>
      </c>
      <c r="AO667" t="s">
        <v>6313</v>
      </c>
      <c r="AP667" t="s">
        <v>6314</v>
      </c>
      <c r="AQ667" t="s">
        <v>74</v>
      </c>
      <c r="AR667" t="s">
        <v>6315</v>
      </c>
      <c r="AS667" t="s">
        <v>6316</v>
      </c>
      <c r="AT667" t="s">
        <v>11635</v>
      </c>
      <c r="AU667">
        <v>2013</v>
      </c>
      <c r="AV667">
        <v>41</v>
      </c>
      <c r="AW667" t="s">
        <v>2526</v>
      </c>
      <c r="AX667" t="s">
        <v>74</v>
      </c>
      <c r="AY667" t="s">
        <v>74</v>
      </c>
      <c r="AZ667" t="s">
        <v>74</v>
      </c>
      <c r="BA667" t="s">
        <v>74</v>
      </c>
      <c r="BB667">
        <v>1955</v>
      </c>
      <c r="BC667">
        <v>1968</v>
      </c>
      <c r="BD667" t="s">
        <v>74</v>
      </c>
      <c r="BE667" t="s">
        <v>12906</v>
      </c>
      <c r="BF667" t="str">
        <f>HYPERLINK("http://dx.doi.org/10.1007/s00382-012-1584-9","http://dx.doi.org/10.1007/s00382-012-1584-9")</f>
        <v>http://dx.doi.org/10.1007/s00382-012-1584-9</v>
      </c>
      <c r="BG667" t="s">
        <v>74</v>
      </c>
      <c r="BH667" t="s">
        <v>74</v>
      </c>
      <c r="BI667">
        <v>14</v>
      </c>
      <c r="BJ667" t="s">
        <v>1503</v>
      </c>
      <c r="BK667" t="s">
        <v>99</v>
      </c>
      <c r="BL667" t="s">
        <v>1503</v>
      </c>
      <c r="BM667" t="s">
        <v>12907</v>
      </c>
      <c r="BN667" t="s">
        <v>74</v>
      </c>
      <c r="BO667" t="s">
        <v>74</v>
      </c>
      <c r="BP667" t="s">
        <v>74</v>
      </c>
      <c r="BQ667" t="s">
        <v>74</v>
      </c>
      <c r="BR667" t="s">
        <v>103</v>
      </c>
      <c r="BS667" t="s">
        <v>12908</v>
      </c>
      <c r="BT667" t="str">
        <f>HYPERLINK("https%3A%2F%2Fwww.webofscience.com%2Fwos%2Fwoscc%2Ffull-record%2FWOS:000324812200015","View Full Record in Web of Science")</f>
        <v>View Full Record in Web of Science</v>
      </c>
    </row>
    <row r="668" spans="1:72" x14ac:dyDescent="0.15">
      <c r="A668" t="s">
        <v>72</v>
      </c>
      <c r="B668" t="s">
        <v>12909</v>
      </c>
      <c r="C668" t="s">
        <v>74</v>
      </c>
      <c r="D668" t="s">
        <v>74</v>
      </c>
      <c r="E668" t="s">
        <v>74</v>
      </c>
      <c r="F668" t="s">
        <v>12910</v>
      </c>
      <c r="G668" t="s">
        <v>74</v>
      </c>
      <c r="H668" t="s">
        <v>74</v>
      </c>
      <c r="I668" t="s">
        <v>12911</v>
      </c>
      <c r="J668" t="s">
        <v>6300</v>
      </c>
      <c r="K668" t="s">
        <v>74</v>
      </c>
      <c r="L668" t="s">
        <v>74</v>
      </c>
      <c r="M668" t="s">
        <v>78</v>
      </c>
      <c r="N668" t="s">
        <v>79</v>
      </c>
      <c r="O668" t="s">
        <v>74</v>
      </c>
      <c r="P668" t="s">
        <v>74</v>
      </c>
      <c r="Q668" t="s">
        <v>74</v>
      </c>
      <c r="R668" t="s">
        <v>74</v>
      </c>
      <c r="S668" t="s">
        <v>74</v>
      </c>
      <c r="T668" t="s">
        <v>12912</v>
      </c>
      <c r="U668" t="s">
        <v>12913</v>
      </c>
      <c r="V668" t="s">
        <v>12914</v>
      </c>
      <c r="W668" t="s">
        <v>12915</v>
      </c>
      <c r="X668" t="s">
        <v>12916</v>
      </c>
      <c r="Y668" t="s">
        <v>12917</v>
      </c>
      <c r="Z668" t="s">
        <v>12918</v>
      </c>
      <c r="AA668" t="s">
        <v>12919</v>
      </c>
      <c r="AB668" t="s">
        <v>12920</v>
      </c>
      <c r="AC668" t="s">
        <v>12921</v>
      </c>
      <c r="AD668" t="s">
        <v>12922</v>
      </c>
      <c r="AE668" t="s">
        <v>12923</v>
      </c>
      <c r="AF668" t="s">
        <v>74</v>
      </c>
      <c r="AG668">
        <v>76</v>
      </c>
      <c r="AH668">
        <v>54</v>
      </c>
      <c r="AI668">
        <v>54</v>
      </c>
      <c r="AJ668">
        <v>1</v>
      </c>
      <c r="AK668">
        <v>65</v>
      </c>
      <c r="AL668" t="s">
        <v>1067</v>
      </c>
      <c r="AM668" t="s">
        <v>921</v>
      </c>
      <c r="AN668" t="s">
        <v>2690</v>
      </c>
      <c r="AO668" t="s">
        <v>6313</v>
      </c>
      <c r="AP668" t="s">
        <v>6314</v>
      </c>
      <c r="AQ668" t="s">
        <v>74</v>
      </c>
      <c r="AR668" t="s">
        <v>6315</v>
      </c>
      <c r="AS668" t="s">
        <v>6316</v>
      </c>
      <c r="AT668" t="s">
        <v>11635</v>
      </c>
      <c r="AU668">
        <v>2013</v>
      </c>
      <c r="AV668">
        <v>41</v>
      </c>
      <c r="AW668" t="s">
        <v>2526</v>
      </c>
      <c r="AX668" t="s">
        <v>74</v>
      </c>
      <c r="AY668" t="s">
        <v>74</v>
      </c>
      <c r="AZ668" t="s">
        <v>74</v>
      </c>
      <c r="BA668" t="s">
        <v>74</v>
      </c>
      <c r="BB668">
        <v>2145</v>
      </c>
      <c r="BC668">
        <v>2164</v>
      </c>
      <c r="BD668" t="s">
        <v>74</v>
      </c>
      <c r="BE668" t="s">
        <v>12924</v>
      </c>
      <c r="BF668" t="str">
        <f>HYPERLINK("http://dx.doi.org/10.1007/s00382-012-1650-3","http://dx.doi.org/10.1007/s00382-012-1650-3")</f>
        <v>http://dx.doi.org/10.1007/s00382-012-1650-3</v>
      </c>
      <c r="BG668" t="s">
        <v>74</v>
      </c>
      <c r="BH668" t="s">
        <v>74</v>
      </c>
      <c r="BI668">
        <v>20</v>
      </c>
      <c r="BJ668" t="s">
        <v>1503</v>
      </c>
      <c r="BK668" t="s">
        <v>99</v>
      </c>
      <c r="BL668" t="s">
        <v>1503</v>
      </c>
      <c r="BM668" t="s">
        <v>12907</v>
      </c>
      <c r="BN668" t="s">
        <v>74</v>
      </c>
      <c r="BO668" t="s">
        <v>1353</v>
      </c>
      <c r="BP668" t="s">
        <v>74</v>
      </c>
      <c r="BQ668" t="s">
        <v>74</v>
      </c>
      <c r="BR668" t="s">
        <v>103</v>
      </c>
      <c r="BS668" t="s">
        <v>12925</v>
      </c>
      <c r="BT668" t="str">
        <f>HYPERLINK("https%3A%2F%2Fwww.webofscience.com%2Fwos%2Fwoscc%2Ffull-record%2FWOS:000324812200026","View Full Record in Web of Science")</f>
        <v>View Full Record in Web of Science</v>
      </c>
    </row>
    <row r="669" spans="1:72" x14ac:dyDescent="0.15">
      <c r="A669" t="s">
        <v>72</v>
      </c>
      <c r="B669" t="s">
        <v>12926</v>
      </c>
      <c r="C669" t="s">
        <v>74</v>
      </c>
      <c r="D669" t="s">
        <v>74</v>
      </c>
      <c r="E669" t="s">
        <v>74</v>
      </c>
      <c r="F669" t="s">
        <v>12927</v>
      </c>
      <c r="G669" t="s">
        <v>74</v>
      </c>
      <c r="H669" t="s">
        <v>74</v>
      </c>
      <c r="I669" t="s">
        <v>12928</v>
      </c>
      <c r="J669" t="s">
        <v>12929</v>
      </c>
      <c r="K669" t="s">
        <v>74</v>
      </c>
      <c r="L669" t="s">
        <v>74</v>
      </c>
      <c r="M669" t="s">
        <v>78</v>
      </c>
      <c r="N669" t="s">
        <v>79</v>
      </c>
      <c r="O669" t="s">
        <v>74</v>
      </c>
      <c r="P669" t="s">
        <v>74</v>
      </c>
      <c r="Q669" t="s">
        <v>74</v>
      </c>
      <c r="R669" t="s">
        <v>74</v>
      </c>
      <c r="S669" t="s">
        <v>74</v>
      </c>
      <c r="T669" t="s">
        <v>12930</v>
      </c>
      <c r="U669" t="s">
        <v>12931</v>
      </c>
      <c r="V669" t="s">
        <v>12932</v>
      </c>
      <c r="W669" t="s">
        <v>12933</v>
      </c>
      <c r="X669" t="s">
        <v>12934</v>
      </c>
      <c r="Y669" t="s">
        <v>12935</v>
      </c>
      <c r="Z669" t="s">
        <v>12936</v>
      </c>
      <c r="AA669" t="s">
        <v>12937</v>
      </c>
      <c r="AB669" t="s">
        <v>12938</v>
      </c>
      <c r="AC669" t="s">
        <v>12939</v>
      </c>
      <c r="AD669" t="s">
        <v>2258</v>
      </c>
      <c r="AE669" t="s">
        <v>12940</v>
      </c>
      <c r="AF669" t="s">
        <v>74</v>
      </c>
      <c r="AG669">
        <v>80</v>
      </c>
      <c r="AH669">
        <v>27</v>
      </c>
      <c r="AI669">
        <v>31</v>
      </c>
      <c r="AJ669">
        <v>1</v>
      </c>
      <c r="AK669">
        <v>30</v>
      </c>
      <c r="AL669" t="s">
        <v>872</v>
      </c>
      <c r="AM669" t="s">
        <v>252</v>
      </c>
      <c r="AN669" t="s">
        <v>873</v>
      </c>
      <c r="AO669" t="s">
        <v>12941</v>
      </c>
      <c r="AP669" t="s">
        <v>12942</v>
      </c>
      <c r="AQ669" t="s">
        <v>74</v>
      </c>
      <c r="AR669" t="s">
        <v>12943</v>
      </c>
      <c r="AS669" t="s">
        <v>12944</v>
      </c>
      <c r="AT669" t="s">
        <v>12056</v>
      </c>
      <c r="AU669">
        <v>2013</v>
      </c>
      <c r="AV669">
        <v>68</v>
      </c>
      <c r="AW669" t="s">
        <v>74</v>
      </c>
      <c r="AX669" t="s">
        <v>74</v>
      </c>
      <c r="AY669" t="s">
        <v>74</v>
      </c>
      <c r="AZ669" t="s">
        <v>74</v>
      </c>
      <c r="BA669" t="s">
        <v>74</v>
      </c>
      <c r="BB669">
        <v>80</v>
      </c>
      <c r="BC669">
        <v>90</v>
      </c>
      <c r="BD669" t="s">
        <v>74</v>
      </c>
      <c r="BE669" t="s">
        <v>12945</v>
      </c>
      <c r="BF669" t="str">
        <f>HYPERLINK("http://dx.doi.org/10.1016/j.csr.2013.08.012","http://dx.doi.org/10.1016/j.csr.2013.08.012")</f>
        <v>http://dx.doi.org/10.1016/j.csr.2013.08.012</v>
      </c>
      <c r="BG669" t="s">
        <v>74</v>
      </c>
      <c r="BH669" t="s">
        <v>74</v>
      </c>
      <c r="BI669">
        <v>11</v>
      </c>
      <c r="BJ669" t="s">
        <v>1613</v>
      </c>
      <c r="BK669" t="s">
        <v>99</v>
      </c>
      <c r="BL669" t="s">
        <v>1613</v>
      </c>
      <c r="BM669" t="s">
        <v>12946</v>
      </c>
      <c r="BN669" t="s">
        <v>74</v>
      </c>
      <c r="BO669" t="s">
        <v>450</v>
      </c>
      <c r="BP669" t="s">
        <v>74</v>
      </c>
      <c r="BQ669" t="s">
        <v>74</v>
      </c>
      <c r="BR669" t="s">
        <v>103</v>
      </c>
      <c r="BS669" t="s">
        <v>12947</v>
      </c>
      <c r="BT669" t="str">
        <f>HYPERLINK("https%3A%2F%2Fwww.webofscience.com%2Fwos%2Fwoscc%2Ffull-record%2FWOS:000327169700008","View Full Record in Web of Science")</f>
        <v>View Full Record in Web of Science</v>
      </c>
    </row>
    <row r="670" spans="1:72" x14ac:dyDescent="0.15">
      <c r="A670" t="s">
        <v>72</v>
      </c>
      <c r="B670" t="s">
        <v>12948</v>
      </c>
      <c r="C670" t="s">
        <v>74</v>
      </c>
      <c r="D670" t="s">
        <v>74</v>
      </c>
      <c r="E670" t="s">
        <v>74</v>
      </c>
      <c r="F670" t="s">
        <v>12949</v>
      </c>
      <c r="G670" t="s">
        <v>74</v>
      </c>
      <c r="H670" t="s">
        <v>74</v>
      </c>
      <c r="I670" t="s">
        <v>12950</v>
      </c>
      <c r="J670" t="s">
        <v>6355</v>
      </c>
      <c r="K670" t="s">
        <v>74</v>
      </c>
      <c r="L670" t="s">
        <v>74</v>
      </c>
      <c r="M670" t="s">
        <v>78</v>
      </c>
      <c r="N670" t="s">
        <v>79</v>
      </c>
      <c r="O670" t="s">
        <v>74</v>
      </c>
      <c r="P670" t="s">
        <v>74</v>
      </c>
      <c r="Q670" t="s">
        <v>74</v>
      </c>
      <c r="R670" t="s">
        <v>74</v>
      </c>
      <c r="S670" t="s">
        <v>74</v>
      </c>
      <c r="T670" t="s">
        <v>12951</v>
      </c>
      <c r="U670" t="s">
        <v>12952</v>
      </c>
      <c r="V670" t="s">
        <v>12953</v>
      </c>
      <c r="W670" t="s">
        <v>12954</v>
      </c>
      <c r="X670" t="s">
        <v>12955</v>
      </c>
      <c r="Y670" t="s">
        <v>12956</v>
      </c>
      <c r="Z670" t="s">
        <v>12957</v>
      </c>
      <c r="AA670" t="s">
        <v>74</v>
      </c>
      <c r="AB670" t="s">
        <v>12958</v>
      </c>
      <c r="AC670" t="s">
        <v>74</v>
      </c>
      <c r="AD670" t="s">
        <v>74</v>
      </c>
      <c r="AE670" t="s">
        <v>74</v>
      </c>
      <c r="AF670" t="s">
        <v>74</v>
      </c>
      <c r="AG670">
        <v>69</v>
      </c>
      <c r="AH670">
        <v>23</v>
      </c>
      <c r="AI670">
        <v>29</v>
      </c>
      <c r="AJ670">
        <v>1</v>
      </c>
      <c r="AK670">
        <v>32</v>
      </c>
      <c r="AL670" t="s">
        <v>872</v>
      </c>
      <c r="AM670" t="s">
        <v>252</v>
      </c>
      <c r="AN670" t="s">
        <v>873</v>
      </c>
      <c r="AO670" t="s">
        <v>6366</v>
      </c>
      <c r="AP670" t="s">
        <v>6367</v>
      </c>
      <c r="AQ670" t="s">
        <v>74</v>
      </c>
      <c r="AR670" t="s">
        <v>6368</v>
      </c>
      <c r="AS670" t="s">
        <v>6369</v>
      </c>
      <c r="AT670" t="s">
        <v>11635</v>
      </c>
      <c r="AU670">
        <v>2013</v>
      </c>
      <c r="AV670">
        <v>80</v>
      </c>
      <c r="AW670" t="s">
        <v>74</v>
      </c>
      <c r="AX670" t="s">
        <v>74</v>
      </c>
      <c r="AY670" t="s">
        <v>74</v>
      </c>
      <c r="AZ670" t="s">
        <v>74</v>
      </c>
      <c r="BA670" t="s">
        <v>74</v>
      </c>
      <c r="BB670">
        <v>1</v>
      </c>
      <c r="BC670">
        <v>10</v>
      </c>
      <c r="BD670" t="s">
        <v>74</v>
      </c>
      <c r="BE670" t="s">
        <v>12959</v>
      </c>
      <c r="BF670" t="str">
        <f>HYPERLINK("http://dx.doi.org/10.1016/j.dsr.2013.06.002","http://dx.doi.org/10.1016/j.dsr.2013.06.002")</f>
        <v>http://dx.doi.org/10.1016/j.dsr.2013.06.002</v>
      </c>
      <c r="BG670" t="s">
        <v>74</v>
      </c>
      <c r="BH670" t="s">
        <v>74</v>
      </c>
      <c r="BI670">
        <v>10</v>
      </c>
      <c r="BJ670" t="s">
        <v>1613</v>
      </c>
      <c r="BK670" t="s">
        <v>99</v>
      </c>
      <c r="BL670" t="s">
        <v>1613</v>
      </c>
      <c r="BM670" t="s">
        <v>12496</v>
      </c>
      <c r="BN670" t="s">
        <v>74</v>
      </c>
      <c r="BO670" t="s">
        <v>74</v>
      </c>
      <c r="BP670" t="s">
        <v>74</v>
      </c>
      <c r="BQ670" t="s">
        <v>74</v>
      </c>
      <c r="BR670" t="s">
        <v>103</v>
      </c>
      <c r="BS670" t="s">
        <v>12960</v>
      </c>
      <c r="BT670" t="str">
        <f>HYPERLINK("https%3A%2F%2Fwww.webofscience.com%2Fwos%2Fwoscc%2Ffull-record%2FWOS:000324227700001","View Full Record in Web of Science")</f>
        <v>View Full Record in Web of Science</v>
      </c>
    </row>
    <row r="671" spans="1:72" x14ac:dyDescent="0.15">
      <c r="A671" t="s">
        <v>72</v>
      </c>
      <c r="B671" t="s">
        <v>12961</v>
      </c>
      <c r="C671" t="s">
        <v>74</v>
      </c>
      <c r="D671" t="s">
        <v>74</v>
      </c>
      <c r="E671" t="s">
        <v>74</v>
      </c>
      <c r="F671" t="s">
        <v>12962</v>
      </c>
      <c r="G671" t="s">
        <v>74</v>
      </c>
      <c r="H671" t="s">
        <v>74</v>
      </c>
      <c r="I671" t="s">
        <v>12963</v>
      </c>
      <c r="J671" t="s">
        <v>6669</v>
      </c>
      <c r="K671" t="s">
        <v>74</v>
      </c>
      <c r="L671" t="s">
        <v>74</v>
      </c>
      <c r="M671" t="s">
        <v>78</v>
      </c>
      <c r="N671" t="s">
        <v>79</v>
      </c>
      <c r="O671" t="s">
        <v>74</v>
      </c>
      <c r="P671" t="s">
        <v>74</v>
      </c>
      <c r="Q671" t="s">
        <v>74</v>
      </c>
      <c r="R671" t="s">
        <v>74</v>
      </c>
      <c r="S671" t="s">
        <v>74</v>
      </c>
      <c r="T671" t="s">
        <v>12964</v>
      </c>
      <c r="U671" t="s">
        <v>12965</v>
      </c>
      <c r="V671" t="s">
        <v>12966</v>
      </c>
      <c r="W671" t="s">
        <v>12967</v>
      </c>
      <c r="X671" t="s">
        <v>12968</v>
      </c>
      <c r="Y671" t="s">
        <v>12969</v>
      </c>
      <c r="Z671" t="s">
        <v>12970</v>
      </c>
      <c r="AA671" t="s">
        <v>12971</v>
      </c>
      <c r="AB671" t="s">
        <v>12972</v>
      </c>
      <c r="AC671" t="s">
        <v>12973</v>
      </c>
      <c r="AD671" t="s">
        <v>12974</v>
      </c>
      <c r="AE671" t="s">
        <v>12975</v>
      </c>
      <c r="AF671" t="s">
        <v>74</v>
      </c>
      <c r="AG671">
        <v>45</v>
      </c>
      <c r="AH671">
        <v>59</v>
      </c>
      <c r="AI671">
        <v>64</v>
      </c>
      <c r="AJ671">
        <v>9</v>
      </c>
      <c r="AK671">
        <v>150</v>
      </c>
      <c r="AL671" t="s">
        <v>410</v>
      </c>
      <c r="AM671" t="s">
        <v>411</v>
      </c>
      <c r="AN671" t="s">
        <v>412</v>
      </c>
      <c r="AO671" t="s">
        <v>6682</v>
      </c>
      <c r="AP671" t="s">
        <v>6683</v>
      </c>
      <c r="AQ671" t="s">
        <v>74</v>
      </c>
      <c r="AR671" t="s">
        <v>6684</v>
      </c>
      <c r="AS671" t="s">
        <v>6685</v>
      </c>
      <c r="AT671" t="s">
        <v>11635</v>
      </c>
      <c r="AU671">
        <v>2013</v>
      </c>
      <c r="AV671">
        <v>19</v>
      </c>
      <c r="AW671">
        <v>10</v>
      </c>
      <c r="AX671" t="s">
        <v>74</v>
      </c>
      <c r="AY671" t="s">
        <v>74</v>
      </c>
      <c r="AZ671" t="s">
        <v>74</v>
      </c>
      <c r="BA671" t="s">
        <v>74</v>
      </c>
      <c r="BB671">
        <v>1322</v>
      </c>
      <c r="BC671">
        <v>1332</v>
      </c>
      <c r="BD671" t="s">
        <v>74</v>
      </c>
      <c r="BE671" t="s">
        <v>12976</v>
      </c>
      <c r="BF671" t="str">
        <f>HYPERLINK("http://dx.doi.org/10.1111/ddi.12105","http://dx.doi.org/10.1111/ddi.12105")</f>
        <v>http://dx.doi.org/10.1111/ddi.12105</v>
      </c>
      <c r="BG671" t="s">
        <v>74</v>
      </c>
      <c r="BH671" t="s">
        <v>74</v>
      </c>
      <c r="BI671">
        <v>11</v>
      </c>
      <c r="BJ671" t="s">
        <v>3183</v>
      </c>
      <c r="BK671" t="s">
        <v>99</v>
      </c>
      <c r="BL671" t="s">
        <v>1050</v>
      </c>
      <c r="BM671" t="s">
        <v>12977</v>
      </c>
      <c r="BN671" t="s">
        <v>74</v>
      </c>
      <c r="BO671" t="s">
        <v>6711</v>
      </c>
      <c r="BP671" t="s">
        <v>74</v>
      </c>
      <c r="BQ671" t="s">
        <v>74</v>
      </c>
      <c r="BR671" t="s">
        <v>103</v>
      </c>
      <c r="BS671" t="s">
        <v>12978</v>
      </c>
      <c r="BT671" t="str">
        <f>HYPERLINK("https%3A%2F%2Fwww.webofscience.com%2Fwos%2Fwoscc%2Ffull-record%2FWOS:000324019000010","View Full Record in Web of Science")</f>
        <v>View Full Record in Web of Science</v>
      </c>
    </row>
    <row r="672" spans="1:72" x14ac:dyDescent="0.15">
      <c r="A672" t="s">
        <v>72</v>
      </c>
      <c r="B672" t="s">
        <v>12979</v>
      </c>
      <c r="C672" t="s">
        <v>74</v>
      </c>
      <c r="D672" t="s">
        <v>74</v>
      </c>
      <c r="E672" t="s">
        <v>74</v>
      </c>
      <c r="F672" t="s">
        <v>12980</v>
      </c>
      <c r="G672" t="s">
        <v>74</v>
      </c>
      <c r="H672" t="s">
        <v>74</v>
      </c>
      <c r="I672" t="s">
        <v>12981</v>
      </c>
      <c r="J672" t="s">
        <v>6692</v>
      </c>
      <c r="K672" t="s">
        <v>74</v>
      </c>
      <c r="L672" t="s">
        <v>74</v>
      </c>
      <c r="M672" t="s">
        <v>78</v>
      </c>
      <c r="N672" t="s">
        <v>79</v>
      </c>
      <c r="O672" t="s">
        <v>74</v>
      </c>
      <c r="P672" t="s">
        <v>74</v>
      </c>
      <c r="Q672" t="s">
        <v>74</v>
      </c>
      <c r="R672" t="s">
        <v>74</v>
      </c>
      <c r="S672" t="s">
        <v>74</v>
      </c>
      <c r="T672" t="s">
        <v>12982</v>
      </c>
      <c r="U672" t="s">
        <v>12983</v>
      </c>
      <c r="V672" t="s">
        <v>12984</v>
      </c>
      <c r="W672" t="s">
        <v>12985</v>
      </c>
      <c r="X672" t="s">
        <v>12986</v>
      </c>
      <c r="Y672" t="s">
        <v>12987</v>
      </c>
      <c r="Z672" t="s">
        <v>12988</v>
      </c>
      <c r="AA672" t="s">
        <v>12989</v>
      </c>
      <c r="AB672" t="s">
        <v>12990</v>
      </c>
      <c r="AC672" t="s">
        <v>12991</v>
      </c>
      <c r="AD672" t="s">
        <v>12992</v>
      </c>
      <c r="AE672" t="s">
        <v>12993</v>
      </c>
      <c r="AF672" t="s">
        <v>74</v>
      </c>
      <c r="AG672">
        <v>82</v>
      </c>
      <c r="AH672">
        <v>43</v>
      </c>
      <c r="AI672">
        <v>47</v>
      </c>
      <c r="AJ672">
        <v>0</v>
      </c>
      <c r="AK672">
        <v>35</v>
      </c>
      <c r="AL672" t="s">
        <v>410</v>
      </c>
      <c r="AM672" t="s">
        <v>411</v>
      </c>
      <c r="AN672" t="s">
        <v>412</v>
      </c>
      <c r="AO672" t="s">
        <v>6705</v>
      </c>
      <c r="AP672" t="s">
        <v>6706</v>
      </c>
      <c r="AQ672" t="s">
        <v>74</v>
      </c>
      <c r="AR672" t="s">
        <v>6707</v>
      </c>
      <c r="AS672" t="s">
        <v>6708</v>
      </c>
      <c r="AT672" t="s">
        <v>11635</v>
      </c>
      <c r="AU672">
        <v>2013</v>
      </c>
      <c r="AV672">
        <v>23</v>
      </c>
      <c r="AW672">
        <v>7</v>
      </c>
      <c r="AX672" t="s">
        <v>74</v>
      </c>
      <c r="AY672" t="s">
        <v>74</v>
      </c>
      <c r="AZ672" t="s">
        <v>74</v>
      </c>
      <c r="BA672" t="s">
        <v>74</v>
      </c>
      <c r="BB672">
        <v>1677</v>
      </c>
      <c r="BC672">
        <v>1690</v>
      </c>
      <c r="BD672" t="s">
        <v>74</v>
      </c>
      <c r="BE672" t="s">
        <v>12994</v>
      </c>
      <c r="BF672" t="str">
        <f>HYPERLINK("http://dx.doi.org/10.1890/12-1657.1","http://dx.doi.org/10.1890/12-1657.1")</f>
        <v>http://dx.doi.org/10.1890/12-1657.1</v>
      </c>
      <c r="BG672" t="s">
        <v>74</v>
      </c>
      <c r="BH672" t="s">
        <v>74</v>
      </c>
      <c r="BI672">
        <v>14</v>
      </c>
      <c r="BJ672" t="s">
        <v>3238</v>
      </c>
      <c r="BK672" t="s">
        <v>99</v>
      </c>
      <c r="BL672" t="s">
        <v>420</v>
      </c>
      <c r="BM672" t="s">
        <v>12995</v>
      </c>
      <c r="BN672">
        <v>24261048</v>
      </c>
      <c r="BO672" t="s">
        <v>475</v>
      </c>
      <c r="BP672" t="s">
        <v>74</v>
      </c>
      <c r="BQ672" t="s">
        <v>74</v>
      </c>
      <c r="BR672" t="s">
        <v>103</v>
      </c>
      <c r="BS672" t="s">
        <v>12996</v>
      </c>
      <c r="BT672" t="str">
        <f>HYPERLINK("https%3A%2F%2Fwww.webofscience.com%2Fwos%2Fwoscc%2Ffull-record%2FWOS:000325097300012","View Full Record in Web of Science")</f>
        <v>View Full Record in Web of Science</v>
      </c>
    </row>
    <row r="673" spans="1:72" x14ac:dyDescent="0.15">
      <c r="A673" t="s">
        <v>72</v>
      </c>
      <c r="B673" t="s">
        <v>12997</v>
      </c>
      <c r="C673" t="s">
        <v>74</v>
      </c>
      <c r="D673" t="s">
        <v>74</v>
      </c>
      <c r="E673" t="s">
        <v>74</v>
      </c>
      <c r="F673" t="s">
        <v>12998</v>
      </c>
      <c r="G673" t="s">
        <v>74</v>
      </c>
      <c r="H673" t="s">
        <v>74</v>
      </c>
      <c r="I673" t="s">
        <v>12999</v>
      </c>
      <c r="J673" t="s">
        <v>9000</v>
      </c>
      <c r="K673" t="s">
        <v>74</v>
      </c>
      <c r="L673" t="s">
        <v>74</v>
      </c>
      <c r="M673" t="s">
        <v>78</v>
      </c>
      <c r="N673" t="s">
        <v>79</v>
      </c>
      <c r="O673" t="s">
        <v>74</v>
      </c>
      <c r="P673" t="s">
        <v>74</v>
      </c>
      <c r="Q673" t="s">
        <v>74</v>
      </c>
      <c r="R673" t="s">
        <v>74</v>
      </c>
      <c r="S673" t="s">
        <v>74</v>
      </c>
      <c r="T673" t="s">
        <v>13000</v>
      </c>
      <c r="U673" t="s">
        <v>13001</v>
      </c>
      <c r="V673" t="s">
        <v>13002</v>
      </c>
      <c r="W673" t="s">
        <v>13003</v>
      </c>
      <c r="X673" t="s">
        <v>13004</v>
      </c>
      <c r="Y673" t="s">
        <v>13005</v>
      </c>
      <c r="Z673" t="s">
        <v>13006</v>
      </c>
      <c r="AA673" t="s">
        <v>13007</v>
      </c>
      <c r="AB673" t="s">
        <v>13008</v>
      </c>
      <c r="AC673" t="s">
        <v>13009</v>
      </c>
      <c r="AD673" t="s">
        <v>13010</v>
      </c>
      <c r="AE673" t="s">
        <v>13011</v>
      </c>
      <c r="AF673" t="s">
        <v>74</v>
      </c>
      <c r="AG673">
        <v>64</v>
      </c>
      <c r="AH673">
        <v>19</v>
      </c>
      <c r="AI673">
        <v>20</v>
      </c>
      <c r="AJ673">
        <v>0</v>
      </c>
      <c r="AK673">
        <v>48</v>
      </c>
      <c r="AL673" t="s">
        <v>410</v>
      </c>
      <c r="AM673" t="s">
        <v>411</v>
      </c>
      <c r="AN673" t="s">
        <v>412</v>
      </c>
      <c r="AO673" t="s">
        <v>9012</v>
      </c>
      <c r="AP673" t="s">
        <v>74</v>
      </c>
      <c r="AQ673" t="s">
        <v>74</v>
      </c>
      <c r="AR673" t="s">
        <v>9013</v>
      </c>
      <c r="AS673" t="s">
        <v>9014</v>
      </c>
      <c r="AT673" t="s">
        <v>11635</v>
      </c>
      <c r="AU673">
        <v>2013</v>
      </c>
      <c r="AV673">
        <v>3</v>
      </c>
      <c r="AW673">
        <v>11</v>
      </c>
      <c r="AX673" t="s">
        <v>74</v>
      </c>
      <c r="AY673" t="s">
        <v>74</v>
      </c>
      <c r="AZ673" t="s">
        <v>74</v>
      </c>
      <c r="BA673" t="s">
        <v>74</v>
      </c>
      <c r="BB673">
        <v>3701</v>
      </c>
      <c r="BC673">
        <v>3712</v>
      </c>
      <c r="BD673" t="s">
        <v>74</v>
      </c>
      <c r="BE673" t="s">
        <v>13012</v>
      </c>
      <c r="BF673" t="str">
        <f>HYPERLINK("http://dx.doi.org/10.1002/ece3.732","http://dx.doi.org/10.1002/ece3.732")</f>
        <v>http://dx.doi.org/10.1002/ece3.732</v>
      </c>
      <c r="BG673" t="s">
        <v>74</v>
      </c>
      <c r="BH673" t="s">
        <v>74</v>
      </c>
      <c r="BI673">
        <v>12</v>
      </c>
      <c r="BJ673" t="s">
        <v>9016</v>
      </c>
      <c r="BK673" t="s">
        <v>99</v>
      </c>
      <c r="BL673" t="s">
        <v>9017</v>
      </c>
      <c r="BM673" t="s">
        <v>13013</v>
      </c>
      <c r="BN673">
        <v>24198934</v>
      </c>
      <c r="BO673" t="s">
        <v>8153</v>
      </c>
      <c r="BP673" t="s">
        <v>74</v>
      </c>
      <c r="BQ673" t="s">
        <v>74</v>
      </c>
      <c r="BR673" t="s">
        <v>103</v>
      </c>
      <c r="BS673" t="s">
        <v>13014</v>
      </c>
      <c r="BT673" t="str">
        <f>HYPERLINK("https%3A%2F%2Fwww.webofscience.com%2Fwos%2Fwoscc%2Ffull-record%2FWOS:000325486000006","View Full Record in Web of Science")</f>
        <v>View Full Record in Web of Science</v>
      </c>
    </row>
    <row r="674" spans="1:72" x14ac:dyDescent="0.15">
      <c r="A674" t="s">
        <v>72</v>
      </c>
      <c r="B674" t="s">
        <v>13015</v>
      </c>
      <c r="C674" t="s">
        <v>74</v>
      </c>
      <c r="D674" t="s">
        <v>74</v>
      </c>
      <c r="E674" t="s">
        <v>74</v>
      </c>
      <c r="F674" t="s">
        <v>13016</v>
      </c>
      <c r="G674" t="s">
        <v>74</v>
      </c>
      <c r="H674" t="s">
        <v>74</v>
      </c>
      <c r="I674" t="s">
        <v>13017</v>
      </c>
      <c r="J674" t="s">
        <v>9905</v>
      </c>
      <c r="K674" t="s">
        <v>74</v>
      </c>
      <c r="L674" t="s">
        <v>74</v>
      </c>
      <c r="M674" t="s">
        <v>78</v>
      </c>
      <c r="N674" t="s">
        <v>79</v>
      </c>
      <c r="O674" t="s">
        <v>74</v>
      </c>
      <c r="P674" t="s">
        <v>74</v>
      </c>
      <c r="Q674" t="s">
        <v>74</v>
      </c>
      <c r="R674" t="s">
        <v>74</v>
      </c>
      <c r="S674" t="s">
        <v>74</v>
      </c>
      <c r="T674" t="s">
        <v>13018</v>
      </c>
      <c r="U674" t="s">
        <v>13019</v>
      </c>
      <c r="V674" t="s">
        <v>13020</v>
      </c>
      <c r="W674" t="s">
        <v>13021</v>
      </c>
      <c r="X674" t="s">
        <v>13022</v>
      </c>
      <c r="Y674" t="s">
        <v>13023</v>
      </c>
      <c r="Z674" t="s">
        <v>13024</v>
      </c>
      <c r="AA674" t="s">
        <v>13025</v>
      </c>
      <c r="AB674" t="s">
        <v>13026</v>
      </c>
      <c r="AC674" t="s">
        <v>13027</v>
      </c>
      <c r="AD674" t="s">
        <v>13028</v>
      </c>
      <c r="AE674" t="s">
        <v>13029</v>
      </c>
      <c r="AF674" t="s">
        <v>74</v>
      </c>
      <c r="AG674">
        <v>71</v>
      </c>
      <c r="AH674">
        <v>25</v>
      </c>
      <c r="AI674">
        <v>28</v>
      </c>
      <c r="AJ674">
        <v>2</v>
      </c>
      <c r="AK674">
        <v>56</v>
      </c>
      <c r="AL674" t="s">
        <v>410</v>
      </c>
      <c r="AM674" t="s">
        <v>411</v>
      </c>
      <c r="AN674" t="s">
        <v>412</v>
      </c>
      <c r="AO674" t="s">
        <v>9918</v>
      </c>
      <c r="AP674" t="s">
        <v>74</v>
      </c>
      <c r="AQ674" t="s">
        <v>74</v>
      </c>
      <c r="AR674" t="s">
        <v>9905</v>
      </c>
      <c r="AS674" t="s">
        <v>9919</v>
      </c>
      <c r="AT674" t="s">
        <v>11635</v>
      </c>
      <c r="AU674">
        <v>2013</v>
      </c>
      <c r="AV674">
        <v>4</v>
      </c>
      <c r="AW674">
        <v>10</v>
      </c>
      <c r="AX674" t="s">
        <v>74</v>
      </c>
      <c r="AY674" t="s">
        <v>74</v>
      </c>
      <c r="AZ674" t="s">
        <v>74</v>
      </c>
      <c r="BA674" t="s">
        <v>74</v>
      </c>
      <c r="BB674" t="s">
        <v>74</v>
      </c>
      <c r="BC674" t="s">
        <v>74</v>
      </c>
      <c r="BD674">
        <v>127</v>
      </c>
      <c r="BE674" t="s">
        <v>13030</v>
      </c>
      <c r="BF674" t="str">
        <f>HYPERLINK("http://dx.doi.org/10.1890/ES13-00048.1","http://dx.doi.org/10.1890/ES13-00048.1")</f>
        <v>http://dx.doi.org/10.1890/ES13-00048.1</v>
      </c>
      <c r="BG674" t="s">
        <v>74</v>
      </c>
      <c r="BH674" t="s">
        <v>74</v>
      </c>
      <c r="BI674">
        <v>17</v>
      </c>
      <c r="BJ674" t="s">
        <v>419</v>
      </c>
      <c r="BK674" t="s">
        <v>99</v>
      </c>
      <c r="BL674" t="s">
        <v>420</v>
      </c>
      <c r="BM674" t="s">
        <v>13031</v>
      </c>
      <c r="BN674" t="s">
        <v>74</v>
      </c>
      <c r="BO674" t="s">
        <v>4951</v>
      </c>
      <c r="BP674" t="s">
        <v>74</v>
      </c>
      <c r="BQ674" t="s">
        <v>74</v>
      </c>
      <c r="BR674" t="s">
        <v>103</v>
      </c>
      <c r="BS674" t="s">
        <v>13032</v>
      </c>
      <c r="BT674" t="str">
        <f>HYPERLINK("https%3A%2F%2Fwww.webofscience.com%2Fwos%2Fwoscc%2Ffull-record%2FWOS:000327380400010","View Full Record in Web of Science")</f>
        <v>View Full Record in Web of Science</v>
      </c>
    </row>
    <row r="675" spans="1:72" x14ac:dyDescent="0.15">
      <c r="A675" t="s">
        <v>72</v>
      </c>
      <c r="B675" t="s">
        <v>13033</v>
      </c>
      <c r="C675" t="s">
        <v>74</v>
      </c>
      <c r="D675" t="s">
        <v>74</v>
      </c>
      <c r="E675" t="s">
        <v>74</v>
      </c>
      <c r="F675" t="s">
        <v>13034</v>
      </c>
      <c r="G675" t="s">
        <v>74</v>
      </c>
      <c r="H675" t="s">
        <v>74</v>
      </c>
      <c r="I675" t="s">
        <v>13035</v>
      </c>
      <c r="J675" t="s">
        <v>13036</v>
      </c>
      <c r="K675" t="s">
        <v>74</v>
      </c>
      <c r="L675" t="s">
        <v>74</v>
      </c>
      <c r="M675" t="s">
        <v>78</v>
      </c>
      <c r="N675" t="s">
        <v>79</v>
      </c>
      <c r="O675" t="s">
        <v>74</v>
      </c>
      <c r="P675" t="s">
        <v>74</v>
      </c>
      <c r="Q675" t="s">
        <v>74</v>
      </c>
      <c r="R675" t="s">
        <v>74</v>
      </c>
      <c r="S675" t="s">
        <v>74</v>
      </c>
      <c r="T675" t="s">
        <v>13037</v>
      </c>
      <c r="U675" t="s">
        <v>13038</v>
      </c>
      <c r="V675" t="s">
        <v>13039</v>
      </c>
      <c r="W675" t="s">
        <v>13040</v>
      </c>
      <c r="X675" t="s">
        <v>13041</v>
      </c>
      <c r="Y675" t="s">
        <v>13042</v>
      </c>
      <c r="Z675" t="s">
        <v>13043</v>
      </c>
      <c r="AA675" t="s">
        <v>13044</v>
      </c>
      <c r="AB675" t="s">
        <v>13045</v>
      </c>
      <c r="AC675" t="s">
        <v>13046</v>
      </c>
      <c r="AD675" t="s">
        <v>13047</v>
      </c>
      <c r="AE675" t="s">
        <v>13048</v>
      </c>
      <c r="AF675" t="s">
        <v>74</v>
      </c>
      <c r="AG675">
        <v>49</v>
      </c>
      <c r="AH675">
        <v>50</v>
      </c>
      <c r="AI675">
        <v>53</v>
      </c>
      <c r="AJ675">
        <v>0</v>
      </c>
      <c r="AK675">
        <v>79</v>
      </c>
      <c r="AL675" t="s">
        <v>783</v>
      </c>
      <c r="AM675" t="s">
        <v>252</v>
      </c>
      <c r="AN675" t="s">
        <v>784</v>
      </c>
      <c r="AO675" t="s">
        <v>13049</v>
      </c>
      <c r="AP675" t="s">
        <v>13050</v>
      </c>
      <c r="AQ675" t="s">
        <v>74</v>
      </c>
      <c r="AR675" t="s">
        <v>13051</v>
      </c>
      <c r="AS675" t="s">
        <v>13052</v>
      </c>
      <c r="AT675" t="s">
        <v>11635</v>
      </c>
      <c r="AU675">
        <v>2013</v>
      </c>
      <c r="AV675">
        <v>181</v>
      </c>
      <c r="AW675" t="s">
        <v>74</v>
      </c>
      <c r="AX675" t="s">
        <v>74</v>
      </c>
      <c r="AY675" t="s">
        <v>74</v>
      </c>
      <c r="AZ675" t="s">
        <v>74</v>
      </c>
      <c r="BA675" t="s">
        <v>74</v>
      </c>
      <c r="BB675">
        <v>315</v>
      </c>
      <c r="BC675">
        <v>320</v>
      </c>
      <c r="BD675" t="s">
        <v>74</v>
      </c>
      <c r="BE675" t="s">
        <v>13053</v>
      </c>
      <c r="BF675" t="str">
        <f>HYPERLINK("http://dx.doi.org/10.1016/j.envpol.2013.06.032","http://dx.doi.org/10.1016/j.envpol.2013.06.032")</f>
        <v>http://dx.doi.org/10.1016/j.envpol.2013.06.032</v>
      </c>
      <c r="BG675" t="s">
        <v>74</v>
      </c>
      <c r="BH675" t="s">
        <v>74</v>
      </c>
      <c r="BI675">
        <v>6</v>
      </c>
      <c r="BJ675" t="s">
        <v>9250</v>
      </c>
      <c r="BK675" t="s">
        <v>99</v>
      </c>
      <c r="BL675" t="s">
        <v>420</v>
      </c>
      <c r="BM675" t="s">
        <v>13054</v>
      </c>
      <c r="BN675">
        <v>23859845</v>
      </c>
      <c r="BO675" t="s">
        <v>7079</v>
      </c>
      <c r="BP675" t="s">
        <v>74</v>
      </c>
      <c r="BQ675" t="s">
        <v>74</v>
      </c>
      <c r="BR675" t="s">
        <v>103</v>
      </c>
      <c r="BS675" t="s">
        <v>13055</v>
      </c>
      <c r="BT675" t="str">
        <f>HYPERLINK("https%3A%2F%2Fwww.webofscience.com%2Fwos%2Fwoscc%2Ffull-record%2FWOS:000323807900039","View Full Record in Web of Science")</f>
        <v>View Full Record in Web of Science</v>
      </c>
    </row>
    <row r="676" spans="1:72" x14ac:dyDescent="0.15">
      <c r="A676" t="s">
        <v>72</v>
      </c>
      <c r="B676" t="s">
        <v>13056</v>
      </c>
      <c r="C676" t="s">
        <v>74</v>
      </c>
      <c r="D676" t="s">
        <v>74</v>
      </c>
      <c r="E676" t="s">
        <v>74</v>
      </c>
      <c r="F676" t="s">
        <v>13057</v>
      </c>
      <c r="G676" t="s">
        <v>74</v>
      </c>
      <c r="H676" t="s">
        <v>74</v>
      </c>
      <c r="I676" t="s">
        <v>13058</v>
      </c>
      <c r="J676" t="s">
        <v>11685</v>
      </c>
      <c r="K676" t="s">
        <v>74</v>
      </c>
      <c r="L676" t="s">
        <v>74</v>
      </c>
      <c r="M676" t="s">
        <v>78</v>
      </c>
      <c r="N676" t="s">
        <v>79</v>
      </c>
      <c r="O676" t="s">
        <v>74</v>
      </c>
      <c r="P676" t="s">
        <v>74</v>
      </c>
      <c r="Q676" t="s">
        <v>74</v>
      </c>
      <c r="R676" t="s">
        <v>74</v>
      </c>
      <c r="S676" t="s">
        <v>74</v>
      </c>
      <c r="T676" t="s">
        <v>13059</v>
      </c>
      <c r="U676" t="s">
        <v>13060</v>
      </c>
      <c r="V676" t="s">
        <v>13061</v>
      </c>
      <c r="W676" t="s">
        <v>13062</v>
      </c>
      <c r="X676" t="s">
        <v>709</v>
      </c>
      <c r="Y676" t="s">
        <v>13063</v>
      </c>
      <c r="Z676" t="s">
        <v>13064</v>
      </c>
      <c r="AA676" t="s">
        <v>13065</v>
      </c>
      <c r="AB676" t="s">
        <v>13066</v>
      </c>
      <c r="AC676" t="s">
        <v>13067</v>
      </c>
      <c r="AD676" t="s">
        <v>13068</v>
      </c>
      <c r="AE676" t="s">
        <v>13069</v>
      </c>
      <c r="AF676" t="s">
        <v>74</v>
      </c>
      <c r="AG676">
        <v>31</v>
      </c>
      <c r="AH676">
        <v>37</v>
      </c>
      <c r="AI676">
        <v>38</v>
      </c>
      <c r="AJ676">
        <v>0</v>
      </c>
      <c r="AK676">
        <v>13</v>
      </c>
      <c r="AL676" t="s">
        <v>4206</v>
      </c>
      <c r="AM676" t="s">
        <v>4207</v>
      </c>
      <c r="AN676" t="s">
        <v>4208</v>
      </c>
      <c r="AO676" t="s">
        <v>11696</v>
      </c>
      <c r="AP676" t="s">
        <v>74</v>
      </c>
      <c r="AQ676" t="s">
        <v>74</v>
      </c>
      <c r="AR676" t="s">
        <v>11697</v>
      </c>
      <c r="AS676" t="s">
        <v>11698</v>
      </c>
      <c r="AT676" t="s">
        <v>11615</v>
      </c>
      <c r="AU676">
        <v>2013</v>
      </c>
      <c r="AV676">
        <v>8</v>
      </c>
      <c r="AW676">
        <v>4</v>
      </c>
      <c r="AX676" t="s">
        <v>74</v>
      </c>
      <c r="AY676" t="s">
        <v>74</v>
      </c>
      <c r="AZ676" t="s">
        <v>74</v>
      </c>
      <c r="BA676" t="s">
        <v>74</v>
      </c>
      <c r="BB676" t="s">
        <v>74</v>
      </c>
      <c r="BC676" t="s">
        <v>74</v>
      </c>
      <c r="BD676">
        <v>45001</v>
      </c>
      <c r="BE676" t="s">
        <v>13070</v>
      </c>
      <c r="BF676" t="str">
        <f>HYPERLINK("http://dx.doi.org/10.1088/1748-9326/8/4/045001","http://dx.doi.org/10.1088/1748-9326/8/4/045001")</f>
        <v>http://dx.doi.org/10.1088/1748-9326/8/4/045001</v>
      </c>
      <c r="BG676" t="s">
        <v>74</v>
      </c>
      <c r="BH676" t="s">
        <v>74</v>
      </c>
      <c r="BI676">
        <v>5</v>
      </c>
      <c r="BJ676" t="s">
        <v>5023</v>
      </c>
      <c r="BK676" t="s">
        <v>99</v>
      </c>
      <c r="BL676" t="s">
        <v>3933</v>
      </c>
      <c r="BM676" t="s">
        <v>11700</v>
      </c>
      <c r="BN676" t="s">
        <v>74</v>
      </c>
      <c r="BO676" t="s">
        <v>102</v>
      </c>
      <c r="BP676" t="s">
        <v>74</v>
      </c>
      <c r="BQ676" t="s">
        <v>74</v>
      </c>
      <c r="BR676" t="s">
        <v>103</v>
      </c>
      <c r="BS676" t="s">
        <v>13071</v>
      </c>
      <c r="BT676" t="str">
        <f>HYPERLINK("https%3A%2F%2Fwww.webofscience.com%2Fwos%2Fwoscc%2Ffull-record%2FWOS:000329604900065","View Full Record in Web of Science")</f>
        <v>View Full Record in Web of Science</v>
      </c>
    </row>
    <row r="677" spans="1:72" x14ac:dyDescent="0.15">
      <c r="A677" t="s">
        <v>72</v>
      </c>
      <c r="B677" t="s">
        <v>13072</v>
      </c>
      <c r="C677" t="s">
        <v>74</v>
      </c>
      <c r="D677" t="s">
        <v>74</v>
      </c>
      <c r="E677" t="s">
        <v>74</v>
      </c>
      <c r="F677" t="s">
        <v>13073</v>
      </c>
      <c r="G677" t="s">
        <v>74</v>
      </c>
      <c r="H677" t="s">
        <v>74</v>
      </c>
      <c r="I677" t="s">
        <v>13074</v>
      </c>
      <c r="J677" t="s">
        <v>11685</v>
      </c>
      <c r="K677" t="s">
        <v>74</v>
      </c>
      <c r="L677" t="s">
        <v>74</v>
      </c>
      <c r="M677" t="s">
        <v>78</v>
      </c>
      <c r="N677" t="s">
        <v>79</v>
      </c>
      <c r="O677" t="s">
        <v>74</v>
      </c>
      <c r="P677" t="s">
        <v>74</v>
      </c>
      <c r="Q677" t="s">
        <v>74</v>
      </c>
      <c r="R677" t="s">
        <v>74</v>
      </c>
      <c r="S677" t="s">
        <v>74</v>
      </c>
      <c r="T677" t="s">
        <v>13075</v>
      </c>
      <c r="U677" t="s">
        <v>13076</v>
      </c>
      <c r="V677" t="s">
        <v>13077</v>
      </c>
      <c r="W677" t="s">
        <v>13078</v>
      </c>
      <c r="X677" t="s">
        <v>13079</v>
      </c>
      <c r="Y677" t="s">
        <v>13080</v>
      </c>
      <c r="Z677" t="s">
        <v>9723</v>
      </c>
      <c r="AA677" t="s">
        <v>9724</v>
      </c>
      <c r="AB677" t="s">
        <v>13081</v>
      </c>
      <c r="AC677" t="s">
        <v>13082</v>
      </c>
      <c r="AD677" t="s">
        <v>13083</v>
      </c>
      <c r="AE677" t="s">
        <v>13084</v>
      </c>
      <c r="AF677" t="s">
        <v>74</v>
      </c>
      <c r="AG677">
        <v>56</v>
      </c>
      <c r="AH677">
        <v>29</v>
      </c>
      <c r="AI677">
        <v>35</v>
      </c>
      <c r="AJ677">
        <v>4</v>
      </c>
      <c r="AK677">
        <v>35</v>
      </c>
      <c r="AL677" t="s">
        <v>4519</v>
      </c>
      <c r="AM677" t="s">
        <v>4207</v>
      </c>
      <c r="AN677" t="s">
        <v>4208</v>
      </c>
      <c r="AO677" t="s">
        <v>11696</v>
      </c>
      <c r="AP677" t="s">
        <v>74</v>
      </c>
      <c r="AQ677" t="s">
        <v>74</v>
      </c>
      <c r="AR677" t="s">
        <v>11697</v>
      </c>
      <c r="AS677" t="s">
        <v>11698</v>
      </c>
      <c r="AT677" t="s">
        <v>11615</v>
      </c>
      <c r="AU677">
        <v>2013</v>
      </c>
      <c r="AV677">
        <v>8</v>
      </c>
      <c r="AW677">
        <v>4</v>
      </c>
      <c r="AX677" t="s">
        <v>74</v>
      </c>
      <c r="AY677" t="s">
        <v>74</v>
      </c>
      <c r="AZ677" t="s">
        <v>74</v>
      </c>
      <c r="BA677" t="s">
        <v>74</v>
      </c>
      <c r="BB677" t="s">
        <v>74</v>
      </c>
      <c r="BC677" t="s">
        <v>74</v>
      </c>
      <c r="BD677">
        <v>45006</v>
      </c>
      <c r="BE677" t="s">
        <v>13085</v>
      </c>
      <c r="BF677" t="str">
        <f>HYPERLINK("http://dx.doi.org/10.1088/1748-9326/8/4/045006","http://dx.doi.org/10.1088/1748-9326/8/4/045006")</f>
        <v>http://dx.doi.org/10.1088/1748-9326/8/4/045006</v>
      </c>
      <c r="BG677" t="s">
        <v>74</v>
      </c>
      <c r="BH677" t="s">
        <v>74</v>
      </c>
      <c r="BI677">
        <v>8</v>
      </c>
      <c r="BJ677" t="s">
        <v>5023</v>
      </c>
      <c r="BK677" t="s">
        <v>99</v>
      </c>
      <c r="BL677" t="s">
        <v>3933</v>
      </c>
      <c r="BM677" t="s">
        <v>11700</v>
      </c>
      <c r="BN677" t="s">
        <v>74</v>
      </c>
      <c r="BO677" t="s">
        <v>172</v>
      </c>
      <c r="BP677" t="s">
        <v>74</v>
      </c>
      <c r="BQ677" t="s">
        <v>74</v>
      </c>
      <c r="BR677" t="s">
        <v>103</v>
      </c>
      <c r="BS677" t="s">
        <v>13086</v>
      </c>
      <c r="BT677" t="str">
        <f>HYPERLINK("https%3A%2F%2Fwww.webofscience.com%2Fwos%2Fwoscc%2Ffull-record%2FWOS:000329604900070","View Full Record in Web of Science")</f>
        <v>View Full Record in Web of Science</v>
      </c>
    </row>
    <row r="678" spans="1:72" x14ac:dyDescent="0.15">
      <c r="A678" t="s">
        <v>72</v>
      </c>
      <c r="B678" t="s">
        <v>13087</v>
      </c>
      <c r="C678" t="s">
        <v>74</v>
      </c>
      <c r="D678" t="s">
        <v>74</v>
      </c>
      <c r="E678" t="s">
        <v>74</v>
      </c>
      <c r="F678" t="s">
        <v>13088</v>
      </c>
      <c r="G678" t="s">
        <v>74</v>
      </c>
      <c r="H678" t="s">
        <v>74</v>
      </c>
      <c r="I678" t="s">
        <v>13089</v>
      </c>
      <c r="J678" t="s">
        <v>13090</v>
      </c>
      <c r="K678" t="s">
        <v>74</v>
      </c>
      <c r="L678" t="s">
        <v>74</v>
      </c>
      <c r="M678" t="s">
        <v>78</v>
      </c>
      <c r="N678" t="s">
        <v>213</v>
      </c>
      <c r="O678" t="s">
        <v>74</v>
      </c>
      <c r="P678" t="s">
        <v>74</v>
      </c>
      <c r="Q678" t="s">
        <v>74</v>
      </c>
      <c r="R678" t="s">
        <v>74</v>
      </c>
      <c r="S678" t="s">
        <v>74</v>
      </c>
      <c r="T678" t="s">
        <v>13091</v>
      </c>
      <c r="U678" t="s">
        <v>13092</v>
      </c>
      <c r="V678" t="s">
        <v>13093</v>
      </c>
      <c r="W678" t="s">
        <v>13094</v>
      </c>
      <c r="X678" t="s">
        <v>13095</v>
      </c>
      <c r="Y678" t="s">
        <v>13096</v>
      </c>
      <c r="Z678" t="s">
        <v>13097</v>
      </c>
      <c r="AA678" t="s">
        <v>13098</v>
      </c>
      <c r="AB678" t="s">
        <v>13099</v>
      </c>
      <c r="AC678" t="s">
        <v>13100</v>
      </c>
      <c r="AD678" t="s">
        <v>13101</v>
      </c>
      <c r="AE678" t="s">
        <v>13102</v>
      </c>
      <c r="AF678" t="s">
        <v>74</v>
      </c>
      <c r="AG678">
        <v>109</v>
      </c>
      <c r="AH678">
        <v>135</v>
      </c>
      <c r="AI678">
        <v>149</v>
      </c>
      <c r="AJ678">
        <v>1</v>
      </c>
      <c r="AK678">
        <v>79</v>
      </c>
      <c r="AL678" t="s">
        <v>649</v>
      </c>
      <c r="AM678" t="s">
        <v>650</v>
      </c>
      <c r="AN678" t="s">
        <v>651</v>
      </c>
      <c r="AO678" t="s">
        <v>13103</v>
      </c>
      <c r="AP678" t="s">
        <v>74</v>
      </c>
      <c r="AQ678" t="s">
        <v>74</v>
      </c>
      <c r="AR678" t="s">
        <v>13104</v>
      </c>
      <c r="AS678" t="s">
        <v>13105</v>
      </c>
      <c r="AT678" t="s">
        <v>11635</v>
      </c>
      <c r="AU678">
        <v>2013</v>
      </c>
      <c r="AV678">
        <v>3</v>
      </c>
      <c r="AW678" t="s">
        <v>74</v>
      </c>
      <c r="AX678" t="s">
        <v>74</v>
      </c>
      <c r="AY678" t="s">
        <v>74</v>
      </c>
      <c r="AZ678" t="s">
        <v>74</v>
      </c>
      <c r="BA678" t="s">
        <v>74</v>
      </c>
      <c r="BB678" t="s">
        <v>74</v>
      </c>
      <c r="BC678" t="s">
        <v>74</v>
      </c>
      <c r="BD678">
        <v>57</v>
      </c>
      <c r="BE678" t="s">
        <v>13106</v>
      </c>
      <c r="BF678" t="str">
        <f>HYPERLINK("http://dx.doi.org/10.3389/fcimb.2013.00057","http://dx.doi.org/10.3389/fcimb.2013.00057")</f>
        <v>http://dx.doi.org/10.3389/fcimb.2013.00057</v>
      </c>
      <c r="BG678" t="s">
        <v>74</v>
      </c>
      <c r="BH678" t="s">
        <v>74</v>
      </c>
      <c r="BI678">
        <v>12</v>
      </c>
      <c r="BJ678" t="s">
        <v>13107</v>
      </c>
      <c r="BK678" t="s">
        <v>99</v>
      </c>
      <c r="BL678" t="s">
        <v>13107</v>
      </c>
      <c r="BM678" t="s">
        <v>13108</v>
      </c>
      <c r="BN678">
        <v>24109592</v>
      </c>
      <c r="BO678" t="s">
        <v>616</v>
      </c>
      <c r="BP678" t="s">
        <v>74</v>
      </c>
      <c r="BQ678" t="s">
        <v>74</v>
      </c>
      <c r="BR678" t="s">
        <v>103</v>
      </c>
      <c r="BS678" t="s">
        <v>13109</v>
      </c>
      <c r="BT678" t="str">
        <f>HYPERLINK("https%3A%2F%2Fwww.webofscience.com%2Fwos%2Fwoscc%2Ffull-record%2FWOS:000328266500003","View Full Record in Web of Science")</f>
        <v>View Full Record in Web of Science</v>
      </c>
    </row>
    <row r="679" spans="1:72" x14ac:dyDescent="0.15">
      <c r="A679" t="s">
        <v>72</v>
      </c>
      <c r="B679" t="s">
        <v>13110</v>
      </c>
      <c r="C679" t="s">
        <v>74</v>
      </c>
      <c r="D679" t="s">
        <v>74</v>
      </c>
      <c r="E679" t="s">
        <v>74</v>
      </c>
      <c r="F679" t="s">
        <v>13111</v>
      </c>
      <c r="G679" t="s">
        <v>74</v>
      </c>
      <c r="H679" t="s">
        <v>74</v>
      </c>
      <c r="I679" t="s">
        <v>13112</v>
      </c>
      <c r="J679" t="s">
        <v>13113</v>
      </c>
      <c r="K679" t="s">
        <v>74</v>
      </c>
      <c r="L679" t="s">
        <v>74</v>
      </c>
      <c r="M679" t="s">
        <v>78</v>
      </c>
      <c r="N679" t="s">
        <v>79</v>
      </c>
      <c r="O679" t="s">
        <v>74</v>
      </c>
      <c r="P679" t="s">
        <v>74</v>
      </c>
      <c r="Q679" t="s">
        <v>74</v>
      </c>
      <c r="R679" t="s">
        <v>74</v>
      </c>
      <c r="S679" t="s">
        <v>74</v>
      </c>
      <c r="T679" t="s">
        <v>74</v>
      </c>
      <c r="U679" t="s">
        <v>13114</v>
      </c>
      <c r="V679" t="s">
        <v>13115</v>
      </c>
      <c r="W679" t="s">
        <v>13116</v>
      </c>
      <c r="X679" t="s">
        <v>13117</v>
      </c>
      <c r="Y679" t="s">
        <v>13118</v>
      </c>
      <c r="Z679" t="s">
        <v>13119</v>
      </c>
      <c r="AA679" t="s">
        <v>13120</v>
      </c>
      <c r="AB679" t="s">
        <v>13121</v>
      </c>
      <c r="AC679" t="s">
        <v>13122</v>
      </c>
      <c r="AD679" t="s">
        <v>13123</v>
      </c>
      <c r="AE679" t="s">
        <v>13124</v>
      </c>
      <c r="AF679" t="s">
        <v>74</v>
      </c>
      <c r="AG679">
        <v>102</v>
      </c>
      <c r="AH679">
        <v>201</v>
      </c>
      <c r="AI679">
        <v>226</v>
      </c>
      <c r="AJ679">
        <v>5</v>
      </c>
      <c r="AK679">
        <v>135</v>
      </c>
      <c r="AL679" t="s">
        <v>13125</v>
      </c>
      <c r="AM679" t="s">
        <v>13126</v>
      </c>
      <c r="AN679" t="s">
        <v>13127</v>
      </c>
      <c r="AO679" t="s">
        <v>13128</v>
      </c>
      <c r="AP679" t="s">
        <v>13129</v>
      </c>
      <c r="AQ679" t="s">
        <v>74</v>
      </c>
      <c r="AR679" t="s">
        <v>13130</v>
      </c>
      <c r="AS679" t="s">
        <v>13131</v>
      </c>
      <c r="AT679" t="s">
        <v>11635</v>
      </c>
      <c r="AU679">
        <v>2013</v>
      </c>
      <c r="AV679">
        <v>53</v>
      </c>
      <c r="AW679">
        <v>4</v>
      </c>
      <c r="AX679" t="s">
        <v>74</v>
      </c>
      <c r="AY679" t="s">
        <v>74</v>
      </c>
      <c r="AZ679" t="s">
        <v>74</v>
      </c>
      <c r="BA679" t="s">
        <v>74</v>
      </c>
      <c r="BB679">
        <v>545</v>
      </c>
      <c r="BC679">
        <v>556</v>
      </c>
      <c r="BD679" t="s">
        <v>74</v>
      </c>
      <c r="BE679" t="s">
        <v>13132</v>
      </c>
      <c r="BF679" t="str">
        <f>HYPERLINK("http://dx.doi.org/10.1093/icb/ict004","http://dx.doi.org/10.1093/icb/ict004")</f>
        <v>http://dx.doi.org/10.1093/icb/ict004</v>
      </c>
      <c r="BG679" t="s">
        <v>74</v>
      </c>
      <c r="BH679" t="s">
        <v>74</v>
      </c>
      <c r="BI679">
        <v>12</v>
      </c>
      <c r="BJ679" t="s">
        <v>448</v>
      </c>
      <c r="BK679" t="s">
        <v>99</v>
      </c>
      <c r="BL679" t="s">
        <v>448</v>
      </c>
      <c r="BM679" t="s">
        <v>13133</v>
      </c>
      <c r="BN679">
        <v>23520401</v>
      </c>
      <c r="BO679" t="s">
        <v>1733</v>
      </c>
      <c r="BP679" t="s">
        <v>120</v>
      </c>
      <c r="BQ679" t="s">
        <v>121</v>
      </c>
      <c r="BR679" t="s">
        <v>103</v>
      </c>
      <c r="BS679" t="s">
        <v>13134</v>
      </c>
      <c r="BT679" t="str">
        <f>HYPERLINK("https%3A%2F%2Fwww.webofscience.com%2Fwos%2Fwoscc%2Ffull-record%2FWOS:000324833500002","View Full Record in Web of Science")</f>
        <v>View Full Record in Web of Science</v>
      </c>
    </row>
    <row r="680" spans="1:72" x14ac:dyDescent="0.15">
      <c r="A680" t="s">
        <v>72</v>
      </c>
      <c r="B680" t="s">
        <v>13135</v>
      </c>
      <c r="C680" t="s">
        <v>74</v>
      </c>
      <c r="D680" t="s">
        <v>74</v>
      </c>
      <c r="E680" t="s">
        <v>74</v>
      </c>
      <c r="F680" t="s">
        <v>13136</v>
      </c>
      <c r="G680" t="s">
        <v>74</v>
      </c>
      <c r="H680" t="s">
        <v>74</v>
      </c>
      <c r="I680" t="s">
        <v>13137</v>
      </c>
      <c r="J680" t="s">
        <v>13113</v>
      </c>
      <c r="K680" t="s">
        <v>74</v>
      </c>
      <c r="L680" t="s">
        <v>74</v>
      </c>
      <c r="M680" t="s">
        <v>78</v>
      </c>
      <c r="N680" t="s">
        <v>79</v>
      </c>
      <c r="O680" t="s">
        <v>74</v>
      </c>
      <c r="P680" t="s">
        <v>74</v>
      </c>
      <c r="Q680" t="s">
        <v>74</v>
      </c>
      <c r="R680" t="s">
        <v>74</v>
      </c>
      <c r="S680" t="s">
        <v>74</v>
      </c>
      <c r="T680" t="s">
        <v>74</v>
      </c>
      <c r="U680" t="s">
        <v>13138</v>
      </c>
      <c r="V680" t="s">
        <v>13139</v>
      </c>
      <c r="W680" t="s">
        <v>13140</v>
      </c>
      <c r="X680" t="s">
        <v>13141</v>
      </c>
      <c r="Y680" t="s">
        <v>13142</v>
      </c>
      <c r="Z680" t="s">
        <v>13143</v>
      </c>
      <c r="AA680" t="s">
        <v>13144</v>
      </c>
      <c r="AB680" t="s">
        <v>13145</v>
      </c>
      <c r="AC680" t="s">
        <v>13146</v>
      </c>
      <c r="AD680" t="s">
        <v>1564</v>
      </c>
      <c r="AE680" t="s">
        <v>13147</v>
      </c>
      <c r="AF680" t="s">
        <v>74</v>
      </c>
      <c r="AG680">
        <v>110</v>
      </c>
      <c r="AH680">
        <v>403</v>
      </c>
      <c r="AI680">
        <v>454</v>
      </c>
      <c r="AJ680">
        <v>4</v>
      </c>
      <c r="AK680">
        <v>157</v>
      </c>
      <c r="AL680" t="s">
        <v>13125</v>
      </c>
      <c r="AM680" t="s">
        <v>13126</v>
      </c>
      <c r="AN680" t="s">
        <v>13127</v>
      </c>
      <c r="AO680" t="s">
        <v>13128</v>
      </c>
      <c r="AP680" t="s">
        <v>13129</v>
      </c>
      <c r="AQ680" t="s">
        <v>74</v>
      </c>
      <c r="AR680" t="s">
        <v>13130</v>
      </c>
      <c r="AS680" t="s">
        <v>13131</v>
      </c>
      <c r="AT680" t="s">
        <v>11635</v>
      </c>
      <c r="AU680">
        <v>2013</v>
      </c>
      <c r="AV680">
        <v>53</v>
      </c>
      <c r="AW680">
        <v>4</v>
      </c>
      <c r="AX680" t="s">
        <v>74</v>
      </c>
      <c r="AY680" t="s">
        <v>74</v>
      </c>
      <c r="AZ680" t="s">
        <v>74</v>
      </c>
      <c r="BA680" t="s">
        <v>74</v>
      </c>
      <c r="BB680">
        <v>597</v>
      </c>
      <c r="BC680">
        <v>608</v>
      </c>
      <c r="BD680" t="s">
        <v>74</v>
      </c>
      <c r="BE680" t="s">
        <v>13148</v>
      </c>
      <c r="BF680" t="str">
        <f>HYPERLINK("http://dx.doi.org/10.1093/icb/ict028","http://dx.doi.org/10.1093/icb/ict028")</f>
        <v>http://dx.doi.org/10.1093/icb/ict028</v>
      </c>
      <c r="BG680" t="s">
        <v>74</v>
      </c>
      <c r="BH680" t="s">
        <v>74</v>
      </c>
      <c r="BI680">
        <v>12</v>
      </c>
      <c r="BJ680" t="s">
        <v>448</v>
      </c>
      <c r="BK680" t="s">
        <v>99</v>
      </c>
      <c r="BL680" t="s">
        <v>448</v>
      </c>
      <c r="BM680" t="s">
        <v>13133</v>
      </c>
      <c r="BN680">
        <v>23615362</v>
      </c>
      <c r="BO680" t="s">
        <v>475</v>
      </c>
      <c r="BP680" t="s">
        <v>120</v>
      </c>
      <c r="BQ680" t="s">
        <v>121</v>
      </c>
      <c r="BR680" t="s">
        <v>103</v>
      </c>
      <c r="BS680" t="s">
        <v>13149</v>
      </c>
      <c r="BT680" t="str">
        <f>HYPERLINK("https%3A%2F%2Fwww.webofscience.com%2Fwos%2Fwoscc%2Ffull-record%2FWOS:000324833500006","View Full Record in Web of Science")</f>
        <v>View Full Record in Web of Science</v>
      </c>
    </row>
    <row r="681" spans="1:72" x14ac:dyDescent="0.15">
      <c r="A681" t="s">
        <v>72</v>
      </c>
      <c r="B681" t="s">
        <v>13150</v>
      </c>
      <c r="C681" t="s">
        <v>74</v>
      </c>
      <c r="D681" t="s">
        <v>74</v>
      </c>
      <c r="E681" t="s">
        <v>74</v>
      </c>
      <c r="F681" t="s">
        <v>13151</v>
      </c>
      <c r="G681" t="s">
        <v>74</v>
      </c>
      <c r="H681" t="s">
        <v>74</v>
      </c>
      <c r="I681" t="s">
        <v>13152</v>
      </c>
      <c r="J681" t="s">
        <v>12023</v>
      </c>
      <c r="K681" t="s">
        <v>74</v>
      </c>
      <c r="L681" t="s">
        <v>74</v>
      </c>
      <c r="M681" t="s">
        <v>78</v>
      </c>
      <c r="N681" t="s">
        <v>79</v>
      </c>
      <c r="O681" t="s">
        <v>74</v>
      </c>
      <c r="P681" t="s">
        <v>74</v>
      </c>
      <c r="Q681" t="s">
        <v>74</v>
      </c>
      <c r="R681" t="s">
        <v>74</v>
      </c>
      <c r="S681" t="s">
        <v>74</v>
      </c>
      <c r="T681" t="s">
        <v>13153</v>
      </c>
      <c r="U681" t="s">
        <v>13154</v>
      </c>
      <c r="V681" t="s">
        <v>13155</v>
      </c>
      <c r="W681" t="s">
        <v>13156</v>
      </c>
      <c r="X681" t="s">
        <v>13157</v>
      </c>
      <c r="Y681" t="s">
        <v>13158</v>
      </c>
      <c r="Z681" t="s">
        <v>13159</v>
      </c>
      <c r="AA681" t="s">
        <v>13160</v>
      </c>
      <c r="AB681" t="s">
        <v>13161</v>
      </c>
      <c r="AC681" t="s">
        <v>13162</v>
      </c>
      <c r="AD681" t="s">
        <v>13163</v>
      </c>
      <c r="AE681" t="s">
        <v>13164</v>
      </c>
      <c r="AF681" t="s">
        <v>74</v>
      </c>
      <c r="AG681">
        <v>43</v>
      </c>
      <c r="AH681">
        <v>19</v>
      </c>
      <c r="AI681">
        <v>22</v>
      </c>
      <c r="AJ681">
        <v>0</v>
      </c>
      <c r="AK681">
        <v>15</v>
      </c>
      <c r="AL681" t="s">
        <v>410</v>
      </c>
      <c r="AM681" t="s">
        <v>411</v>
      </c>
      <c r="AN681" t="s">
        <v>412</v>
      </c>
      <c r="AO681" t="s">
        <v>12032</v>
      </c>
      <c r="AP681" t="s">
        <v>12033</v>
      </c>
      <c r="AQ681" t="s">
        <v>74</v>
      </c>
      <c r="AR681" t="s">
        <v>12034</v>
      </c>
      <c r="AS681" t="s">
        <v>12035</v>
      </c>
      <c r="AT681" t="s">
        <v>11635</v>
      </c>
      <c r="AU681">
        <v>2013</v>
      </c>
      <c r="AV681">
        <v>33</v>
      </c>
      <c r="AW681">
        <v>12</v>
      </c>
      <c r="AX681" t="s">
        <v>74</v>
      </c>
      <c r="AY681" t="s">
        <v>74</v>
      </c>
      <c r="AZ681" t="s">
        <v>74</v>
      </c>
      <c r="BA681" t="s">
        <v>74</v>
      </c>
      <c r="BB681">
        <v>2633</v>
      </c>
      <c r="BC681">
        <v>2648</v>
      </c>
      <c r="BD681" t="s">
        <v>74</v>
      </c>
      <c r="BE681" t="s">
        <v>13165</v>
      </c>
      <c r="BF681" t="str">
        <f>HYPERLINK("http://dx.doi.org/10.1002/joc.3612","http://dx.doi.org/10.1002/joc.3612")</f>
        <v>http://dx.doi.org/10.1002/joc.3612</v>
      </c>
      <c r="BG681" t="s">
        <v>74</v>
      </c>
      <c r="BH681" t="s">
        <v>74</v>
      </c>
      <c r="BI681">
        <v>16</v>
      </c>
      <c r="BJ681" t="s">
        <v>1503</v>
      </c>
      <c r="BK681" t="s">
        <v>99</v>
      </c>
      <c r="BL681" t="s">
        <v>1503</v>
      </c>
      <c r="BM681" t="s">
        <v>12037</v>
      </c>
      <c r="BN681" t="s">
        <v>74</v>
      </c>
      <c r="BO681" t="s">
        <v>74</v>
      </c>
      <c r="BP681" t="s">
        <v>74</v>
      </c>
      <c r="BQ681" t="s">
        <v>74</v>
      </c>
      <c r="BR681" t="s">
        <v>103</v>
      </c>
      <c r="BS681" t="s">
        <v>13166</v>
      </c>
      <c r="BT681" t="str">
        <f>HYPERLINK("https%3A%2F%2Fwww.webofscience.com%2Fwos%2Fwoscc%2Ffull-record%2FWOS:000325497400003","View Full Record in Web of Science")</f>
        <v>View Full Record in Web of Science</v>
      </c>
    </row>
    <row r="682" spans="1:72" x14ac:dyDescent="0.15">
      <c r="A682" t="s">
        <v>72</v>
      </c>
      <c r="B682" t="s">
        <v>13167</v>
      </c>
      <c r="C682" t="s">
        <v>74</v>
      </c>
      <c r="D682" t="s">
        <v>74</v>
      </c>
      <c r="E682" t="s">
        <v>74</v>
      </c>
      <c r="F682" t="s">
        <v>13168</v>
      </c>
      <c r="G682" t="s">
        <v>74</v>
      </c>
      <c r="H682" t="s">
        <v>74</v>
      </c>
      <c r="I682" t="s">
        <v>13169</v>
      </c>
      <c r="J682" t="s">
        <v>12023</v>
      </c>
      <c r="K682" t="s">
        <v>74</v>
      </c>
      <c r="L682" t="s">
        <v>74</v>
      </c>
      <c r="M682" t="s">
        <v>78</v>
      </c>
      <c r="N682" t="s">
        <v>79</v>
      </c>
      <c r="O682" t="s">
        <v>74</v>
      </c>
      <c r="P682" t="s">
        <v>74</v>
      </c>
      <c r="Q682" t="s">
        <v>74</v>
      </c>
      <c r="R682" t="s">
        <v>74</v>
      </c>
      <c r="S682" t="s">
        <v>74</v>
      </c>
      <c r="T682" t="s">
        <v>13170</v>
      </c>
      <c r="U682" t="s">
        <v>13171</v>
      </c>
      <c r="V682" t="s">
        <v>13172</v>
      </c>
      <c r="W682" t="s">
        <v>13173</v>
      </c>
      <c r="X682" t="s">
        <v>13174</v>
      </c>
      <c r="Y682" t="s">
        <v>13175</v>
      </c>
      <c r="Z682" t="s">
        <v>13176</v>
      </c>
      <c r="AA682" t="s">
        <v>13177</v>
      </c>
      <c r="AB682" t="s">
        <v>13178</v>
      </c>
      <c r="AC682" t="s">
        <v>13179</v>
      </c>
      <c r="AD682" t="s">
        <v>13180</v>
      </c>
      <c r="AE682" t="s">
        <v>13181</v>
      </c>
      <c r="AF682" t="s">
        <v>74</v>
      </c>
      <c r="AG682">
        <v>45</v>
      </c>
      <c r="AH682">
        <v>19</v>
      </c>
      <c r="AI682">
        <v>22</v>
      </c>
      <c r="AJ682">
        <v>0</v>
      </c>
      <c r="AK682">
        <v>25</v>
      </c>
      <c r="AL682" t="s">
        <v>410</v>
      </c>
      <c r="AM682" t="s">
        <v>411</v>
      </c>
      <c r="AN682" t="s">
        <v>412</v>
      </c>
      <c r="AO682" t="s">
        <v>12032</v>
      </c>
      <c r="AP682" t="s">
        <v>12033</v>
      </c>
      <c r="AQ682" t="s">
        <v>74</v>
      </c>
      <c r="AR682" t="s">
        <v>12034</v>
      </c>
      <c r="AS682" t="s">
        <v>12035</v>
      </c>
      <c r="AT682" t="s">
        <v>11635</v>
      </c>
      <c r="AU682">
        <v>2013</v>
      </c>
      <c r="AV682">
        <v>33</v>
      </c>
      <c r="AW682">
        <v>12</v>
      </c>
      <c r="AX682" t="s">
        <v>74</v>
      </c>
      <c r="AY682" t="s">
        <v>74</v>
      </c>
      <c r="AZ682" t="s">
        <v>74</v>
      </c>
      <c r="BA682" t="s">
        <v>74</v>
      </c>
      <c r="BB682">
        <v>2667</v>
      </c>
      <c r="BC682">
        <v>2681</v>
      </c>
      <c r="BD682" t="s">
        <v>74</v>
      </c>
      <c r="BE682" t="s">
        <v>13182</v>
      </c>
      <c r="BF682" t="str">
        <f>HYPERLINK("http://dx.doi.org/10.1002/joc.3617","http://dx.doi.org/10.1002/joc.3617")</f>
        <v>http://dx.doi.org/10.1002/joc.3617</v>
      </c>
      <c r="BG682" t="s">
        <v>74</v>
      </c>
      <c r="BH682" t="s">
        <v>74</v>
      </c>
      <c r="BI682">
        <v>15</v>
      </c>
      <c r="BJ682" t="s">
        <v>1503</v>
      </c>
      <c r="BK682" t="s">
        <v>99</v>
      </c>
      <c r="BL682" t="s">
        <v>1503</v>
      </c>
      <c r="BM682" t="s">
        <v>12037</v>
      </c>
      <c r="BN682" t="s">
        <v>74</v>
      </c>
      <c r="BO682" t="s">
        <v>450</v>
      </c>
      <c r="BP682" t="s">
        <v>74</v>
      </c>
      <c r="BQ682" t="s">
        <v>74</v>
      </c>
      <c r="BR682" t="s">
        <v>103</v>
      </c>
      <c r="BS682" t="s">
        <v>13183</v>
      </c>
      <c r="BT682" t="str">
        <f>HYPERLINK("https%3A%2F%2Fwww.webofscience.com%2Fwos%2Fwoscc%2Ffull-record%2FWOS:000325497400005","View Full Record in Web of Science")</f>
        <v>View Full Record in Web of Science</v>
      </c>
    </row>
    <row r="683" spans="1:72" x14ac:dyDescent="0.15">
      <c r="A683" t="s">
        <v>72</v>
      </c>
      <c r="B683" t="s">
        <v>13184</v>
      </c>
      <c r="C683" t="s">
        <v>74</v>
      </c>
      <c r="D683" t="s">
        <v>74</v>
      </c>
      <c r="E683" t="s">
        <v>74</v>
      </c>
      <c r="F683" t="s">
        <v>13185</v>
      </c>
      <c r="G683" t="s">
        <v>74</v>
      </c>
      <c r="H683" t="s">
        <v>74</v>
      </c>
      <c r="I683" t="s">
        <v>13186</v>
      </c>
      <c r="J683" t="s">
        <v>8780</v>
      </c>
      <c r="K683" t="s">
        <v>74</v>
      </c>
      <c r="L683" t="s">
        <v>74</v>
      </c>
      <c r="M683" t="s">
        <v>78</v>
      </c>
      <c r="N683" t="s">
        <v>79</v>
      </c>
      <c r="O683" t="s">
        <v>74</v>
      </c>
      <c r="P683" t="s">
        <v>74</v>
      </c>
      <c r="Q683" t="s">
        <v>74</v>
      </c>
      <c r="R683" t="s">
        <v>74</v>
      </c>
      <c r="S683" t="s">
        <v>74</v>
      </c>
      <c r="T683" t="s">
        <v>74</v>
      </c>
      <c r="U683" t="s">
        <v>13187</v>
      </c>
      <c r="V683" t="s">
        <v>13188</v>
      </c>
      <c r="W683" t="s">
        <v>13189</v>
      </c>
      <c r="X683" t="s">
        <v>13190</v>
      </c>
      <c r="Y683" t="s">
        <v>13191</v>
      </c>
      <c r="Z683" t="s">
        <v>13192</v>
      </c>
      <c r="AA683" t="s">
        <v>13193</v>
      </c>
      <c r="AB683" t="s">
        <v>13194</v>
      </c>
      <c r="AC683" t="s">
        <v>13195</v>
      </c>
      <c r="AD683" t="s">
        <v>13195</v>
      </c>
      <c r="AE683" t="s">
        <v>13196</v>
      </c>
      <c r="AF683" t="s">
        <v>74</v>
      </c>
      <c r="AG683">
        <v>22</v>
      </c>
      <c r="AH683">
        <v>8</v>
      </c>
      <c r="AI683">
        <v>8</v>
      </c>
      <c r="AJ683">
        <v>0</v>
      </c>
      <c r="AK683">
        <v>5</v>
      </c>
      <c r="AL683" t="s">
        <v>8792</v>
      </c>
      <c r="AM683" t="s">
        <v>849</v>
      </c>
      <c r="AN683" t="s">
        <v>8793</v>
      </c>
      <c r="AO683" t="s">
        <v>8794</v>
      </c>
      <c r="AP683" t="s">
        <v>8795</v>
      </c>
      <c r="AQ683" t="s">
        <v>74</v>
      </c>
      <c r="AR683" t="s">
        <v>8796</v>
      </c>
      <c r="AS683" t="s">
        <v>8797</v>
      </c>
      <c r="AT683" t="s">
        <v>11635</v>
      </c>
      <c r="AU683">
        <v>2013</v>
      </c>
      <c r="AV683">
        <v>63</v>
      </c>
      <c r="AW683" t="s">
        <v>74</v>
      </c>
      <c r="AX683">
        <v>10</v>
      </c>
      <c r="AY683" t="s">
        <v>74</v>
      </c>
      <c r="AZ683" t="s">
        <v>74</v>
      </c>
      <c r="BA683" t="s">
        <v>74</v>
      </c>
      <c r="BB683">
        <v>3617</v>
      </c>
      <c r="BC683">
        <v>3622</v>
      </c>
      <c r="BD683" t="s">
        <v>74</v>
      </c>
      <c r="BE683" t="s">
        <v>13197</v>
      </c>
      <c r="BF683" t="str">
        <f>HYPERLINK("http://dx.doi.org/10.1099/ijs.0.052738-0","http://dx.doi.org/10.1099/ijs.0.052738-0")</f>
        <v>http://dx.doi.org/10.1099/ijs.0.052738-0</v>
      </c>
      <c r="BG683" t="s">
        <v>74</v>
      </c>
      <c r="BH683" t="s">
        <v>74</v>
      </c>
      <c r="BI683">
        <v>6</v>
      </c>
      <c r="BJ683" t="s">
        <v>815</v>
      </c>
      <c r="BK683" t="s">
        <v>99</v>
      </c>
      <c r="BL683" t="s">
        <v>815</v>
      </c>
      <c r="BM683" t="s">
        <v>11786</v>
      </c>
      <c r="BN683">
        <v>23606478</v>
      </c>
      <c r="BO683" t="s">
        <v>74</v>
      </c>
      <c r="BP683" t="s">
        <v>74</v>
      </c>
      <c r="BQ683" t="s">
        <v>74</v>
      </c>
      <c r="BR683" t="s">
        <v>103</v>
      </c>
      <c r="BS683" t="s">
        <v>13198</v>
      </c>
      <c r="BT683" t="str">
        <f>HYPERLINK("https%3A%2F%2Fwww.webofscience.com%2Fwos%2Fwoscc%2Ffull-record%2FWOS:000327910200012","View Full Record in Web of Science")</f>
        <v>View Full Record in Web of Science</v>
      </c>
    </row>
    <row r="684" spans="1:72" x14ac:dyDescent="0.15">
      <c r="A684" t="s">
        <v>72</v>
      </c>
      <c r="B684" t="s">
        <v>13199</v>
      </c>
      <c r="C684" t="s">
        <v>74</v>
      </c>
      <c r="D684" t="s">
        <v>74</v>
      </c>
      <c r="E684" t="s">
        <v>74</v>
      </c>
      <c r="F684" t="s">
        <v>13200</v>
      </c>
      <c r="G684" t="s">
        <v>74</v>
      </c>
      <c r="H684" t="s">
        <v>74</v>
      </c>
      <c r="I684" t="s">
        <v>13201</v>
      </c>
      <c r="J684" t="s">
        <v>1358</v>
      </c>
      <c r="K684" t="s">
        <v>74</v>
      </c>
      <c r="L684" t="s">
        <v>74</v>
      </c>
      <c r="M684" t="s">
        <v>78</v>
      </c>
      <c r="N684" t="s">
        <v>79</v>
      </c>
      <c r="O684" t="s">
        <v>74</v>
      </c>
      <c r="P684" t="s">
        <v>74</v>
      </c>
      <c r="Q684" t="s">
        <v>74</v>
      </c>
      <c r="R684" t="s">
        <v>74</v>
      </c>
      <c r="S684" t="s">
        <v>74</v>
      </c>
      <c r="T684" t="s">
        <v>13202</v>
      </c>
      <c r="U684" t="s">
        <v>13203</v>
      </c>
      <c r="V684" t="s">
        <v>13204</v>
      </c>
      <c r="W684" t="s">
        <v>13205</v>
      </c>
      <c r="X684" t="s">
        <v>13206</v>
      </c>
      <c r="Y684" t="s">
        <v>11308</v>
      </c>
      <c r="Z684" t="s">
        <v>11309</v>
      </c>
      <c r="AA684" t="s">
        <v>13207</v>
      </c>
      <c r="AB684" t="s">
        <v>13208</v>
      </c>
      <c r="AC684" t="s">
        <v>13209</v>
      </c>
      <c r="AD684" t="s">
        <v>13210</v>
      </c>
      <c r="AE684" t="s">
        <v>13211</v>
      </c>
      <c r="AF684" t="s">
        <v>74</v>
      </c>
      <c r="AG684">
        <v>103</v>
      </c>
      <c r="AH684">
        <v>54</v>
      </c>
      <c r="AI684">
        <v>61</v>
      </c>
      <c r="AJ684">
        <v>5</v>
      </c>
      <c r="AK684">
        <v>110</v>
      </c>
      <c r="AL684" t="s">
        <v>1371</v>
      </c>
      <c r="AM684" t="s">
        <v>849</v>
      </c>
      <c r="AN684" t="s">
        <v>1372</v>
      </c>
      <c r="AO684" t="s">
        <v>1373</v>
      </c>
      <c r="AP684" t="s">
        <v>1374</v>
      </c>
      <c r="AQ684" t="s">
        <v>74</v>
      </c>
      <c r="AR684" t="s">
        <v>1375</v>
      </c>
      <c r="AS684" t="s">
        <v>1376</v>
      </c>
      <c r="AT684" t="s">
        <v>11635</v>
      </c>
      <c r="AU684">
        <v>2013</v>
      </c>
      <c r="AV684">
        <v>7</v>
      </c>
      <c r="AW684">
        <v>10</v>
      </c>
      <c r="AX684" t="s">
        <v>74</v>
      </c>
      <c r="AY684" t="s">
        <v>74</v>
      </c>
      <c r="AZ684" t="s">
        <v>74</v>
      </c>
      <c r="BA684" t="s">
        <v>74</v>
      </c>
      <c r="BB684">
        <v>1944</v>
      </c>
      <c r="BC684">
        <v>1961</v>
      </c>
      <c r="BD684" t="s">
        <v>74</v>
      </c>
      <c r="BE684" t="s">
        <v>13212</v>
      </c>
      <c r="BF684" t="str">
        <f>HYPERLINK("http://dx.doi.org/10.1038/ismej.2013.69","http://dx.doi.org/10.1038/ismej.2013.69")</f>
        <v>http://dx.doi.org/10.1038/ismej.2013.69</v>
      </c>
      <c r="BG684" t="s">
        <v>74</v>
      </c>
      <c r="BH684" t="s">
        <v>74</v>
      </c>
      <c r="BI684">
        <v>18</v>
      </c>
      <c r="BJ684" t="s">
        <v>1378</v>
      </c>
      <c r="BK684" t="s">
        <v>99</v>
      </c>
      <c r="BL684" t="s">
        <v>1379</v>
      </c>
      <c r="BM684" t="s">
        <v>13213</v>
      </c>
      <c r="BN684">
        <v>23619305</v>
      </c>
      <c r="BO684" t="s">
        <v>1648</v>
      </c>
      <c r="BP684" t="s">
        <v>74</v>
      </c>
      <c r="BQ684" t="s">
        <v>74</v>
      </c>
      <c r="BR684" t="s">
        <v>103</v>
      </c>
      <c r="BS684" t="s">
        <v>13214</v>
      </c>
      <c r="BT684" t="str">
        <f>HYPERLINK("https%3A%2F%2Fwww.webofscience.com%2Fwos%2Fwoscc%2Ffull-record%2FWOS:000324869400007","View Full Record in Web of Science")</f>
        <v>View Full Record in Web of Science</v>
      </c>
    </row>
    <row r="685" spans="1:72" x14ac:dyDescent="0.15">
      <c r="A685" t="s">
        <v>72</v>
      </c>
      <c r="B685" t="s">
        <v>13215</v>
      </c>
      <c r="C685" t="s">
        <v>74</v>
      </c>
      <c r="D685" t="s">
        <v>74</v>
      </c>
      <c r="E685" t="s">
        <v>74</v>
      </c>
      <c r="F685" t="s">
        <v>13216</v>
      </c>
      <c r="G685" t="s">
        <v>74</v>
      </c>
      <c r="H685" t="s">
        <v>74</v>
      </c>
      <c r="I685" t="s">
        <v>13217</v>
      </c>
      <c r="J685" t="s">
        <v>1484</v>
      </c>
      <c r="K685" t="s">
        <v>74</v>
      </c>
      <c r="L685" t="s">
        <v>74</v>
      </c>
      <c r="M685" t="s">
        <v>78</v>
      </c>
      <c r="N685" t="s">
        <v>79</v>
      </c>
      <c r="O685" t="s">
        <v>74</v>
      </c>
      <c r="P685" t="s">
        <v>74</v>
      </c>
      <c r="Q685" t="s">
        <v>74</v>
      </c>
      <c r="R685" t="s">
        <v>74</v>
      </c>
      <c r="S685" t="s">
        <v>74</v>
      </c>
      <c r="T685" t="s">
        <v>13218</v>
      </c>
      <c r="U685" t="s">
        <v>13219</v>
      </c>
      <c r="V685" t="s">
        <v>13220</v>
      </c>
      <c r="W685" t="s">
        <v>13221</v>
      </c>
      <c r="X685" t="s">
        <v>575</v>
      </c>
      <c r="Y685" t="s">
        <v>13222</v>
      </c>
      <c r="Z685" t="s">
        <v>13223</v>
      </c>
      <c r="AA685" t="s">
        <v>13224</v>
      </c>
      <c r="AB685" t="s">
        <v>13225</v>
      </c>
      <c r="AC685" t="s">
        <v>13226</v>
      </c>
      <c r="AD685" t="s">
        <v>7828</v>
      </c>
      <c r="AE685" t="s">
        <v>13227</v>
      </c>
      <c r="AF685" t="s">
        <v>74</v>
      </c>
      <c r="AG685">
        <v>71</v>
      </c>
      <c r="AH685">
        <v>81</v>
      </c>
      <c r="AI685">
        <v>91</v>
      </c>
      <c r="AJ685">
        <v>2</v>
      </c>
      <c r="AK685">
        <v>61</v>
      </c>
      <c r="AL685" t="s">
        <v>1495</v>
      </c>
      <c r="AM685" t="s">
        <v>1496</v>
      </c>
      <c r="AN685" t="s">
        <v>1497</v>
      </c>
      <c r="AO685" t="s">
        <v>1498</v>
      </c>
      <c r="AP685" t="s">
        <v>1499</v>
      </c>
      <c r="AQ685" t="s">
        <v>74</v>
      </c>
      <c r="AR685" t="s">
        <v>1500</v>
      </c>
      <c r="AS685" t="s">
        <v>1501</v>
      </c>
      <c r="AT685" t="s">
        <v>11635</v>
      </c>
      <c r="AU685">
        <v>2013</v>
      </c>
      <c r="AV685">
        <v>26</v>
      </c>
      <c r="AW685">
        <v>19</v>
      </c>
      <c r="AX685" t="s">
        <v>74</v>
      </c>
      <c r="AY685" t="s">
        <v>74</v>
      </c>
      <c r="AZ685" t="s">
        <v>74</v>
      </c>
      <c r="BA685" t="s">
        <v>74</v>
      </c>
      <c r="BB685">
        <v>7570</v>
      </c>
      <c r="BC685">
        <v>7585</v>
      </c>
      <c r="BD685" t="s">
        <v>74</v>
      </c>
      <c r="BE685" t="s">
        <v>13228</v>
      </c>
      <c r="BF685" t="str">
        <f>HYPERLINK("http://dx.doi.org/10.1175/JCLI-D-12-00729.1","http://dx.doi.org/10.1175/JCLI-D-12-00729.1")</f>
        <v>http://dx.doi.org/10.1175/JCLI-D-12-00729.1</v>
      </c>
      <c r="BG685" t="s">
        <v>74</v>
      </c>
      <c r="BH685" t="s">
        <v>74</v>
      </c>
      <c r="BI685">
        <v>16</v>
      </c>
      <c r="BJ685" t="s">
        <v>1503</v>
      </c>
      <c r="BK685" t="s">
        <v>99</v>
      </c>
      <c r="BL685" t="s">
        <v>1503</v>
      </c>
      <c r="BM685" t="s">
        <v>13229</v>
      </c>
      <c r="BN685" t="s">
        <v>74</v>
      </c>
      <c r="BO685" t="s">
        <v>475</v>
      </c>
      <c r="BP685" t="s">
        <v>74</v>
      </c>
      <c r="BQ685" t="s">
        <v>74</v>
      </c>
      <c r="BR685" t="s">
        <v>103</v>
      </c>
      <c r="BS685" t="s">
        <v>13230</v>
      </c>
      <c r="BT685" t="str">
        <f>HYPERLINK("https%3A%2F%2Fwww.webofscience.com%2Fwos%2Fwoscc%2Ffull-record%2FWOS:000324753900015","View Full Record in Web of Science")</f>
        <v>View Full Record in Web of Science</v>
      </c>
    </row>
    <row r="686" spans="1:72" x14ac:dyDescent="0.15">
      <c r="A686" t="s">
        <v>72</v>
      </c>
      <c r="B686" t="s">
        <v>13231</v>
      </c>
      <c r="C686" t="s">
        <v>74</v>
      </c>
      <c r="D686" t="s">
        <v>74</v>
      </c>
      <c r="E686" t="s">
        <v>74</v>
      </c>
      <c r="F686" t="s">
        <v>13232</v>
      </c>
      <c r="G686" t="s">
        <v>74</v>
      </c>
      <c r="H686" t="s">
        <v>74</v>
      </c>
      <c r="I686" t="s">
        <v>13233</v>
      </c>
      <c r="J686" t="s">
        <v>1484</v>
      </c>
      <c r="K686" t="s">
        <v>74</v>
      </c>
      <c r="L686" t="s">
        <v>74</v>
      </c>
      <c r="M686" t="s">
        <v>78</v>
      </c>
      <c r="N686" t="s">
        <v>79</v>
      </c>
      <c r="O686" t="s">
        <v>74</v>
      </c>
      <c r="P686" t="s">
        <v>74</v>
      </c>
      <c r="Q686" t="s">
        <v>74</v>
      </c>
      <c r="R686" t="s">
        <v>74</v>
      </c>
      <c r="S686" t="s">
        <v>74</v>
      </c>
      <c r="T686" t="s">
        <v>13234</v>
      </c>
      <c r="U686" t="s">
        <v>13235</v>
      </c>
      <c r="V686" t="s">
        <v>13236</v>
      </c>
      <c r="W686" t="s">
        <v>13237</v>
      </c>
      <c r="X686" t="s">
        <v>13238</v>
      </c>
      <c r="Y686" t="s">
        <v>13239</v>
      </c>
      <c r="Z686" t="s">
        <v>13240</v>
      </c>
      <c r="AA686" t="s">
        <v>13241</v>
      </c>
      <c r="AB686" t="s">
        <v>13242</v>
      </c>
      <c r="AC686" t="s">
        <v>13243</v>
      </c>
      <c r="AD686" t="s">
        <v>13244</v>
      </c>
      <c r="AE686" t="s">
        <v>13245</v>
      </c>
      <c r="AF686" t="s">
        <v>74</v>
      </c>
      <c r="AG686">
        <v>61</v>
      </c>
      <c r="AH686">
        <v>83</v>
      </c>
      <c r="AI686">
        <v>86</v>
      </c>
      <c r="AJ686">
        <v>2</v>
      </c>
      <c r="AK686">
        <v>49</v>
      </c>
      <c r="AL686" t="s">
        <v>1495</v>
      </c>
      <c r="AM686" t="s">
        <v>1496</v>
      </c>
      <c r="AN686" t="s">
        <v>1497</v>
      </c>
      <c r="AO686" t="s">
        <v>1498</v>
      </c>
      <c r="AP686" t="s">
        <v>1499</v>
      </c>
      <c r="AQ686" t="s">
        <v>74</v>
      </c>
      <c r="AR686" t="s">
        <v>1500</v>
      </c>
      <c r="AS686" t="s">
        <v>1501</v>
      </c>
      <c r="AT686" t="s">
        <v>11635</v>
      </c>
      <c r="AU686">
        <v>2013</v>
      </c>
      <c r="AV686">
        <v>26</v>
      </c>
      <c r="AW686">
        <v>19</v>
      </c>
      <c r="AX686" t="s">
        <v>74</v>
      </c>
      <c r="AY686" t="s">
        <v>74</v>
      </c>
      <c r="AZ686" t="s">
        <v>74</v>
      </c>
      <c r="BA686" t="s">
        <v>74</v>
      </c>
      <c r="BB686">
        <v>7767</v>
      </c>
      <c r="BC686">
        <v>7782</v>
      </c>
      <c r="BD686" t="s">
        <v>74</v>
      </c>
      <c r="BE686" t="s">
        <v>13246</v>
      </c>
      <c r="BF686" t="str">
        <f>HYPERLINK("http://dx.doi.org/10.1175/JCLI-D-12-00281.1","http://dx.doi.org/10.1175/JCLI-D-12-00281.1")</f>
        <v>http://dx.doi.org/10.1175/JCLI-D-12-00281.1</v>
      </c>
      <c r="BG686" t="s">
        <v>74</v>
      </c>
      <c r="BH686" t="s">
        <v>74</v>
      </c>
      <c r="BI686">
        <v>16</v>
      </c>
      <c r="BJ686" t="s">
        <v>1503</v>
      </c>
      <c r="BK686" t="s">
        <v>99</v>
      </c>
      <c r="BL686" t="s">
        <v>1503</v>
      </c>
      <c r="BM686" t="s">
        <v>13229</v>
      </c>
      <c r="BN686" t="s">
        <v>74</v>
      </c>
      <c r="BO686" t="s">
        <v>475</v>
      </c>
      <c r="BP686" t="s">
        <v>74</v>
      </c>
      <c r="BQ686" t="s">
        <v>74</v>
      </c>
      <c r="BR686" t="s">
        <v>103</v>
      </c>
      <c r="BS686" t="s">
        <v>13247</v>
      </c>
      <c r="BT686" t="str">
        <f>HYPERLINK("https%3A%2F%2Fwww.webofscience.com%2Fwos%2Fwoscc%2Ffull-record%2FWOS:000324753900029","View Full Record in Web of Science")</f>
        <v>View Full Record in Web of Science</v>
      </c>
    </row>
    <row r="687" spans="1:72" x14ac:dyDescent="0.15">
      <c r="A687" t="s">
        <v>72</v>
      </c>
      <c r="B687" t="s">
        <v>13248</v>
      </c>
      <c r="C687" t="s">
        <v>74</v>
      </c>
      <c r="D687" t="s">
        <v>74</v>
      </c>
      <c r="E687" t="s">
        <v>74</v>
      </c>
      <c r="F687" t="s">
        <v>13249</v>
      </c>
      <c r="G687" t="s">
        <v>74</v>
      </c>
      <c r="H687" t="s">
        <v>74</v>
      </c>
      <c r="I687" t="s">
        <v>13250</v>
      </c>
      <c r="J687" t="s">
        <v>1484</v>
      </c>
      <c r="K687" t="s">
        <v>74</v>
      </c>
      <c r="L687" t="s">
        <v>74</v>
      </c>
      <c r="M687" t="s">
        <v>78</v>
      </c>
      <c r="N687" t="s">
        <v>79</v>
      </c>
      <c r="O687" t="s">
        <v>74</v>
      </c>
      <c r="P687" t="s">
        <v>74</v>
      </c>
      <c r="Q687" t="s">
        <v>74</v>
      </c>
      <c r="R687" t="s">
        <v>74</v>
      </c>
      <c r="S687" t="s">
        <v>74</v>
      </c>
      <c r="T687" t="s">
        <v>13251</v>
      </c>
      <c r="U687" t="s">
        <v>13252</v>
      </c>
      <c r="V687" t="s">
        <v>13253</v>
      </c>
      <c r="W687" t="s">
        <v>13254</v>
      </c>
      <c r="X687" t="s">
        <v>13255</v>
      </c>
      <c r="Y687" t="s">
        <v>13256</v>
      </c>
      <c r="Z687" t="s">
        <v>13257</v>
      </c>
      <c r="AA687" t="s">
        <v>13258</v>
      </c>
      <c r="AB687" t="s">
        <v>13259</v>
      </c>
      <c r="AC687" t="s">
        <v>13260</v>
      </c>
      <c r="AD687" t="s">
        <v>13261</v>
      </c>
      <c r="AE687" t="s">
        <v>13262</v>
      </c>
      <c r="AF687" t="s">
        <v>74</v>
      </c>
      <c r="AG687">
        <v>83</v>
      </c>
      <c r="AH687">
        <v>56</v>
      </c>
      <c r="AI687">
        <v>62</v>
      </c>
      <c r="AJ687">
        <v>1</v>
      </c>
      <c r="AK687">
        <v>34</v>
      </c>
      <c r="AL687" t="s">
        <v>1495</v>
      </c>
      <c r="AM687" t="s">
        <v>1496</v>
      </c>
      <c r="AN687" t="s">
        <v>1497</v>
      </c>
      <c r="AO687" t="s">
        <v>1498</v>
      </c>
      <c r="AP687" t="s">
        <v>1499</v>
      </c>
      <c r="AQ687" t="s">
        <v>74</v>
      </c>
      <c r="AR687" t="s">
        <v>1500</v>
      </c>
      <c r="AS687" t="s">
        <v>1501</v>
      </c>
      <c r="AT687" t="s">
        <v>11635</v>
      </c>
      <c r="AU687">
        <v>2013</v>
      </c>
      <c r="AV687">
        <v>26</v>
      </c>
      <c r="AW687">
        <v>20</v>
      </c>
      <c r="AX687" t="s">
        <v>74</v>
      </c>
      <c r="AY687" t="s">
        <v>74</v>
      </c>
      <c r="AZ687" t="s">
        <v>74</v>
      </c>
      <c r="BA687" t="s">
        <v>74</v>
      </c>
      <c r="BB687">
        <v>8111</v>
      </c>
      <c r="BC687">
        <v>8125</v>
      </c>
      <c r="BD687" t="s">
        <v>74</v>
      </c>
      <c r="BE687" t="s">
        <v>13263</v>
      </c>
      <c r="BF687" t="str">
        <f>HYPERLINK("http://dx.doi.org/10.1175/JCLI-D-12-00765.1","http://dx.doi.org/10.1175/JCLI-D-12-00765.1")</f>
        <v>http://dx.doi.org/10.1175/JCLI-D-12-00765.1</v>
      </c>
      <c r="BG687" t="s">
        <v>74</v>
      </c>
      <c r="BH687" t="s">
        <v>74</v>
      </c>
      <c r="BI687">
        <v>15</v>
      </c>
      <c r="BJ687" t="s">
        <v>1503</v>
      </c>
      <c r="BK687" t="s">
        <v>99</v>
      </c>
      <c r="BL687" t="s">
        <v>1503</v>
      </c>
      <c r="BM687" t="s">
        <v>12280</v>
      </c>
      <c r="BN687" t="s">
        <v>74</v>
      </c>
      <c r="BO687" t="s">
        <v>1955</v>
      </c>
      <c r="BP687" t="s">
        <v>74</v>
      </c>
      <c r="BQ687" t="s">
        <v>74</v>
      </c>
      <c r="BR687" t="s">
        <v>103</v>
      </c>
      <c r="BS687" t="s">
        <v>13264</v>
      </c>
      <c r="BT687" t="str">
        <f>HYPERLINK("https%3A%2F%2Fwww.webofscience.com%2Fwos%2Fwoscc%2Ffull-record%2FWOS:000325269800023","View Full Record in Web of Science")</f>
        <v>View Full Record in Web of Science</v>
      </c>
    </row>
    <row r="688" spans="1:72" x14ac:dyDescent="0.15">
      <c r="A688" t="s">
        <v>72</v>
      </c>
      <c r="B688" t="s">
        <v>13265</v>
      </c>
      <c r="C688" t="s">
        <v>74</v>
      </c>
      <c r="D688" t="s">
        <v>74</v>
      </c>
      <c r="E688" t="s">
        <v>74</v>
      </c>
      <c r="F688" t="s">
        <v>13266</v>
      </c>
      <c r="G688" t="s">
        <v>74</v>
      </c>
      <c r="H688" t="s">
        <v>74</v>
      </c>
      <c r="I688" t="s">
        <v>13267</v>
      </c>
      <c r="J688" t="s">
        <v>1595</v>
      </c>
      <c r="K688" t="s">
        <v>74</v>
      </c>
      <c r="L688" t="s">
        <v>74</v>
      </c>
      <c r="M688" t="s">
        <v>78</v>
      </c>
      <c r="N688" t="s">
        <v>79</v>
      </c>
      <c r="O688" t="s">
        <v>74</v>
      </c>
      <c r="P688" t="s">
        <v>74</v>
      </c>
      <c r="Q688" t="s">
        <v>74</v>
      </c>
      <c r="R688" t="s">
        <v>74</v>
      </c>
      <c r="S688" t="s">
        <v>74</v>
      </c>
      <c r="T688" t="s">
        <v>13268</v>
      </c>
      <c r="U688" t="s">
        <v>13269</v>
      </c>
      <c r="V688" t="s">
        <v>13270</v>
      </c>
      <c r="W688" t="s">
        <v>13271</v>
      </c>
      <c r="X688" t="s">
        <v>13272</v>
      </c>
      <c r="Y688" t="s">
        <v>13273</v>
      </c>
      <c r="Z688" t="s">
        <v>13274</v>
      </c>
      <c r="AA688" t="s">
        <v>13275</v>
      </c>
      <c r="AB688" t="s">
        <v>13276</v>
      </c>
      <c r="AC688" t="s">
        <v>13277</v>
      </c>
      <c r="AD688" t="s">
        <v>13278</v>
      </c>
      <c r="AE688" t="s">
        <v>13279</v>
      </c>
      <c r="AF688" t="s">
        <v>74</v>
      </c>
      <c r="AG688">
        <v>66</v>
      </c>
      <c r="AH688">
        <v>80</v>
      </c>
      <c r="AI688">
        <v>89</v>
      </c>
      <c r="AJ688">
        <v>3</v>
      </c>
      <c r="AK688">
        <v>57</v>
      </c>
      <c r="AL688" t="s">
        <v>1606</v>
      </c>
      <c r="AM688" t="s">
        <v>808</v>
      </c>
      <c r="AN688" t="s">
        <v>1607</v>
      </c>
      <c r="AO688" t="s">
        <v>1608</v>
      </c>
      <c r="AP688" t="s">
        <v>1609</v>
      </c>
      <c r="AQ688" t="s">
        <v>74</v>
      </c>
      <c r="AR688" t="s">
        <v>1610</v>
      </c>
      <c r="AS688" t="s">
        <v>1611</v>
      </c>
      <c r="AT688" t="s">
        <v>11635</v>
      </c>
      <c r="AU688">
        <v>2013</v>
      </c>
      <c r="AV688">
        <v>118</v>
      </c>
      <c r="AW688">
        <v>10</v>
      </c>
      <c r="AX688" t="s">
        <v>74</v>
      </c>
      <c r="AY688" t="s">
        <v>74</v>
      </c>
      <c r="AZ688" t="s">
        <v>74</v>
      </c>
      <c r="BA688" t="s">
        <v>74</v>
      </c>
      <c r="BB688">
        <v>4781</v>
      </c>
      <c r="BC688">
        <v>4794</v>
      </c>
      <c r="BD688" t="s">
        <v>74</v>
      </c>
      <c r="BE688" t="s">
        <v>13280</v>
      </c>
      <c r="BF688" t="str">
        <f>HYPERLINK("http://dx.doi.org/10.1002/jgrc.20316","http://dx.doi.org/10.1002/jgrc.20316")</f>
        <v>http://dx.doi.org/10.1002/jgrc.20316</v>
      </c>
      <c r="BG688" t="s">
        <v>74</v>
      </c>
      <c r="BH688" t="s">
        <v>74</v>
      </c>
      <c r="BI688">
        <v>14</v>
      </c>
      <c r="BJ688" t="s">
        <v>1613</v>
      </c>
      <c r="BK688" t="s">
        <v>99</v>
      </c>
      <c r="BL688" t="s">
        <v>1613</v>
      </c>
      <c r="BM688" t="s">
        <v>11918</v>
      </c>
      <c r="BN688" t="s">
        <v>74</v>
      </c>
      <c r="BO688" t="s">
        <v>475</v>
      </c>
      <c r="BP688" t="s">
        <v>74</v>
      </c>
      <c r="BQ688" t="s">
        <v>74</v>
      </c>
      <c r="BR688" t="s">
        <v>103</v>
      </c>
      <c r="BS688" t="s">
        <v>13281</v>
      </c>
      <c r="BT688" t="str">
        <f>HYPERLINK("https%3A%2F%2Fwww.webofscience.com%2Fwos%2Fwoscc%2Ffull-record%2FWOS:000327380100003","View Full Record in Web of Science")</f>
        <v>View Full Record in Web of Science</v>
      </c>
    </row>
    <row r="689" spans="1:72" x14ac:dyDescent="0.15">
      <c r="A689" t="s">
        <v>72</v>
      </c>
      <c r="B689" t="s">
        <v>13282</v>
      </c>
      <c r="C689" t="s">
        <v>74</v>
      </c>
      <c r="D689" t="s">
        <v>74</v>
      </c>
      <c r="E689" t="s">
        <v>74</v>
      </c>
      <c r="F689" t="s">
        <v>13283</v>
      </c>
      <c r="G689" t="s">
        <v>74</v>
      </c>
      <c r="H689" t="s">
        <v>74</v>
      </c>
      <c r="I689" t="s">
        <v>13284</v>
      </c>
      <c r="J689" t="s">
        <v>1595</v>
      </c>
      <c r="K689" t="s">
        <v>74</v>
      </c>
      <c r="L689" t="s">
        <v>74</v>
      </c>
      <c r="M689" t="s">
        <v>78</v>
      </c>
      <c r="N689" t="s">
        <v>79</v>
      </c>
      <c r="O689" t="s">
        <v>74</v>
      </c>
      <c r="P689" t="s">
        <v>74</v>
      </c>
      <c r="Q689" t="s">
        <v>74</v>
      </c>
      <c r="R689" t="s">
        <v>74</v>
      </c>
      <c r="S689" t="s">
        <v>74</v>
      </c>
      <c r="T689" t="s">
        <v>13285</v>
      </c>
      <c r="U689" t="s">
        <v>13286</v>
      </c>
      <c r="V689" t="s">
        <v>13287</v>
      </c>
      <c r="W689" t="s">
        <v>13288</v>
      </c>
      <c r="X689" t="s">
        <v>13289</v>
      </c>
      <c r="Y689" t="s">
        <v>13290</v>
      </c>
      <c r="Z689" t="s">
        <v>13291</v>
      </c>
      <c r="AA689" t="s">
        <v>13292</v>
      </c>
      <c r="AB689" t="s">
        <v>13293</v>
      </c>
      <c r="AC689" t="s">
        <v>13294</v>
      </c>
      <c r="AD689" t="s">
        <v>13295</v>
      </c>
      <c r="AE689" t="s">
        <v>13296</v>
      </c>
      <c r="AF689" t="s">
        <v>74</v>
      </c>
      <c r="AG689">
        <v>56</v>
      </c>
      <c r="AH689">
        <v>81</v>
      </c>
      <c r="AI689">
        <v>89</v>
      </c>
      <c r="AJ689">
        <v>3</v>
      </c>
      <c r="AK689">
        <v>33</v>
      </c>
      <c r="AL689" t="s">
        <v>1606</v>
      </c>
      <c r="AM689" t="s">
        <v>808</v>
      </c>
      <c r="AN689" t="s">
        <v>1607</v>
      </c>
      <c r="AO689" t="s">
        <v>1608</v>
      </c>
      <c r="AP689" t="s">
        <v>1609</v>
      </c>
      <c r="AQ689" t="s">
        <v>74</v>
      </c>
      <c r="AR689" t="s">
        <v>1610</v>
      </c>
      <c r="AS689" t="s">
        <v>1611</v>
      </c>
      <c r="AT689" t="s">
        <v>11635</v>
      </c>
      <c r="AU689">
        <v>2013</v>
      </c>
      <c r="AV689">
        <v>118</v>
      </c>
      <c r="AW689">
        <v>10</v>
      </c>
      <c r="AX689" t="s">
        <v>74</v>
      </c>
      <c r="AY689" t="s">
        <v>74</v>
      </c>
      <c r="AZ689" t="s">
        <v>74</v>
      </c>
      <c r="BA689" t="s">
        <v>74</v>
      </c>
      <c r="BB689">
        <v>5439</v>
      </c>
      <c r="BC689">
        <v>5460</v>
      </c>
      <c r="BD689" t="s">
        <v>74</v>
      </c>
      <c r="BE689" t="s">
        <v>13297</v>
      </c>
      <c r="BF689" t="str">
        <f>HYPERLINK("http://dx.doi.org/10.1002/jgrc.20369","http://dx.doi.org/10.1002/jgrc.20369")</f>
        <v>http://dx.doi.org/10.1002/jgrc.20369</v>
      </c>
      <c r="BG689" t="s">
        <v>74</v>
      </c>
      <c r="BH689" t="s">
        <v>74</v>
      </c>
      <c r="BI689">
        <v>22</v>
      </c>
      <c r="BJ689" t="s">
        <v>1613</v>
      </c>
      <c r="BK689" t="s">
        <v>99</v>
      </c>
      <c r="BL689" t="s">
        <v>1613</v>
      </c>
      <c r="BM689" t="s">
        <v>11918</v>
      </c>
      <c r="BN689" t="s">
        <v>74</v>
      </c>
      <c r="BO689" t="s">
        <v>13298</v>
      </c>
      <c r="BP689" t="s">
        <v>74</v>
      </c>
      <c r="BQ689" t="s">
        <v>74</v>
      </c>
      <c r="BR689" t="s">
        <v>103</v>
      </c>
      <c r="BS689" t="s">
        <v>13299</v>
      </c>
      <c r="BT689" t="str">
        <f>HYPERLINK("https%3A%2F%2Fwww.webofscience.com%2Fwos%2Fwoscc%2Ffull-record%2FWOS:000327380100044","View Full Record in Web of Science")</f>
        <v>View Full Record in Web of Science</v>
      </c>
    </row>
    <row r="690" spans="1:72" x14ac:dyDescent="0.15">
      <c r="A690" t="s">
        <v>72</v>
      </c>
      <c r="B690" t="s">
        <v>13300</v>
      </c>
      <c r="C690" t="s">
        <v>74</v>
      </c>
      <c r="D690" t="s">
        <v>74</v>
      </c>
      <c r="E690" t="s">
        <v>74</v>
      </c>
      <c r="F690" t="s">
        <v>13301</v>
      </c>
      <c r="G690" t="s">
        <v>74</v>
      </c>
      <c r="H690" t="s">
        <v>74</v>
      </c>
      <c r="I690" t="s">
        <v>13302</v>
      </c>
      <c r="J690" t="s">
        <v>1595</v>
      </c>
      <c r="K690" t="s">
        <v>74</v>
      </c>
      <c r="L690" t="s">
        <v>74</v>
      </c>
      <c r="M690" t="s">
        <v>78</v>
      </c>
      <c r="N690" t="s">
        <v>79</v>
      </c>
      <c r="O690" t="s">
        <v>74</v>
      </c>
      <c r="P690" t="s">
        <v>74</v>
      </c>
      <c r="Q690" t="s">
        <v>74</v>
      </c>
      <c r="R690" t="s">
        <v>74</v>
      </c>
      <c r="S690" t="s">
        <v>74</v>
      </c>
      <c r="T690" t="s">
        <v>13303</v>
      </c>
      <c r="U690" t="s">
        <v>13304</v>
      </c>
      <c r="V690" t="s">
        <v>13305</v>
      </c>
      <c r="W690" t="s">
        <v>13306</v>
      </c>
      <c r="X690" t="s">
        <v>13307</v>
      </c>
      <c r="Y690" t="s">
        <v>13308</v>
      </c>
      <c r="Z690" t="s">
        <v>13309</v>
      </c>
      <c r="AA690" t="s">
        <v>11912</v>
      </c>
      <c r="AB690" t="s">
        <v>13310</v>
      </c>
      <c r="AC690" t="s">
        <v>13311</v>
      </c>
      <c r="AD690" t="s">
        <v>13312</v>
      </c>
      <c r="AE690" t="s">
        <v>13313</v>
      </c>
      <c r="AF690" t="s">
        <v>74</v>
      </c>
      <c r="AG690">
        <v>50</v>
      </c>
      <c r="AH690">
        <v>54</v>
      </c>
      <c r="AI690">
        <v>61</v>
      </c>
      <c r="AJ690">
        <v>3</v>
      </c>
      <c r="AK690">
        <v>23</v>
      </c>
      <c r="AL690" t="s">
        <v>1606</v>
      </c>
      <c r="AM690" t="s">
        <v>808</v>
      </c>
      <c r="AN690" t="s">
        <v>1607</v>
      </c>
      <c r="AO690" t="s">
        <v>1608</v>
      </c>
      <c r="AP690" t="s">
        <v>1609</v>
      </c>
      <c r="AQ690" t="s">
        <v>74</v>
      </c>
      <c r="AR690" t="s">
        <v>1610</v>
      </c>
      <c r="AS690" t="s">
        <v>1611</v>
      </c>
      <c r="AT690" t="s">
        <v>11635</v>
      </c>
      <c r="AU690">
        <v>2013</v>
      </c>
      <c r="AV690">
        <v>118</v>
      </c>
      <c r="AW690">
        <v>10</v>
      </c>
      <c r="AX690" t="s">
        <v>74</v>
      </c>
      <c r="AY690" t="s">
        <v>74</v>
      </c>
      <c r="AZ690" t="s">
        <v>74</v>
      </c>
      <c r="BA690" t="s">
        <v>74</v>
      </c>
      <c r="BB690">
        <v>5676</v>
      </c>
      <c r="BC690">
        <v>5685</v>
      </c>
      <c r="BD690" t="s">
        <v>74</v>
      </c>
      <c r="BE690" t="s">
        <v>13314</v>
      </c>
      <c r="BF690" t="str">
        <f>HYPERLINK("http://dx.doi.org/10.1002/jgrc.20408","http://dx.doi.org/10.1002/jgrc.20408")</f>
        <v>http://dx.doi.org/10.1002/jgrc.20408</v>
      </c>
      <c r="BG690" t="s">
        <v>74</v>
      </c>
      <c r="BH690" t="s">
        <v>74</v>
      </c>
      <c r="BI690">
        <v>10</v>
      </c>
      <c r="BJ690" t="s">
        <v>1613</v>
      </c>
      <c r="BK690" t="s">
        <v>99</v>
      </c>
      <c r="BL690" t="s">
        <v>1613</v>
      </c>
      <c r="BM690" t="s">
        <v>11918</v>
      </c>
      <c r="BN690" t="s">
        <v>74</v>
      </c>
      <c r="BO690" t="s">
        <v>1648</v>
      </c>
      <c r="BP690" t="s">
        <v>74</v>
      </c>
      <c r="BQ690" t="s">
        <v>74</v>
      </c>
      <c r="BR690" t="s">
        <v>103</v>
      </c>
      <c r="BS690" t="s">
        <v>13315</v>
      </c>
      <c r="BT690" t="str">
        <f>HYPERLINK("https%3A%2F%2Fwww.webofscience.com%2Fwos%2Fwoscc%2Ffull-record%2FWOS:000327380100058","View Full Record in Web of Science")</f>
        <v>View Full Record in Web of Science</v>
      </c>
    </row>
    <row r="691" spans="1:72" x14ac:dyDescent="0.15">
      <c r="A691" t="s">
        <v>72</v>
      </c>
      <c r="B691" t="s">
        <v>13316</v>
      </c>
      <c r="C691" t="s">
        <v>74</v>
      </c>
      <c r="D691" t="s">
        <v>74</v>
      </c>
      <c r="E691" t="s">
        <v>74</v>
      </c>
      <c r="F691" t="s">
        <v>13317</v>
      </c>
      <c r="G691" t="s">
        <v>74</v>
      </c>
      <c r="H691" t="s">
        <v>74</v>
      </c>
      <c r="I691" t="s">
        <v>13318</v>
      </c>
      <c r="J691" t="s">
        <v>1595</v>
      </c>
      <c r="K691" t="s">
        <v>74</v>
      </c>
      <c r="L691" t="s">
        <v>74</v>
      </c>
      <c r="M691" t="s">
        <v>78</v>
      </c>
      <c r="N691" t="s">
        <v>79</v>
      </c>
      <c r="O691" t="s">
        <v>74</v>
      </c>
      <c r="P691" t="s">
        <v>74</v>
      </c>
      <c r="Q691" t="s">
        <v>74</v>
      </c>
      <c r="R691" t="s">
        <v>74</v>
      </c>
      <c r="S691" t="s">
        <v>74</v>
      </c>
      <c r="T691" t="s">
        <v>13319</v>
      </c>
      <c r="U691" t="s">
        <v>13320</v>
      </c>
      <c r="V691" t="s">
        <v>13321</v>
      </c>
      <c r="W691" t="s">
        <v>13322</v>
      </c>
      <c r="X691" t="s">
        <v>13323</v>
      </c>
      <c r="Y691" t="s">
        <v>13324</v>
      </c>
      <c r="Z691" t="s">
        <v>13325</v>
      </c>
      <c r="AA691" t="s">
        <v>13326</v>
      </c>
      <c r="AB691" t="s">
        <v>13327</v>
      </c>
      <c r="AC691" t="s">
        <v>13328</v>
      </c>
      <c r="AD691" t="s">
        <v>13329</v>
      </c>
      <c r="AE691" t="s">
        <v>13330</v>
      </c>
      <c r="AF691" t="s">
        <v>74</v>
      </c>
      <c r="AG691">
        <v>54</v>
      </c>
      <c r="AH691">
        <v>33</v>
      </c>
      <c r="AI691">
        <v>34</v>
      </c>
      <c r="AJ691">
        <v>0</v>
      </c>
      <c r="AK691">
        <v>10</v>
      </c>
      <c r="AL691" t="s">
        <v>1606</v>
      </c>
      <c r="AM691" t="s">
        <v>808</v>
      </c>
      <c r="AN691" t="s">
        <v>1607</v>
      </c>
      <c r="AO691" t="s">
        <v>1608</v>
      </c>
      <c r="AP691" t="s">
        <v>1609</v>
      </c>
      <c r="AQ691" t="s">
        <v>74</v>
      </c>
      <c r="AR691" t="s">
        <v>1610</v>
      </c>
      <c r="AS691" t="s">
        <v>1611</v>
      </c>
      <c r="AT691" t="s">
        <v>11635</v>
      </c>
      <c r="AU691">
        <v>2013</v>
      </c>
      <c r="AV691">
        <v>118</v>
      </c>
      <c r="AW691">
        <v>10</v>
      </c>
      <c r="AX691" t="s">
        <v>74</v>
      </c>
      <c r="AY691" t="s">
        <v>74</v>
      </c>
      <c r="AZ691" t="s">
        <v>74</v>
      </c>
      <c r="BA691" t="s">
        <v>74</v>
      </c>
      <c r="BB691">
        <v>5858</v>
      </c>
      <c r="BC691">
        <v>5872</v>
      </c>
      <c r="BD691" t="s">
        <v>74</v>
      </c>
      <c r="BE691" t="s">
        <v>13331</v>
      </c>
      <c r="BF691" t="str">
        <f>HYPERLINK("http://dx.doi.org/10.1002/2013JC008790","http://dx.doi.org/10.1002/2013JC008790")</f>
        <v>http://dx.doi.org/10.1002/2013JC008790</v>
      </c>
      <c r="BG691" t="s">
        <v>74</v>
      </c>
      <c r="BH691" t="s">
        <v>74</v>
      </c>
      <c r="BI691">
        <v>15</v>
      </c>
      <c r="BJ691" t="s">
        <v>1613</v>
      </c>
      <c r="BK691" t="s">
        <v>99</v>
      </c>
      <c r="BL691" t="s">
        <v>1613</v>
      </c>
      <c r="BM691" t="s">
        <v>11918</v>
      </c>
      <c r="BN691" t="s">
        <v>74</v>
      </c>
      <c r="BO691" t="s">
        <v>13332</v>
      </c>
      <c r="BP691" t="s">
        <v>74</v>
      </c>
      <c r="BQ691" t="s">
        <v>74</v>
      </c>
      <c r="BR691" t="s">
        <v>103</v>
      </c>
      <c r="BS691" t="s">
        <v>13333</v>
      </c>
      <c r="BT691" t="str">
        <f>HYPERLINK("https%3A%2F%2Fwww.webofscience.com%2Fwos%2Fwoscc%2Ffull-record%2FWOS:000327380100070","View Full Record in Web of Science")</f>
        <v>View Full Record in Web of Science</v>
      </c>
    </row>
    <row r="692" spans="1:72" x14ac:dyDescent="0.15">
      <c r="A692" t="s">
        <v>72</v>
      </c>
      <c r="B692" t="s">
        <v>13334</v>
      </c>
      <c r="C692" t="s">
        <v>74</v>
      </c>
      <c r="D692" t="s">
        <v>74</v>
      </c>
      <c r="E692" t="s">
        <v>74</v>
      </c>
      <c r="F692" t="s">
        <v>13335</v>
      </c>
      <c r="G692" t="s">
        <v>74</v>
      </c>
      <c r="H692" t="s">
        <v>74</v>
      </c>
      <c r="I692" t="s">
        <v>13336</v>
      </c>
      <c r="J692" t="s">
        <v>1688</v>
      </c>
      <c r="K692" t="s">
        <v>74</v>
      </c>
      <c r="L692" t="s">
        <v>74</v>
      </c>
      <c r="M692" t="s">
        <v>78</v>
      </c>
      <c r="N692" t="s">
        <v>79</v>
      </c>
      <c r="O692" t="s">
        <v>74</v>
      </c>
      <c r="P692" t="s">
        <v>74</v>
      </c>
      <c r="Q692" t="s">
        <v>74</v>
      </c>
      <c r="R692" t="s">
        <v>74</v>
      </c>
      <c r="S692" t="s">
        <v>74</v>
      </c>
      <c r="T692" t="s">
        <v>13337</v>
      </c>
      <c r="U692" t="s">
        <v>13338</v>
      </c>
      <c r="V692" t="s">
        <v>13339</v>
      </c>
      <c r="W692" t="s">
        <v>13340</v>
      </c>
      <c r="X692" t="s">
        <v>13341</v>
      </c>
      <c r="Y692" t="s">
        <v>13342</v>
      </c>
      <c r="Z692" t="s">
        <v>13343</v>
      </c>
      <c r="AA692" t="s">
        <v>13344</v>
      </c>
      <c r="AB692" t="s">
        <v>13345</v>
      </c>
      <c r="AC692" t="s">
        <v>13346</v>
      </c>
      <c r="AD692" t="s">
        <v>13347</v>
      </c>
      <c r="AE692" t="s">
        <v>13348</v>
      </c>
      <c r="AF692" t="s">
        <v>74</v>
      </c>
      <c r="AG692">
        <v>82</v>
      </c>
      <c r="AH692">
        <v>70</v>
      </c>
      <c r="AI692">
        <v>71</v>
      </c>
      <c r="AJ692">
        <v>1</v>
      </c>
      <c r="AK692">
        <v>7</v>
      </c>
      <c r="AL692" t="s">
        <v>1606</v>
      </c>
      <c r="AM692" t="s">
        <v>808</v>
      </c>
      <c r="AN692" t="s">
        <v>1607</v>
      </c>
      <c r="AO692" t="s">
        <v>1700</v>
      </c>
      <c r="AP692" t="s">
        <v>1701</v>
      </c>
      <c r="AQ692" t="s">
        <v>74</v>
      </c>
      <c r="AR692" t="s">
        <v>1702</v>
      </c>
      <c r="AS692" t="s">
        <v>1703</v>
      </c>
      <c r="AT692" t="s">
        <v>11635</v>
      </c>
      <c r="AU692">
        <v>2013</v>
      </c>
      <c r="AV692">
        <v>118</v>
      </c>
      <c r="AW692">
        <v>10</v>
      </c>
      <c r="AX692" t="s">
        <v>74</v>
      </c>
      <c r="AY692" t="s">
        <v>74</v>
      </c>
      <c r="AZ692" t="s">
        <v>74</v>
      </c>
      <c r="BA692" t="s">
        <v>74</v>
      </c>
      <c r="BB692">
        <v>6302</v>
      </c>
      <c r="BC692">
        <v>6318</v>
      </c>
      <c r="BD692" t="s">
        <v>74</v>
      </c>
      <c r="BE692" t="s">
        <v>13349</v>
      </c>
      <c r="BF692" t="str">
        <f>HYPERLINK("http://dx.doi.org/10.1002/jgra.50594","http://dx.doi.org/10.1002/jgra.50594")</f>
        <v>http://dx.doi.org/10.1002/jgra.50594</v>
      </c>
      <c r="BG692" t="s">
        <v>74</v>
      </c>
      <c r="BH692" t="s">
        <v>74</v>
      </c>
      <c r="BI692">
        <v>17</v>
      </c>
      <c r="BJ692" t="s">
        <v>1705</v>
      </c>
      <c r="BK692" t="s">
        <v>99</v>
      </c>
      <c r="BL692" t="s">
        <v>1705</v>
      </c>
      <c r="BM692" t="s">
        <v>11654</v>
      </c>
      <c r="BN692" t="s">
        <v>74</v>
      </c>
      <c r="BO692" t="s">
        <v>450</v>
      </c>
      <c r="BP692" t="s">
        <v>74</v>
      </c>
      <c r="BQ692" t="s">
        <v>74</v>
      </c>
      <c r="BR692" t="s">
        <v>103</v>
      </c>
      <c r="BS692" t="s">
        <v>13350</v>
      </c>
      <c r="BT692" t="str">
        <f>HYPERLINK("https%3A%2F%2Fwww.webofscience.com%2Fwos%2Fwoscc%2Ffull-record%2FWOS:000330180600029","View Full Record in Web of Science")</f>
        <v>View Full Record in Web of Science</v>
      </c>
    </row>
    <row r="693" spans="1:72" x14ac:dyDescent="0.15">
      <c r="A693" t="s">
        <v>72</v>
      </c>
      <c r="B693" t="s">
        <v>13351</v>
      </c>
      <c r="C693" t="s">
        <v>74</v>
      </c>
      <c r="D693" t="s">
        <v>74</v>
      </c>
      <c r="E693" t="s">
        <v>74</v>
      </c>
      <c r="F693" t="s">
        <v>13352</v>
      </c>
      <c r="G693" t="s">
        <v>74</v>
      </c>
      <c r="H693" t="s">
        <v>74</v>
      </c>
      <c r="I693" t="s">
        <v>13353</v>
      </c>
      <c r="J693" t="s">
        <v>1688</v>
      </c>
      <c r="K693" t="s">
        <v>74</v>
      </c>
      <c r="L693" t="s">
        <v>74</v>
      </c>
      <c r="M693" t="s">
        <v>78</v>
      </c>
      <c r="N693" t="s">
        <v>79</v>
      </c>
      <c r="O693" t="s">
        <v>74</v>
      </c>
      <c r="P693" t="s">
        <v>74</v>
      </c>
      <c r="Q693" t="s">
        <v>74</v>
      </c>
      <c r="R693" t="s">
        <v>74</v>
      </c>
      <c r="S693" t="s">
        <v>74</v>
      </c>
      <c r="T693" t="s">
        <v>13354</v>
      </c>
      <c r="U693" t="s">
        <v>13355</v>
      </c>
      <c r="V693" t="s">
        <v>13356</v>
      </c>
      <c r="W693" t="s">
        <v>13357</v>
      </c>
      <c r="X693" t="s">
        <v>13358</v>
      </c>
      <c r="Y693" t="s">
        <v>13359</v>
      </c>
      <c r="Z693" t="s">
        <v>13360</v>
      </c>
      <c r="AA693" t="s">
        <v>13361</v>
      </c>
      <c r="AB693" t="s">
        <v>13362</v>
      </c>
      <c r="AC693" t="s">
        <v>13363</v>
      </c>
      <c r="AD693" t="s">
        <v>13364</v>
      </c>
      <c r="AE693" t="s">
        <v>13365</v>
      </c>
      <c r="AF693" t="s">
        <v>74</v>
      </c>
      <c r="AG693">
        <v>48</v>
      </c>
      <c r="AH693">
        <v>6</v>
      </c>
      <c r="AI693">
        <v>6</v>
      </c>
      <c r="AJ693">
        <v>2</v>
      </c>
      <c r="AK693">
        <v>8</v>
      </c>
      <c r="AL693" t="s">
        <v>1606</v>
      </c>
      <c r="AM693" t="s">
        <v>808</v>
      </c>
      <c r="AN693" t="s">
        <v>1607</v>
      </c>
      <c r="AO693" t="s">
        <v>1700</v>
      </c>
      <c r="AP693" t="s">
        <v>1701</v>
      </c>
      <c r="AQ693" t="s">
        <v>74</v>
      </c>
      <c r="AR693" t="s">
        <v>1702</v>
      </c>
      <c r="AS693" t="s">
        <v>1703</v>
      </c>
      <c r="AT693" t="s">
        <v>11635</v>
      </c>
      <c r="AU693">
        <v>2013</v>
      </c>
      <c r="AV693">
        <v>118</v>
      </c>
      <c r="AW693">
        <v>10</v>
      </c>
      <c r="AX693" t="s">
        <v>74</v>
      </c>
      <c r="AY693" t="s">
        <v>74</v>
      </c>
      <c r="AZ693" t="s">
        <v>74</v>
      </c>
      <c r="BA693" t="s">
        <v>74</v>
      </c>
      <c r="BB693">
        <v>6352</v>
      </c>
      <c r="BC693">
        <v>6363</v>
      </c>
      <c r="BD693" t="s">
        <v>74</v>
      </c>
      <c r="BE693" t="s">
        <v>13366</v>
      </c>
      <c r="BF693" t="str">
        <f>HYPERLINK("http://dx.doi.org/10.1002/jgra.50604","http://dx.doi.org/10.1002/jgra.50604")</f>
        <v>http://dx.doi.org/10.1002/jgra.50604</v>
      </c>
      <c r="BG693" t="s">
        <v>74</v>
      </c>
      <c r="BH693" t="s">
        <v>74</v>
      </c>
      <c r="BI693">
        <v>12</v>
      </c>
      <c r="BJ693" t="s">
        <v>1705</v>
      </c>
      <c r="BK693" t="s">
        <v>99</v>
      </c>
      <c r="BL693" t="s">
        <v>1705</v>
      </c>
      <c r="BM693" t="s">
        <v>11654</v>
      </c>
      <c r="BN693" t="s">
        <v>74</v>
      </c>
      <c r="BO693" t="s">
        <v>831</v>
      </c>
      <c r="BP693" t="s">
        <v>74</v>
      </c>
      <c r="BQ693" t="s">
        <v>74</v>
      </c>
      <c r="BR693" t="s">
        <v>103</v>
      </c>
      <c r="BS693" t="s">
        <v>13367</v>
      </c>
      <c r="BT693" t="str">
        <f>HYPERLINK("https%3A%2F%2Fwww.webofscience.com%2Fwos%2Fwoscc%2Ffull-record%2FWOS:000330180600033","View Full Record in Web of Science")</f>
        <v>View Full Record in Web of Science</v>
      </c>
    </row>
    <row r="694" spans="1:72" x14ac:dyDescent="0.15">
      <c r="A694" t="s">
        <v>72</v>
      </c>
      <c r="B694" t="s">
        <v>13368</v>
      </c>
      <c r="C694" t="s">
        <v>74</v>
      </c>
      <c r="D694" t="s">
        <v>74</v>
      </c>
      <c r="E694" t="s">
        <v>74</v>
      </c>
      <c r="F694" t="s">
        <v>13369</v>
      </c>
      <c r="G694" t="s">
        <v>74</v>
      </c>
      <c r="H694" t="s">
        <v>74</v>
      </c>
      <c r="I694" t="s">
        <v>13370</v>
      </c>
      <c r="J694" t="s">
        <v>1688</v>
      </c>
      <c r="K694" t="s">
        <v>74</v>
      </c>
      <c r="L694" t="s">
        <v>74</v>
      </c>
      <c r="M694" t="s">
        <v>78</v>
      </c>
      <c r="N694" t="s">
        <v>79</v>
      </c>
      <c r="O694" t="s">
        <v>74</v>
      </c>
      <c r="P694" t="s">
        <v>74</v>
      </c>
      <c r="Q694" t="s">
        <v>74</v>
      </c>
      <c r="R694" t="s">
        <v>74</v>
      </c>
      <c r="S694" t="s">
        <v>74</v>
      </c>
      <c r="T694" t="s">
        <v>13371</v>
      </c>
      <c r="U694" t="s">
        <v>13372</v>
      </c>
      <c r="V694" t="s">
        <v>13373</v>
      </c>
      <c r="W694" t="s">
        <v>13374</v>
      </c>
      <c r="X694" t="s">
        <v>13375</v>
      </c>
      <c r="Y694" t="s">
        <v>13376</v>
      </c>
      <c r="Z694" t="s">
        <v>13377</v>
      </c>
      <c r="AA694" t="s">
        <v>13378</v>
      </c>
      <c r="AB694" t="s">
        <v>13379</v>
      </c>
      <c r="AC694" t="s">
        <v>13380</v>
      </c>
      <c r="AD694" t="s">
        <v>13381</v>
      </c>
      <c r="AE694" t="s">
        <v>13382</v>
      </c>
      <c r="AF694" t="s">
        <v>74</v>
      </c>
      <c r="AG694">
        <v>18</v>
      </c>
      <c r="AH694">
        <v>5</v>
      </c>
      <c r="AI694">
        <v>5</v>
      </c>
      <c r="AJ694">
        <v>0</v>
      </c>
      <c r="AK694">
        <v>12</v>
      </c>
      <c r="AL694" t="s">
        <v>1606</v>
      </c>
      <c r="AM694" t="s">
        <v>808</v>
      </c>
      <c r="AN694" t="s">
        <v>1607</v>
      </c>
      <c r="AO694" t="s">
        <v>1700</v>
      </c>
      <c r="AP694" t="s">
        <v>1701</v>
      </c>
      <c r="AQ694" t="s">
        <v>74</v>
      </c>
      <c r="AR694" t="s">
        <v>1702</v>
      </c>
      <c r="AS694" t="s">
        <v>1703</v>
      </c>
      <c r="AT694" t="s">
        <v>11635</v>
      </c>
      <c r="AU694">
        <v>2013</v>
      </c>
      <c r="AV694">
        <v>118</v>
      </c>
      <c r="AW694">
        <v>10</v>
      </c>
      <c r="AX694" t="s">
        <v>74</v>
      </c>
      <c r="AY694" t="s">
        <v>74</v>
      </c>
      <c r="AZ694" t="s">
        <v>74</v>
      </c>
      <c r="BA694" t="s">
        <v>74</v>
      </c>
      <c r="BB694">
        <v>6608</v>
      </c>
      <c r="BC694">
        <v>6617</v>
      </c>
      <c r="BD694" t="s">
        <v>74</v>
      </c>
      <c r="BE694" t="s">
        <v>13383</v>
      </c>
      <c r="BF694" t="str">
        <f>HYPERLINK("http://dx.doi.org/10.1002/jgra.50566","http://dx.doi.org/10.1002/jgra.50566")</f>
        <v>http://dx.doi.org/10.1002/jgra.50566</v>
      </c>
      <c r="BG694" t="s">
        <v>74</v>
      </c>
      <c r="BH694" t="s">
        <v>74</v>
      </c>
      <c r="BI694">
        <v>10</v>
      </c>
      <c r="BJ694" t="s">
        <v>1705</v>
      </c>
      <c r="BK694" t="s">
        <v>99</v>
      </c>
      <c r="BL694" t="s">
        <v>1705</v>
      </c>
      <c r="BM694" t="s">
        <v>11654</v>
      </c>
      <c r="BN694" t="s">
        <v>74</v>
      </c>
      <c r="BO694" t="s">
        <v>13384</v>
      </c>
      <c r="BP694" t="s">
        <v>74</v>
      </c>
      <c r="BQ694" t="s">
        <v>74</v>
      </c>
      <c r="BR694" t="s">
        <v>103</v>
      </c>
      <c r="BS694" t="s">
        <v>13385</v>
      </c>
      <c r="BT694" t="str">
        <f>HYPERLINK("https%3A%2F%2Fwww.webofscience.com%2Fwos%2Fwoscc%2Ffull-record%2FWOS:000330180600055","View Full Record in Web of Science")</f>
        <v>View Full Record in Web of Science</v>
      </c>
    </row>
    <row r="695" spans="1:72" x14ac:dyDescent="0.15">
      <c r="A695" t="s">
        <v>72</v>
      </c>
      <c r="B695" t="s">
        <v>13386</v>
      </c>
      <c r="C695" t="s">
        <v>74</v>
      </c>
      <c r="D695" t="s">
        <v>74</v>
      </c>
      <c r="E695" t="s">
        <v>74</v>
      </c>
      <c r="F695" t="s">
        <v>13387</v>
      </c>
      <c r="G695" t="s">
        <v>74</v>
      </c>
      <c r="H695" t="s">
        <v>74</v>
      </c>
      <c r="I695" t="s">
        <v>13388</v>
      </c>
      <c r="J695" t="s">
        <v>1688</v>
      </c>
      <c r="K695" t="s">
        <v>74</v>
      </c>
      <c r="L695" t="s">
        <v>74</v>
      </c>
      <c r="M695" t="s">
        <v>78</v>
      </c>
      <c r="N695" t="s">
        <v>79</v>
      </c>
      <c r="O695" t="s">
        <v>74</v>
      </c>
      <c r="P695" t="s">
        <v>74</v>
      </c>
      <c r="Q695" t="s">
        <v>74</v>
      </c>
      <c r="R695" t="s">
        <v>74</v>
      </c>
      <c r="S695" t="s">
        <v>74</v>
      </c>
      <c r="T695" t="s">
        <v>13389</v>
      </c>
      <c r="U695" t="s">
        <v>13390</v>
      </c>
      <c r="V695" t="s">
        <v>13391</v>
      </c>
      <c r="W695" t="s">
        <v>13392</v>
      </c>
      <c r="X695" t="s">
        <v>13393</v>
      </c>
      <c r="Y695" t="s">
        <v>13394</v>
      </c>
      <c r="Z695" t="s">
        <v>13395</v>
      </c>
      <c r="AA695" t="s">
        <v>13396</v>
      </c>
      <c r="AB695" t="s">
        <v>13397</v>
      </c>
      <c r="AC695" t="s">
        <v>13398</v>
      </c>
      <c r="AD695" t="s">
        <v>13399</v>
      </c>
      <c r="AE695" t="s">
        <v>13400</v>
      </c>
      <c r="AF695" t="s">
        <v>74</v>
      </c>
      <c r="AG695">
        <v>29</v>
      </c>
      <c r="AH695">
        <v>6</v>
      </c>
      <c r="AI695">
        <v>6</v>
      </c>
      <c r="AJ695">
        <v>1</v>
      </c>
      <c r="AK695">
        <v>8</v>
      </c>
      <c r="AL695" t="s">
        <v>1606</v>
      </c>
      <c r="AM695" t="s">
        <v>808</v>
      </c>
      <c r="AN695" t="s">
        <v>1607</v>
      </c>
      <c r="AO695" t="s">
        <v>1700</v>
      </c>
      <c r="AP695" t="s">
        <v>1701</v>
      </c>
      <c r="AQ695" t="s">
        <v>74</v>
      </c>
      <c r="AR695" t="s">
        <v>1702</v>
      </c>
      <c r="AS695" t="s">
        <v>1703</v>
      </c>
      <c r="AT695" t="s">
        <v>11635</v>
      </c>
      <c r="AU695">
        <v>2013</v>
      </c>
      <c r="AV695">
        <v>118</v>
      </c>
      <c r="AW695">
        <v>10</v>
      </c>
      <c r="AX695" t="s">
        <v>74</v>
      </c>
      <c r="AY695" t="s">
        <v>74</v>
      </c>
      <c r="AZ695" t="s">
        <v>74</v>
      </c>
      <c r="BA695" t="s">
        <v>74</v>
      </c>
      <c r="BB695">
        <v>6686</v>
      </c>
      <c r="BC695">
        <v>6693</v>
      </c>
      <c r="BD695" t="s">
        <v>74</v>
      </c>
      <c r="BE695" t="s">
        <v>13401</v>
      </c>
      <c r="BF695" t="str">
        <f>HYPERLINK("http://dx.doi.org/10.1002/jgra.50559","http://dx.doi.org/10.1002/jgra.50559")</f>
        <v>http://dx.doi.org/10.1002/jgra.50559</v>
      </c>
      <c r="BG695" t="s">
        <v>74</v>
      </c>
      <c r="BH695" t="s">
        <v>74</v>
      </c>
      <c r="BI695">
        <v>8</v>
      </c>
      <c r="BJ695" t="s">
        <v>1705</v>
      </c>
      <c r="BK695" t="s">
        <v>99</v>
      </c>
      <c r="BL695" t="s">
        <v>1705</v>
      </c>
      <c r="BM695" t="s">
        <v>11654</v>
      </c>
      <c r="BN695" t="s">
        <v>74</v>
      </c>
      <c r="BO695" t="s">
        <v>13384</v>
      </c>
      <c r="BP695" t="s">
        <v>74</v>
      </c>
      <c r="BQ695" t="s">
        <v>74</v>
      </c>
      <c r="BR695" t="s">
        <v>103</v>
      </c>
      <c r="BS695" t="s">
        <v>13402</v>
      </c>
      <c r="BT695" t="str">
        <f>HYPERLINK("https%3A%2F%2Fwww.webofscience.com%2Fwos%2Fwoscc%2Ffull-record%2FWOS:000330180600061","View Full Record in Web of Science")</f>
        <v>View Full Record in Web of Science</v>
      </c>
    </row>
    <row r="696" spans="1:72" x14ac:dyDescent="0.15">
      <c r="A696" t="s">
        <v>72</v>
      </c>
      <c r="B696" t="s">
        <v>13403</v>
      </c>
      <c r="C696" t="s">
        <v>74</v>
      </c>
      <c r="D696" t="s">
        <v>74</v>
      </c>
      <c r="E696" t="s">
        <v>74</v>
      </c>
      <c r="F696" t="s">
        <v>13404</v>
      </c>
      <c r="G696" t="s">
        <v>74</v>
      </c>
      <c r="H696" t="s">
        <v>74</v>
      </c>
      <c r="I696" t="s">
        <v>13405</v>
      </c>
      <c r="J696" t="s">
        <v>1688</v>
      </c>
      <c r="K696" t="s">
        <v>74</v>
      </c>
      <c r="L696" t="s">
        <v>74</v>
      </c>
      <c r="M696" t="s">
        <v>78</v>
      </c>
      <c r="N696" t="s">
        <v>79</v>
      </c>
      <c r="O696" t="s">
        <v>74</v>
      </c>
      <c r="P696" t="s">
        <v>74</v>
      </c>
      <c r="Q696" t="s">
        <v>74</v>
      </c>
      <c r="R696" t="s">
        <v>74</v>
      </c>
      <c r="S696" t="s">
        <v>74</v>
      </c>
      <c r="T696" t="s">
        <v>13406</v>
      </c>
      <c r="U696" t="s">
        <v>13407</v>
      </c>
      <c r="V696" t="s">
        <v>13408</v>
      </c>
      <c r="W696" t="s">
        <v>13409</v>
      </c>
      <c r="X696" t="s">
        <v>13410</v>
      </c>
      <c r="Y696" t="s">
        <v>13411</v>
      </c>
      <c r="Z696" t="s">
        <v>7108</v>
      </c>
      <c r="AA696" t="s">
        <v>13412</v>
      </c>
      <c r="AB696" t="s">
        <v>13413</v>
      </c>
      <c r="AC696" t="s">
        <v>13414</v>
      </c>
      <c r="AD696" t="s">
        <v>13415</v>
      </c>
      <c r="AE696" t="s">
        <v>13416</v>
      </c>
      <c r="AF696" t="s">
        <v>74</v>
      </c>
      <c r="AG696">
        <v>40</v>
      </c>
      <c r="AH696">
        <v>28</v>
      </c>
      <c r="AI696">
        <v>28</v>
      </c>
      <c r="AJ696">
        <v>0</v>
      </c>
      <c r="AK696">
        <v>6</v>
      </c>
      <c r="AL696" t="s">
        <v>1606</v>
      </c>
      <c r="AM696" t="s">
        <v>808</v>
      </c>
      <c r="AN696" t="s">
        <v>1607</v>
      </c>
      <c r="AO696" t="s">
        <v>1700</v>
      </c>
      <c r="AP696" t="s">
        <v>1701</v>
      </c>
      <c r="AQ696" t="s">
        <v>74</v>
      </c>
      <c r="AR696" t="s">
        <v>1702</v>
      </c>
      <c r="AS696" t="s">
        <v>1703</v>
      </c>
      <c r="AT696" t="s">
        <v>11635</v>
      </c>
      <c r="AU696">
        <v>2013</v>
      </c>
      <c r="AV696">
        <v>118</v>
      </c>
      <c r="AW696">
        <v>10</v>
      </c>
      <c r="AX696" t="s">
        <v>74</v>
      </c>
      <c r="AY696" t="s">
        <v>74</v>
      </c>
      <c r="AZ696" t="s">
        <v>74</v>
      </c>
      <c r="BA696" t="s">
        <v>74</v>
      </c>
      <c r="BB696">
        <v>6694</v>
      </c>
      <c r="BC696">
        <v>6705</v>
      </c>
      <c r="BD696" t="s">
        <v>74</v>
      </c>
      <c r="BE696" t="s">
        <v>13417</v>
      </c>
      <c r="BF696" t="str">
        <f>HYPERLINK("http://dx.doi.org/10.1002/jgra.50598","http://dx.doi.org/10.1002/jgra.50598")</f>
        <v>http://dx.doi.org/10.1002/jgra.50598</v>
      </c>
      <c r="BG696" t="s">
        <v>74</v>
      </c>
      <c r="BH696" t="s">
        <v>74</v>
      </c>
      <c r="BI696">
        <v>12</v>
      </c>
      <c r="BJ696" t="s">
        <v>1705</v>
      </c>
      <c r="BK696" t="s">
        <v>99</v>
      </c>
      <c r="BL696" t="s">
        <v>1705</v>
      </c>
      <c r="BM696" t="s">
        <v>11654</v>
      </c>
      <c r="BN696" t="s">
        <v>74</v>
      </c>
      <c r="BO696" t="s">
        <v>1630</v>
      </c>
      <c r="BP696" t="s">
        <v>74</v>
      </c>
      <c r="BQ696" t="s">
        <v>74</v>
      </c>
      <c r="BR696" t="s">
        <v>103</v>
      </c>
      <c r="BS696" t="s">
        <v>13418</v>
      </c>
      <c r="BT696" t="str">
        <f>HYPERLINK("https%3A%2F%2Fwww.webofscience.com%2Fwos%2Fwoscc%2Ffull-record%2FWOS:000330180600062","View Full Record in Web of Science")</f>
        <v>View Full Record in Web of Science</v>
      </c>
    </row>
    <row r="697" spans="1:72" x14ac:dyDescent="0.15">
      <c r="A697" t="s">
        <v>72</v>
      </c>
      <c r="B697" t="s">
        <v>13419</v>
      </c>
      <c r="C697" t="s">
        <v>74</v>
      </c>
      <c r="D697" t="s">
        <v>74</v>
      </c>
      <c r="E697" t="s">
        <v>74</v>
      </c>
      <c r="F697" t="s">
        <v>13420</v>
      </c>
      <c r="G697" t="s">
        <v>74</v>
      </c>
      <c r="H697" t="s">
        <v>74</v>
      </c>
      <c r="I697" t="s">
        <v>13421</v>
      </c>
      <c r="J697" t="s">
        <v>13422</v>
      </c>
      <c r="K697" t="s">
        <v>74</v>
      </c>
      <c r="L697" t="s">
        <v>74</v>
      </c>
      <c r="M697" t="s">
        <v>78</v>
      </c>
      <c r="N697" t="s">
        <v>79</v>
      </c>
      <c r="O697" t="s">
        <v>74</v>
      </c>
      <c r="P697" t="s">
        <v>74</v>
      </c>
      <c r="Q697" t="s">
        <v>74</v>
      </c>
      <c r="R697" t="s">
        <v>74</v>
      </c>
      <c r="S697" t="s">
        <v>74</v>
      </c>
      <c r="T697" t="s">
        <v>13423</v>
      </c>
      <c r="U697" t="s">
        <v>13424</v>
      </c>
      <c r="V697" t="s">
        <v>13425</v>
      </c>
      <c r="W697" t="s">
        <v>13426</v>
      </c>
      <c r="X697" t="s">
        <v>3249</v>
      </c>
      <c r="Y697" t="s">
        <v>3250</v>
      </c>
      <c r="Z697" t="s">
        <v>13427</v>
      </c>
      <c r="AA697" t="s">
        <v>3252</v>
      </c>
      <c r="AB697" t="s">
        <v>3253</v>
      </c>
      <c r="AC697" t="s">
        <v>13428</v>
      </c>
      <c r="AD697" t="s">
        <v>13429</v>
      </c>
      <c r="AE697" t="s">
        <v>13430</v>
      </c>
      <c r="AF697" t="s">
        <v>74</v>
      </c>
      <c r="AG697">
        <v>71</v>
      </c>
      <c r="AH697">
        <v>33</v>
      </c>
      <c r="AI697">
        <v>34</v>
      </c>
      <c r="AJ697">
        <v>1</v>
      </c>
      <c r="AK697">
        <v>60</v>
      </c>
      <c r="AL697" t="s">
        <v>872</v>
      </c>
      <c r="AM697" t="s">
        <v>252</v>
      </c>
      <c r="AN697" t="s">
        <v>873</v>
      </c>
      <c r="AO697" t="s">
        <v>13431</v>
      </c>
      <c r="AP697" t="s">
        <v>13432</v>
      </c>
      <c r="AQ697" t="s">
        <v>74</v>
      </c>
      <c r="AR697" t="s">
        <v>13433</v>
      </c>
      <c r="AS697" t="s">
        <v>13434</v>
      </c>
      <c r="AT697" t="s">
        <v>11635</v>
      </c>
      <c r="AU697">
        <v>2013</v>
      </c>
      <c r="AV697">
        <v>59</v>
      </c>
      <c r="AW697">
        <v>10</v>
      </c>
      <c r="AX697" t="s">
        <v>74</v>
      </c>
      <c r="AY697" t="s">
        <v>74</v>
      </c>
      <c r="AZ697" t="s">
        <v>74</v>
      </c>
      <c r="BA697" t="s">
        <v>74</v>
      </c>
      <c r="BB697">
        <v>1057</v>
      </c>
      <c r="BC697">
        <v>1064</v>
      </c>
      <c r="BD697" t="s">
        <v>74</v>
      </c>
      <c r="BE697" t="s">
        <v>13435</v>
      </c>
      <c r="BF697" t="str">
        <f>HYPERLINK("http://dx.doi.org/10.1016/j.jinsphys.2013.08.003","http://dx.doi.org/10.1016/j.jinsphys.2013.08.003")</f>
        <v>http://dx.doi.org/10.1016/j.jinsphys.2013.08.003</v>
      </c>
      <c r="BG697" t="s">
        <v>74</v>
      </c>
      <c r="BH697" t="s">
        <v>74</v>
      </c>
      <c r="BI697">
        <v>8</v>
      </c>
      <c r="BJ697" t="s">
        <v>13436</v>
      </c>
      <c r="BK697" t="s">
        <v>99</v>
      </c>
      <c r="BL697" t="s">
        <v>13436</v>
      </c>
      <c r="BM697" t="s">
        <v>13437</v>
      </c>
      <c r="BN697">
        <v>23973412</v>
      </c>
      <c r="BO697" t="s">
        <v>4262</v>
      </c>
      <c r="BP697" t="s">
        <v>74</v>
      </c>
      <c r="BQ697" t="s">
        <v>74</v>
      </c>
      <c r="BR697" t="s">
        <v>103</v>
      </c>
      <c r="BS697" t="s">
        <v>13438</v>
      </c>
      <c r="BT697" t="str">
        <f>HYPERLINK("https%3A%2F%2Fwww.webofscience.com%2Fwos%2Fwoscc%2Ffull-record%2FWOS:000325911800010","View Full Record in Web of Science")</f>
        <v>View Full Record in Web of Science</v>
      </c>
    </row>
    <row r="698" spans="1:72" x14ac:dyDescent="0.15">
      <c r="A698" t="s">
        <v>72</v>
      </c>
      <c r="B698" t="s">
        <v>13439</v>
      </c>
      <c r="C698" t="s">
        <v>74</v>
      </c>
      <c r="D698" t="s">
        <v>74</v>
      </c>
      <c r="E698" t="s">
        <v>74</v>
      </c>
      <c r="F698" t="s">
        <v>13440</v>
      </c>
      <c r="G698" t="s">
        <v>74</v>
      </c>
      <c r="H698" t="s">
        <v>74</v>
      </c>
      <c r="I698" t="s">
        <v>13441</v>
      </c>
      <c r="J698" t="s">
        <v>12301</v>
      </c>
      <c r="K698" t="s">
        <v>74</v>
      </c>
      <c r="L698" t="s">
        <v>74</v>
      </c>
      <c r="M698" t="s">
        <v>78</v>
      </c>
      <c r="N698" t="s">
        <v>79</v>
      </c>
      <c r="O698" t="s">
        <v>74</v>
      </c>
      <c r="P698" t="s">
        <v>74</v>
      </c>
      <c r="Q698" t="s">
        <v>74</v>
      </c>
      <c r="R698" t="s">
        <v>74</v>
      </c>
      <c r="S698" t="s">
        <v>74</v>
      </c>
      <c r="T698" t="s">
        <v>13442</v>
      </c>
      <c r="U698" t="s">
        <v>13443</v>
      </c>
      <c r="V698" t="s">
        <v>13444</v>
      </c>
      <c r="W698" t="s">
        <v>13445</v>
      </c>
      <c r="X698" t="s">
        <v>13446</v>
      </c>
      <c r="Y698" t="s">
        <v>13447</v>
      </c>
      <c r="Z698" t="s">
        <v>13448</v>
      </c>
      <c r="AA698" t="s">
        <v>13449</v>
      </c>
      <c r="AB698" t="s">
        <v>13450</v>
      </c>
      <c r="AC698" t="s">
        <v>13451</v>
      </c>
      <c r="AD698" t="s">
        <v>4601</v>
      </c>
      <c r="AE698" t="s">
        <v>13452</v>
      </c>
      <c r="AF698" t="s">
        <v>74</v>
      </c>
      <c r="AG698">
        <v>37</v>
      </c>
      <c r="AH698">
        <v>34</v>
      </c>
      <c r="AI698">
        <v>36</v>
      </c>
      <c r="AJ698">
        <v>1</v>
      </c>
      <c r="AK698">
        <v>34</v>
      </c>
      <c r="AL698" t="s">
        <v>276</v>
      </c>
      <c r="AM698" t="s">
        <v>277</v>
      </c>
      <c r="AN698" t="s">
        <v>2752</v>
      </c>
      <c r="AO698" t="s">
        <v>12310</v>
      </c>
      <c r="AP698" t="s">
        <v>74</v>
      </c>
      <c r="AQ698" t="s">
        <v>74</v>
      </c>
      <c r="AR698" t="s">
        <v>12311</v>
      </c>
      <c r="AS698" t="s">
        <v>12312</v>
      </c>
      <c r="AT698" t="s">
        <v>12056</v>
      </c>
      <c r="AU698">
        <v>2013</v>
      </c>
      <c r="AV698">
        <v>9</v>
      </c>
      <c r="AW698">
        <v>4</v>
      </c>
      <c r="AX698" t="s">
        <v>74</v>
      </c>
      <c r="AY698" t="s">
        <v>74</v>
      </c>
      <c r="AZ698" t="s">
        <v>74</v>
      </c>
      <c r="BA698" t="s">
        <v>74</v>
      </c>
      <c r="BB698">
        <v>558</v>
      </c>
      <c r="BC698">
        <v>572</v>
      </c>
      <c r="BD698" t="s">
        <v>74</v>
      </c>
      <c r="BE698" t="s">
        <v>13453</v>
      </c>
      <c r="BF698" t="str">
        <f>HYPERLINK("http://dx.doi.org/10.1080/17445647.2013.829411","http://dx.doi.org/10.1080/17445647.2013.829411")</f>
        <v>http://dx.doi.org/10.1080/17445647.2013.829411</v>
      </c>
      <c r="BG698" t="s">
        <v>74</v>
      </c>
      <c r="BH698" t="s">
        <v>74</v>
      </c>
      <c r="BI698">
        <v>15</v>
      </c>
      <c r="BJ698" t="s">
        <v>12314</v>
      </c>
      <c r="BK698" t="s">
        <v>3932</v>
      </c>
      <c r="BL698" t="s">
        <v>12315</v>
      </c>
      <c r="BM698" t="s">
        <v>12316</v>
      </c>
      <c r="BN698" t="s">
        <v>74</v>
      </c>
      <c r="BO698" t="s">
        <v>315</v>
      </c>
      <c r="BP698" t="s">
        <v>74</v>
      </c>
      <c r="BQ698" t="s">
        <v>74</v>
      </c>
      <c r="BR698" t="s">
        <v>103</v>
      </c>
      <c r="BS698" t="s">
        <v>13454</v>
      </c>
      <c r="BT698" t="str">
        <f>HYPERLINK("https%3A%2F%2Fwww.webofscience.com%2Fwos%2Fwoscc%2Ffull-record%2FWOS:000325090600011","View Full Record in Web of Science")</f>
        <v>View Full Record in Web of Science</v>
      </c>
    </row>
    <row r="699" spans="1:72" x14ac:dyDescent="0.15">
      <c r="A699" t="s">
        <v>72</v>
      </c>
      <c r="B699" t="s">
        <v>13455</v>
      </c>
      <c r="C699" t="s">
        <v>74</v>
      </c>
      <c r="D699" t="s">
        <v>74</v>
      </c>
      <c r="E699" t="s">
        <v>74</v>
      </c>
      <c r="F699" t="s">
        <v>13456</v>
      </c>
      <c r="G699" t="s">
        <v>74</v>
      </c>
      <c r="H699" t="s">
        <v>74</v>
      </c>
      <c r="I699" t="s">
        <v>13457</v>
      </c>
      <c r="J699" t="s">
        <v>5610</v>
      </c>
      <c r="K699" t="s">
        <v>74</v>
      </c>
      <c r="L699" t="s">
        <v>74</v>
      </c>
      <c r="M699" t="s">
        <v>78</v>
      </c>
      <c r="N699" t="s">
        <v>7910</v>
      </c>
      <c r="O699" t="s">
        <v>13458</v>
      </c>
      <c r="P699" t="s">
        <v>13459</v>
      </c>
      <c r="Q699" t="s">
        <v>13460</v>
      </c>
      <c r="R699" t="s">
        <v>74</v>
      </c>
      <c r="S699" t="s">
        <v>74</v>
      </c>
      <c r="T699" t="s">
        <v>13461</v>
      </c>
      <c r="U699" t="s">
        <v>13462</v>
      </c>
      <c r="V699" t="s">
        <v>13463</v>
      </c>
      <c r="W699" t="s">
        <v>13464</v>
      </c>
      <c r="X699" t="s">
        <v>13465</v>
      </c>
      <c r="Y699" t="s">
        <v>13466</v>
      </c>
      <c r="Z699" t="s">
        <v>13467</v>
      </c>
      <c r="AA699" t="s">
        <v>13468</v>
      </c>
      <c r="AB699" t="s">
        <v>13469</v>
      </c>
      <c r="AC699" t="s">
        <v>74</v>
      </c>
      <c r="AD699" t="s">
        <v>74</v>
      </c>
      <c r="AE699" t="s">
        <v>74</v>
      </c>
      <c r="AF699" t="s">
        <v>74</v>
      </c>
      <c r="AG699">
        <v>85</v>
      </c>
      <c r="AH699">
        <v>11</v>
      </c>
      <c r="AI699">
        <v>13</v>
      </c>
      <c r="AJ699">
        <v>0</v>
      </c>
      <c r="AK699">
        <v>22</v>
      </c>
      <c r="AL699" t="s">
        <v>304</v>
      </c>
      <c r="AM699" t="s">
        <v>305</v>
      </c>
      <c r="AN699" t="s">
        <v>306</v>
      </c>
      <c r="AO699" t="s">
        <v>5623</v>
      </c>
      <c r="AP699" t="s">
        <v>5624</v>
      </c>
      <c r="AQ699" t="s">
        <v>74</v>
      </c>
      <c r="AR699" t="s">
        <v>5625</v>
      </c>
      <c r="AS699" t="s">
        <v>5626</v>
      </c>
      <c r="AT699" t="s">
        <v>11635</v>
      </c>
      <c r="AU699">
        <v>2013</v>
      </c>
      <c r="AV699">
        <v>126</v>
      </c>
      <c r="AW699" t="s">
        <v>74</v>
      </c>
      <c r="AX699" t="s">
        <v>74</v>
      </c>
      <c r="AY699" t="s">
        <v>74</v>
      </c>
      <c r="AZ699" t="s">
        <v>283</v>
      </c>
      <c r="BA699" t="s">
        <v>74</v>
      </c>
      <c r="BB699">
        <v>43</v>
      </c>
      <c r="BC699">
        <v>55</v>
      </c>
      <c r="BD699" t="s">
        <v>74</v>
      </c>
      <c r="BE699" t="s">
        <v>13470</v>
      </c>
      <c r="BF699" t="str">
        <f>HYPERLINK("http://dx.doi.org/10.1016/j.jmarsys.2012.10.012","http://dx.doi.org/10.1016/j.jmarsys.2012.10.012")</f>
        <v>http://dx.doi.org/10.1016/j.jmarsys.2012.10.012</v>
      </c>
      <c r="BG699" t="s">
        <v>74</v>
      </c>
      <c r="BH699" t="s">
        <v>74</v>
      </c>
      <c r="BI699">
        <v>13</v>
      </c>
      <c r="BJ699" t="s">
        <v>5628</v>
      </c>
      <c r="BK699" t="s">
        <v>11482</v>
      </c>
      <c r="BL699" t="s">
        <v>5629</v>
      </c>
      <c r="BM699" t="s">
        <v>13471</v>
      </c>
      <c r="BN699" t="s">
        <v>74</v>
      </c>
      <c r="BO699" t="s">
        <v>74</v>
      </c>
      <c r="BP699" t="s">
        <v>74</v>
      </c>
      <c r="BQ699" t="s">
        <v>74</v>
      </c>
      <c r="BR699" t="s">
        <v>103</v>
      </c>
      <c r="BS699" t="s">
        <v>13472</v>
      </c>
      <c r="BT699" t="str">
        <f>HYPERLINK("https%3A%2F%2Fwww.webofscience.com%2Fwos%2Fwoscc%2Ffull-record%2FWOS:000324785000005","View Full Record in Web of Science")</f>
        <v>View Full Record in Web of Science</v>
      </c>
    </row>
    <row r="700" spans="1:72" x14ac:dyDescent="0.15">
      <c r="A700" t="s">
        <v>72</v>
      </c>
      <c r="B700" t="s">
        <v>13473</v>
      </c>
      <c r="C700" t="s">
        <v>74</v>
      </c>
      <c r="D700" t="s">
        <v>74</v>
      </c>
      <c r="E700" t="s">
        <v>74</v>
      </c>
      <c r="F700" t="s">
        <v>13474</v>
      </c>
      <c r="G700" t="s">
        <v>74</v>
      </c>
      <c r="H700" t="s">
        <v>74</v>
      </c>
      <c r="I700" t="s">
        <v>13475</v>
      </c>
      <c r="J700" t="s">
        <v>2067</v>
      </c>
      <c r="K700" t="s">
        <v>74</v>
      </c>
      <c r="L700" t="s">
        <v>74</v>
      </c>
      <c r="M700" t="s">
        <v>78</v>
      </c>
      <c r="N700" t="s">
        <v>79</v>
      </c>
      <c r="O700" t="s">
        <v>74</v>
      </c>
      <c r="P700" t="s">
        <v>74</v>
      </c>
      <c r="Q700" t="s">
        <v>74</v>
      </c>
      <c r="R700" t="s">
        <v>74</v>
      </c>
      <c r="S700" t="s">
        <v>74</v>
      </c>
      <c r="T700" t="s">
        <v>13476</v>
      </c>
      <c r="U700" t="s">
        <v>13477</v>
      </c>
      <c r="V700" t="s">
        <v>13478</v>
      </c>
      <c r="W700" t="s">
        <v>13479</v>
      </c>
      <c r="X700" t="s">
        <v>13480</v>
      </c>
      <c r="Y700" t="s">
        <v>13481</v>
      </c>
      <c r="Z700" t="s">
        <v>7193</v>
      </c>
      <c r="AA700" t="s">
        <v>13482</v>
      </c>
      <c r="AB700" t="s">
        <v>13483</v>
      </c>
      <c r="AC700" t="s">
        <v>13484</v>
      </c>
      <c r="AD700" t="s">
        <v>13485</v>
      </c>
      <c r="AE700" t="s">
        <v>13486</v>
      </c>
      <c r="AF700" t="s">
        <v>74</v>
      </c>
      <c r="AG700">
        <v>36</v>
      </c>
      <c r="AH700">
        <v>24</v>
      </c>
      <c r="AI700">
        <v>25</v>
      </c>
      <c r="AJ700">
        <v>0</v>
      </c>
      <c r="AK700">
        <v>24</v>
      </c>
      <c r="AL700" t="s">
        <v>1495</v>
      </c>
      <c r="AM700" t="s">
        <v>1496</v>
      </c>
      <c r="AN700" t="s">
        <v>1497</v>
      </c>
      <c r="AO700" t="s">
        <v>2080</v>
      </c>
      <c r="AP700" t="s">
        <v>2081</v>
      </c>
      <c r="AQ700" t="s">
        <v>74</v>
      </c>
      <c r="AR700" t="s">
        <v>2082</v>
      </c>
      <c r="AS700" t="s">
        <v>2083</v>
      </c>
      <c r="AT700" t="s">
        <v>11635</v>
      </c>
      <c r="AU700">
        <v>2013</v>
      </c>
      <c r="AV700">
        <v>43</v>
      </c>
      <c r="AW700">
        <v>10</v>
      </c>
      <c r="AX700" t="s">
        <v>74</v>
      </c>
      <c r="AY700" t="s">
        <v>74</v>
      </c>
      <c r="AZ700" t="s">
        <v>74</v>
      </c>
      <c r="BA700" t="s">
        <v>74</v>
      </c>
      <c r="BB700">
        <v>2095</v>
      </c>
      <c r="BC700">
        <v>2112</v>
      </c>
      <c r="BD700" t="s">
        <v>74</v>
      </c>
      <c r="BE700" t="s">
        <v>13487</v>
      </c>
      <c r="BF700" t="str">
        <f>HYPERLINK("http://dx.doi.org/10.1175/JPO-D-12-0179.1","http://dx.doi.org/10.1175/JPO-D-12-0179.1")</f>
        <v>http://dx.doi.org/10.1175/JPO-D-12-0179.1</v>
      </c>
      <c r="BG700" t="s">
        <v>74</v>
      </c>
      <c r="BH700" t="s">
        <v>74</v>
      </c>
      <c r="BI700">
        <v>18</v>
      </c>
      <c r="BJ700" t="s">
        <v>1613</v>
      </c>
      <c r="BK700" t="s">
        <v>99</v>
      </c>
      <c r="BL700" t="s">
        <v>1613</v>
      </c>
      <c r="BM700" t="s">
        <v>12334</v>
      </c>
      <c r="BN700" t="s">
        <v>74</v>
      </c>
      <c r="BO700" t="s">
        <v>1733</v>
      </c>
      <c r="BP700" t="s">
        <v>74</v>
      </c>
      <c r="BQ700" t="s">
        <v>74</v>
      </c>
      <c r="BR700" t="s">
        <v>103</v>
      </c>
      <c r="BS700" t="s">
        <v>13488</v>
      </c>
      <c r="BT700" t="str">
        <f>HYPERLINK("https%3A%2F%2Fwww.webofscience.com%2Fwos%2Fwoscc%2Ffull-record%2FWOS:000325534400004","View Full Record in Web of Science")</f>
        <v>View Full Record in Web of Science</v>
      </c>
    </row>
    <row r="701" spans="1:72" x14ac:dyDescent="0.15">
      <c r="A701" t="s">
        <v>72</v>
      </c>
      <c r="B701" t="s">
        <v>13489</v>
      </c>
      <c r="C701" t="s">
        <v>74</v>
      </c>
      <c r="D701" t="s">
        <v>74</v>
      </c>
      <c r="E701" t="s">
        <v>74</v>
      </c>
      <c r="F701" t="s">
        <v>13490</v>
      </c>
      <c r="G701" t="s">
        <v>74</v>
      </c>
      <c r="H701" t="s">
        <v>74</v>
      </c>
      <c r="I701" t="s">
        <v>13491</v>
      </c>
      <c r="J701" t="s">
        <v>2067</v>
      </c>
      <c r="K701" t="s">
        <v>74</v>
      </c>
      <c r="L701" t="s">
        <v>74</v>
      </c>
      <c r="M701" t="s">
        <v>78</v>
      </c>
      <c r="N701" t="s">
        <v>79</v>
      </c>
      <c r="O701" t="s">
        <v>74</v>
      </c>
      <c r="P701" t="s">
        <v>74</v>
      </c>
      <c r="Q701" t="s">
        <v>74</v>
      </c>
      <c r="R701" t="s">
        <v>74</v>
      </c>
      <c r="S701" t="s">
        <v>74</v>
      </c>
      <c r="T701" t="s">
        <v>13492</v>
      </c>
      <c r="U701" t="s">
        <v>13493</v>
      </c>
      <c r="V701" t="s">
        <v>13494</v>
      </c>
      <c r="W701" t="s">
        <v>13495</v>
      </c>
      <c r="X701" t="s">
        <v>13496</v>
      </c>
      <c r="Y701" t="s">
        <v>13497</v>
      </c>
      <c r="Z701" t="s">
        <v>13498</v>
      </c>
      <c r="AA701" t="s">
        <v>13499</v>
      </c>
      <c r="AB701" t="s">
        <v>13500</v>
      </c>
      <c r="AC701" t="s">
        <v>13501</v>
      </c>
      <c r="AD701" t="s">
        <v>13502</v>
      </c>
      <c r="AE701" t="s">
        <v>13503</v>
      </c>
      <c r="AF701" t="s">
        <v>74</v>
      </c>
      <c r="AG701">
        <v>33</v>
      </c>
      <c r="AH701">
        <v>22</v>
      </c>
      <c r="AI701">
        <v>27</v>
      </c>
      <c r="AJ701">
        <v>2</v>
      </c>
      <c r="AK701">
        <v>29</v>
      </c>
      <c r="AL701" t="s">
        <v>1495</v>
      </c>
      <c r="AM701" t="s">
        <v>1496</v>
      </c>
      <c r="AN701" t="s">
        <v>1497</v>
      </c>
      <c r="AO701" t="s">
        <v>2080</v>
      </c>
      <c r="AP701" t="s">
        <v>2081</v>
      </c>
      <c r="AQ701" t="s">
        <v>74</v>
      </c>
      <c r="AR701" t="s">
        <v>2082</v>
      </c>
      <c r="AS701" t="s">
        <v>2083</v>
      </c>
      <c r="AT701" t="s">
        <v>11635</v>
      </c>
      <c r="AU701">
        <v>2013</v>
      </c>
      <c r="AV701">
        <v>43</v>
      </c>
      <c r="AW701">
        <v>10</v>
      </c>
      <c r="AX701" t="s">
        <v>74</v>
      </c>
      <c r="AY701" t="s">
        <v>74</v>
      </c>
      <c r="AZ701" t="s">
        <v>74</v>
      </c>
      <c r="BA701" t="s">
        <v>74</v>
      </c>
      <c r="BB701">
        <v>2132</v>
      </c>
      <c r="BC701">
        <v>2141</v>
      </c>
      <c r="BD701" t="s">
        <v>74</v>
      </c>
      <c r="BE701" t="s">
        <v>13504</v>
      </c>
      <c r="BF701" t="str">
        <f>HYPERLINK("http://dx.doi.org/10.1175/JPO-D-12-0182.1","http://dx.doi.org/10.1175/JPO-D-12-0182.1")</f>
        <v>http://dx.doi.org/10.1175/JPO-D-12-0182.1</v>
      </c>
      <c r="BG701" t="s">
        <v>74</v>
      </c>
      <c r="BH701" t="s">
        <v>74</v>
      </c>
      <c r="BI701">
        <v>10</v>
      </c>
      <c r="BJ701" t="s">
        <v>1613</v>
      </c>
      <c r="BK701" t="s">
        <v>99</v>
      </c>
      <c r="BL701" t="s">
        <v>1613</v>
      </c>
      <c r="BM701" t="s">
        <v>12334</v>
      </c>
      <c r="BN701" t="s">
        <v>74</v>
      </c>
      <c r="BO701" t="s">
        <v>4801</v>
      </c>
      <c r="BP701" t="s">
        <v>74</v>
      </c>
      <c r="BQ701" t="s">
        <v>74</v>
      </c>
      <c r="BR701" t="s">
        <v>103</v>
      </c>
      <c r="BS701" t="s">
        <v>13505</v>
      </c>
      <c r="BT701" t="str">
        <f>HYPERLINK("https%3A%2F%2Fwww.webofscience.com%2Fwos%2Fwoscc%2Ffull-record%2FWOS:000325534400006","View Full Record in Web of Science")</f>
        <v>View Full Record in Web of Science</v>
      </c>
    </row>
    <row r="702" spans="1:72" x14ac:dyDescent="0.15">
      <c r="A702" t="s">
        <v>72</v>
      </c>
      <c r="B702" t="s">
        <v>13506</v>
      </c>
      <c r="C702" t="s">
        <v>74</v>
      </c>
      <c r="D702" t="s">
        <v>74</v>
      </c>
      <c r="E702" t="s">
        <v>74</v>
      </c>
      <c r="F702" t="s">
        <v>13507</v>
      </c>
      <c r="G702" t="s">
        <v>74</v>
      </c>
      <c r="H702" t="s">
        <v>74</v>
      </c>
      <c r="I702" t="s">
        <v>13508</v>
      </c>
      <c r="J702" t="s">
        <v>2067</v>
      </c>
      <c r="K702" t="s">
        <v>74</v>
      </c>
      <c r="L702" t="s">
        <v>74</v>
      </c>
      <c r="M702" t="s">
        <v>78</v>
      </c>
      <c r="N702" t="s">
        <v>79</v>
      </c>
      <c r="O702" t="s">
        <v>74</v>
      </c>
      <c r="P702" t="s">
        <v>74</v>
      </c>
      <c r="Q702" t="s">
        <v>74</v>
      </c>
      <c r="R702" t="s">
        <v>74</v>
      </c>
      <c r="S702" t="s">
        <v>74</v>
      </c>
      <c r="T702" t="s">
        <v>13509</v>
      </c>
      <c r="U702" t="s">
        <v>13510</v>
      </c>
      <c r="V702" t="s">
        <v>13511</v>
      </c>
      <c r="W702" t="s">
        <v>13512</v>
      </c>
      <c r="X702" t="s">
        <v>13513</v>
      </c>
      <c r="Y702" t="s">
        <v>13514</v>
      </c>
      <c r="Z702" t="s">
        <v>13515</v>
      </c>
      <c r="AA702" t="s">
        <v>7023</v>
      </c>
      <c r="AB702" t="s">
        <v>7024</v>
      </c>
      <c r="AC702" t="s">
        <v>13516</v>
      </c>
      <c r="AD702" t="s">
        <v>13517</v>
      </c>
      <c r="AE702" t="s">
        <v>13518</v>
      </c>
      <c r="AF702" t="s">
        <v>74</v>
      </c>
      <c r="AG702">
        <v>52</v>
      </c>
      <c r="AH702">
        <v>9</v>
      </c>
      <c r="AI702">
        <v>10</v>
      </c>
      <c r="AJ702">
        <v>0</v>
      </c>
      <c r="AK702">
        <v>22</v>
      </c>
      <c r="AL702" t="s">
        <v>1495</v>
      </c>
      <c r="AM702" t="s">
        <v>1496</v>
      </c>
      <c r="AN702" t="s">
        <v>1497</v>
      </c>
      <c r="AO702" t="s">
        <v>2080</v>
      </c>
      <c r="AP702" t="s">
        <v>2081</v>
      </c>
      <c r="AQ702" t="s">
        <v>74</v>
      </c>
      <c r="AR702" t="s">
        <v>2082</v>
      </c>
      <c r="AS702" t="s">
        <v>2083</v>
      </c>
      <c r="AT702" t="s">
        <v>11635</v>
      </c>
      <c r="AU702">
        <v>2013</v>
      </c>
      <c r="AV702">
        <v>43</v>
      </c>
      <c r="AW702">
        <v>10</v>
      </c>
      <c r="AX702" t="s">
        <v>74</v>
      </c>
      <c r="AY702" t="s">
        <v>74</v>
      </c>
      <c r="AZ702" t="s">
        <v>74</v>
      </c>
      <c r="BA702" t="s">
        <v>74</v>
      </c>
      <c r="BB702">
        <v>2200</v>
      </c>
      <c r="BC702">
        <v>2210</v>
      </c>
      <c r="BD702" t="s">
        <v>74</v>
      </c>
      <c r="BE702" t="s">
        <v>13519</v>
      </c>
      <c r="BF702" t="str">
        <f>HYPERLINK("http://dx.doi.org/10.1175/JPO-D-13-037.1","http://dx.doi.org/10.1175/JPO-D-13-037.1")</f>
        <v>http://dx.doi.org/10.1175/JPO-D-13-037.1</v>
      </c>
      <c r="BG702" t="s">
        <v>74</v>
      </c>
      <c r="BH702" t="s">
        <v>74</v>
      </c>
      <c r="BI702">
        <v>11</v>
      </c>
      <c r="BJ702" t="s">
        <v>1613</v>
      </c>
      <c r="BK702" t="s">
        <v>99</v>
      </c>
      <c r="BL702" t="s">
        <v>1613</v>
      </c>
      <c r="BM702" t="s">
        <v>12334</v>
      </c>
      <c r="BN702" t="s">
        <v>74</v>
      </c>
      <c r="BO702" t="s">
        <v>1549</v>
      </c>
      <c r="BP702" t="s">
        <v>74</v>
      </c>
      <c r="BQ702" t="s">
        <v>74</v>
      </c>
      <c r="BR702" t="s">
        <v>103</v>
      </c>
      <c r="BS702" t="s">
        <v>13520</v>
      </c>
      <c r="BT702" t="str">
        <f>HYPERLINK("https%3A%2F%2Fwww.webofscience.com%2Fwos%2Fwoscc%2Ffull-record%2FWOS:000325534400011","View Full Record in Web of Science")</f>
        <v>View Full Record in Web of Science</v>
      </c>
    </row>
    <row r="703" spans="1:72" x14ac:dyDescent="0.15">
      <c r="A703" t="s">
        <v>72</v>
      </c>
      <c r="B703" t="s">
        <v>13521</v>
      </c>
      <c r="C703" t="s">
        <v>74</v>
      </c>
      <c r="D703" t="s">
        <v>74</v>
      </c>
      <c r="E703" t="s">
        <v>74</v>
      </c>
      <c r="F703" t="s">
        <v>13522</v>
      </c>
      <c r="G703" t="s">
        <v>74</v>
      </c>
      <c r="H703" t="s">
        <v>74</v>
      </c>
      <c r="I703" t="s">
        <v>13523</v>
      </c>
      <c r="J703" t="s">
        <v>11791</v>
      </c>
      <c r="K703" t="s">
        <v>74</v>
      </c>
      <c r="L703" t="s">
        <v>74</v>
      </c>
      <c r="M703" t="s">
        <v>78</v>
      </c>
      <c r="N703" t="s">
        <v>79</v>
      </c>
      <c r="O703" t="s">
        <v>74</v>
      </c>
      <c r="P703" t="s">
        <v>74</v>
      </c>
      <c r="Q703" t="s">
        <v>74</v>
      </c>
      <c r="R703" t="s">
        <v>74</v>
      </c>
      <c r="S703" t="s">
        <v>74</v>
      </c>
      <c r="T703" t="s">
        <v>13524</v>
      </c>
      <c r="U703" t="s">
        <v>13525</v>
      </c>
      <c r="V703" t="s">
        <v>13526</v>
      </c>
      <c r="W703" t="s">
        <v>13527</v>
      </c>
      <c r="X703" t="s">
        <v>13528</v>
      </c>
      <c r="Y703" t="s">
        <v>13529</v>
      </c>
      <c r="Z703" t="s">
        <v>13530</v>
      </c>
      <c r="AA703" t="s">
        <v>13531</v>
      </c>
      <c r="AB703" t="s">
        <v>13532</v>
      </c>
      <c r="AC703" t="s">
        <v>13533</v>
      </c>
      <c r="AD703" t="s">
        <v>13534</v>
      </c>
      <c r="AE703" t="s">
        <v>13535</v>
      </c>
      <c r="AF703" t="s">
        <v>74</v>
      </c>
      <c r="AG703">
        <v>57</v>
      </c>
      <c r="AH703">
        <v>14</v>
      </c>
      <c r="AI703">
        <v>16</v>
      </c>
      <c r="AJ703">
        <v>1</v>
      </c>
      <c r="AK703">
        <v>19</v>
      </c>
      <c r="AL703" t="s">
        <v>410</v>
      </c>
      <c r="AM703" t="s">
        <v>411</v>
      </c>
      <c r="AN703" t="s">
        <v>412</v>
      </c>
      <c r="AO703" t="s">
        <v>11804</v>
      </c>
      <c r="AP703" t="s">
        <v>11805</v>
      </c>
      <c r="AQ703" t="s">
        <v>74</v>
      </c>
      <c r="AR703" t="s">
        <v>11806</v>
      </c>
      <c r="AS703" t="s">
        <v>11807</v>
      </c>
      <c r="AT703" t="s">
        <v>11635</v>
      </c>
      <c r="AU703">
        <v>2013</v>
      </c>
      <c r="AV703">
        <v>28</v>
      </c>
      <c r="AW703">
        <v>7</v>
      </c>
      <c r="AX703" t="s">
        <v>74</v>
      </c>
      <c r="AY703" t="s">
        <v>74</v>
      </c>
      <c r="AZ703" t="s">
        <v>74</v>
      </c>
      <c r="BA703" t="s">
        <v>74</v>
      </c>
      <c r="BB703">
        <v>697</v>
      </c>
      <c r="BC703">
        <v>704</v>
      </c>
      <c r="BD703" t="s">
        <v>74</v>
      </c>
      <c r="BE703" t="s">
        <v>13536</v>
      </c>
      <c r="BF703" t="str">
        <f>HYPERLINK("http://dx.doi.org/10.1002/jqs.2668","http://dx.doi.org/10.1002/jqs.2668")</f>
        <v>http://dx.doi.org/10.1002/jqs.2668</v>
      </c>
      <c r="BG703" t="s">
        <v>74</v>
      </c>
      <c r="BH703" t="s">
        <v>74</v>
      </c>
      <c r="BI703">
        <v>8</v>
      </c>
      <c r="BJ703" t="s">
        <v>98</v>
      </c>
      <c r="BK703" t="s">
        <v>99</v>
      </c>
      <c r="BL703" t="s">
        <v>100</v>
      </c>
      <c r="BM703" t="s">
        <v>11809</v>
      </c>
      <c r="BN703" t="s">
        <v>74</v>
      </c>
      <c r="BO703" t="s">
        <v>74</v>
      </c>
      <c r="BP703" t="s">
        <v>74</v>
      </c>
      <c r="BQ703" t="s">
        <v>74</v>
      </c>
      <c r="BR703" t="s">
        <v>103</v>
      </c>
      <c r="BS703" t="s">
        <v>13537</v>
      </c>
      <c r="BT703" t="str">
        <f>HYPERLINK("https%3A%2F%2Fwww.webofscience.com%2Fwos%2Fwoscc%2Ffull-record%2FWOS:000328486500003","View Full Record in Web of Science")</f>
        <v>View Full Record in Web of Science</v>
      </c>
    </row>
    <row r="704" spans="1:72" x14ac:dyDescent="0.15">
      <c r="A704" t="s">
        <v>72</v>
      </c>
      <c r="B704" t="s">
        <v>13538</v>
      </c>
      <c r="C704" t="s">
        <v>74</v>
      </c>
      <c r="D704" t="s">
        <v>74</v>
      </c>
      <c r="E704" t="s">
        <v>74</v>
      </c>
      <c r="F704" t="s">
        <v>13539</v>
      </c>
      <c r="G704" t="s">
        <v>74</v>
      </c>
      <c r="H704" t="s">
        <v>74</v>
      </c>
      <c r="I704" t="s">
        <v>13540</v>
      </c>
      <c r="J704" t="s">
        <v>11814</v>
      </c>
      <c r="K704" t="s">
        <v>74</v>
      </c>
      <c r="L704" t="s">
        <v>74</v>
      </c>
      <c r="M704" t="s">
        <v>78</v>
      </c>
      <c r="N704" t="s">
        <v>79</v>
      </c>
      <c r="O704" t="s">
        <v>74</v>
      </c>
      <c r="P704" t="s">
        <v>74</v>
      </c>
      <c r="Q704" t="s">
        <v>74</v>
      </c>
      <c r="R704" t="s">
        <v>74</v>
      </c>
      <c r="S704" t="s">
        <v>74</v>
      </c>
      <c r="T704" t="s">
        <v>13541</v>
      </c>
      <c r="U704" t="s">
        <v>13542</v>
      </c>
      <c r="V704" t="s">
        <v>13543</v>
      </c>
      <c r="W704" t="s">
        <v>13544</v>
      </c>
      <c r="X704" t="s">
        <v>13545</v>
      </c>
      <c r="Y704" t="s">
        <v>13546</v>
      </c>
      <c r="Z704" t="s">
        <v>13547</v>
      </c>
      <c r="AA704" t="s">
        <v>13548</v>
      </c>
      <c r="AB704" t="s">
        <v>13549</v>
      </c>
      <c r="AC704" t="s">
        <v>13550</v>
      </c>
      <c r="AD704" t="s">
        <v>13551</v>
      </c>
      <c r="AE704" t="s">
        <v>13552</v>
      </c>
      <c r="AF704" t="s">
        <v>74</v>
      </c>
      <c r="AG704">
        <v>226</v>
      </c>
      <c r="AH704">
        <v>13</v>
      </c>
      <c r="AI704">
        <v>13</v>
      </c>
      <c r="AJ704">
        <v>3</v>
      </c>
      <c r="AK704">
        <v>65</v>
      </c>
      <c r="AL704" t="s">
        <v>582</v>
      </c>
      <c r="AM704" t="s">
        <v>305</v>
      </c>
      <c r="AN704" t="s">
        <v>583</v>
      </c>
      <c r="AO704" t="s">
        <v>11827</v>
      </c>
      <c r="AP704" t="s">
        <v>11828</v>
      </c>
      <c r="AQ704" t="s">
        <v>74</v>
      </c>
      <c r="AR704" t="s">
        <v>11829</v>
      </c>
      <c r="AS704" t="s">
        <v>11830</v>
      </c>
      <c r="AT704" t="s">
        <v>11635</v>
      </c>
      <c r="AU704">
        <v>2013</v>
      </c>
      <c r="AV704">
        <v>83</v>
      </c>
      <c r="AW704" t="s">
        <v>74</v>
      </c>
      <c r="AX704" t="s">
        <v>74</v>
      </c>
      <c r="AY704" t="s">
        <v>74</v>
      </c>
      <c r="AZ704" t="s">
        <v>283</v>
      </c>
      <c r="BA704" t="s">
        <v>74</v>
      </c>
      <c r="BB704">
        <v>9</v>
      </c>
      <c r="BC704">
        <v>29</v>
      </c>
      <c r="BD704" t="s">
        <v>74</v>
      </c>
      <c r="BE704" t="s">
        <v>13553</v>
      </c>
      <c r="BF704" t="str">
        <f>HYPERLINK("http://dx.doi.org/10.1016/j.seares.2013.05.013","http://dx.doi.org/10.1016/j.seares.2013.05.013")</f>
        <v>http://dx.doi.org/10.1016/j.seares.2013.05.013</v>
      </c>
      <c r="BG704" t="s">
        <v>74</v>
      </c>
      <c r="BH704" t="s">
        <v>74</v>
      </c>
      <c r="BI704">
        <v>21</v>
      </c>
      <c r="BJ704" t="s">
        <v>2266</v>
      </c>
      <c r="BK704" t="s">
        <v>99</v>
      </c>
      <c r="BL704" t="s">
        <v>2266</v>
      </c>
      <c r="BM704" t="s">
        <v>11832</v>
      </c>
      <c r="BN704" t="s">
        <v>74</v>
      </c>
      <c r="BO704" t="s">
        <v>13384</v>
      </c>
      <c r="BP704" t="s">
        <v>74</v>
      </c>
      <c r="BQ704" t="s">
        <v>74</v>
      </c>
      <c r="BR704" t="s">
        <v>103</v>
      </c>
      <c r="BS704" t="s">
        <v>13554</v>
      </c>
      <c r="BT704" t="str">
        <f>HYPERLINK("https%3A%2F%2Fwww.webofscience.com%2Fwos%2Fwoscc%2Ffull-record%2FWOS:000327916900002","View Full Record in Web of Science")</f>
        <v>View Full Record in Web of Science</v>
      </c>
    </row>
    <row r="705" spans="1:72" x14ac:dyDescent="0.15">
      <c r="A705" t="s">
        <v>72</v>
      </c>
      <c r="B705" t="s">
        <v>13555</v>
      </c>
      <c r="C705" t="s">
        <v>74</v>
      </c>
      <c r="D705" t="s">
        <v>74</v>
      </c>
      <c r="E705" t="s">
        <v>74</v>
      </c>
      <c r="F705" t="s">
        <v>13556</v>
      </c>
      <c r="G705" t="s">
        <v>74</v>
      </c>
      <c r="H705" t="s">
        <v>74</v>
      </c>
      <c r="I705" t="s">
        <v>13557</v>
      </c>
      <c r="J705" t="s">
        <v>13558</v>
      </c>
      <c r="K705" t="s">
        <v>74</v>
      </c>
      <c r="L705" t="s">
        <v>74</v>
      </c>
      <c r="M705" t="s">
        <v>7205</v>
      </c>
      <c r="N705" t="s">
        <v>79</v>
      </c>
      <c r="O705" t="s">
        <v>74</v>
      </c>
      <c r="P705" t="s">
        <v>74</v>
      </c>
      <c r="Q705" t="s">
        <v>74</v>
      </c>
      <c r="R705" t="s">
        <v>74</v>
      </c>
      <c r="S705" t="s">
        <v>74</v>
      </c>
      <c r="T705" t="s">
        <v>13559</v>
      </c>
      <c r="U705" t="s">
        <v>74</v>
      </c>
      <c r="V705" t="s">
        <v>13560</v>
      </c>
      <c r="W705" t="s">
        <v>13561</v>
      </c>
      <c r="X705" t="s">
        <v>13562</v>
      </c>
      <c r="Y705" t="s">
        <v>13563</v>
      </c>
      <c r="Z705" t="s">
        <v>13564</v>
      </c>
      <c r="AA705" t="s">
        <v>13565</v>
      </c>
      <c r="AB705" t="s">
        <v>13566</v>
      </c>
      <c r="AC705" t="s">
        <v>74</v>
      </c>
      <c r="AD705" t="s">
        <v>74</v>
      </c>
      <c r="AE705" t="s">
        <v>74</v>
      </c>
      <c r="AF705" t="s">
        <v>74</v>
      </c>
      <c r="AG705">
        <v>21</v>
      </c>
      <c r="AH705">
        <v>1</v>
      </c>
      <c r="AI705">
        <v>1</v>
      </c>
      <c r="AJ705">
        <v>0</v>
      </c>
      <c r="AK705">
        <v>5</v>
      </c>
      <c r="AL705" t="s">
        <v>13567</v>
      </c>
      <c r="AM705" t="s">
        <v>5916</v>
      </c>
      <c r="AN705" t="s">
        <v>13568</v>
      </c>
      <c r="AO705" t="s">
        <v>13569</v>
      </c>
      <c r="AP705" t="s">
        <v>13570</v>
      </c>
      <c r="AQ705" t="s">
        <v>74</v>
      </c>
      <c r="AR705" t="s">
        <v>13571</v>
      </c>
      <c r="AS705" t="s">
        <v>13572</v>
      </c>
      <c r="AT705" t="s">
        <v>11635</v>
      </c>
      <c r="AU705">
        <v>2013</v>
      </c>
      <c r="AV705">
        <v>29</v>
      </c>
      <c r="AW705">
        <v>5</v>
      </c>
      <c r="AX705" t="s">
        <v>74</v>
      </c>
      <c r="AY705" t="s">
        <v>74</v>
      </c>
      <c r="AZ705" t="s">
        <v>74</v>
      </c>
      <c r="BA705" t="s">
        <v>74</v>
      </c>
      <c r="BB705">
        <v>537</v>
      </c>
      <c r="BC705">
        <v>544</v>
      </c>
      <c r="BD705" t="s">
        <v>74</v>
      </c>
      <c r="BE705" t="s">
        <v>13573</v>
      </c>
      <c r="BF705" t="str">
        <f>HYPERLINK("http://dx.doi.org/10.7780/kjrs.2013.29.5.9","http://dx.doi.org/10.7780/kjrs.2013.29.5.9")</f>
        <v>http://dx.doi.org/10.7780/kjrs.2013.29.5.9</v>
      </c>
      <c r="BG705" t="s">
        <v>74</v>
      </c>
      <c r="BH705" t="s">
        <v>74</v>
      </c>
      <c r="BI705">
        <v>8</v>
      </c>
      <c r="BJ705" t="s">
        <v>1026</v>
      </c>
      <c r="BK705" t="s">
        <v>494</v>
      </c>
      <c r="BL705" t="s">
        <v>1026</v>
      </c>
      <c r="BM705" t="s">
        <v>13574</v>
      </c>
      <c r="BN705" t="s">
        <v>74</v>
      </c>
      <c r="BO705" t="s">
        <v>475</v>
      </c>
      <c r="BP705" t="s">
        <v>74</v>
      </c>
      <c r="BQ705" t="s">
        <v>74</v>
      </c>
      <c r="BR705" t="s">
        <v>103</v>
      </c>
      <c r="BS705" t="s">
        <v>13575</v>
      </c>
      <c r="BT705" t="str">
        <f>HYPERLINK("https%3A%2F%2Fwww.webofscience.com%2Fwos%2Fwoscc%2Ffull-record%2FWOS:000410224500009","View Full Record in Web of Science")</f>
        <v>View Full Record in Web of Science</v>
      </c>
    </row>
    <row r="706" spans="1:72" x14ac:dyDescent="0.15">
      <c r="A706" t="s">
        <v>72</v>
      </c>
      <c r="B706" t="s">
        <v>13576</v>
      </c>
      <c r="C706" t="s">
        <v>74</v>
      </c>
      <c r="D706" t="s">
        <v>74</v>
      </c>
      <c r="E706" t="s">
        <v>74</v>
      </c>
      <c r="F706" t="s">
        <v>13577</v>
      </c>
      <c r="G706" t="s">
        <v>74</v>
      </c>
      <c r="H706" t="s">
        <v>74</v>
      </c>
      <c r="I706" t="s">
        <v>13578</v>
      </c>
      <c r="J706" t="s">
        <v>9256</v>
      </c>
      <c r="K706" t="s">
        <v>74</v>
      </c>
      <c r="L706" t="s">
        <v>74</v>
      </c>
      <c r="M706" t="s">
        <v>78</v>
      </c>
      <c r="N706" t="s">
        <v>79</v>
      </c>
      <c r="O706" t="s">
        <v>74</v>
      </c>
      <c r="P706" t="s">
        <v>74</v>
      </c>
      <c r="Q706" t="s">
        <v>74</v>
      </c>
      <c r="R706" t="s">
        <v>74</v>
      </c>
      <c r="S706" t="s">
        <v>74</v>
      </c>
      <c r="T706" t="s">
        <v>74</v>
      </c>
      <c r="U706" t="s">
        <v>13579</v>
      </c>
      <c r="V706" t="s">
        <v>13580</v>
      </c>
      <c r="W706" t="s">
        <v>13581</v>
      </c>
      <c r="X706" t="s">
        <v>13582</v>
      </c>
      <c r="Y706" t="s">
        <v>13583</v>
      </c>
      <c r="Z706" t="s">
        <v>13584</v>
      </c>
      <c r="AA706" t="s">
        <v>13585</v>
      </c>
      <c r="AB706" t="s">
        <v>13586</v>
      </c>
      <c r="AC706" t="s">
        <v>13587</v>
      </c>
      <c r="AD706" t="s">
        <v>13588</v>
      </c>
      <c r="AE706" t="s">
        <v>13589</v>
      </c>
      <c r="AF706" t="s">
        <v>74</v>
      </c>
      <c r="AG706">
        <v>53</v>
      </c>
      <c r="AH706">
        <v>31</v>
      </c>
      <c r="AI706">
        <v>33</v>
      </c>
      <c r="AJ706">
        <v>2</v>
      </c>
      <c r="AK706">
        <v>103</v>
      </c>
      <c r="AL706" t="s">
        <v>1067</v>
      </c>
      <c r="AM706" t="s">
        <v>921</v>
      </c>
      <c r="AN706" t="s">
        <v>2690</v>
      </c>
      <c r="AO706" t="s">
        <v>9268</v>
      </c>
      <c r="AP706" t="s">
        <v>74</v>
      </c>
      <c r="AQ706" t="s">
        <v>74</v>
      </c>
      <c r="AR706" t="s">
        <v>9270</v>
      </c>
      <c r="AS706" t="s">
        <v>9271</v>
      </c>
      <c r="AT706" t="s">
        <v>11635</v>
      </c>
      <c r="AU706">
        <v>2013</v>
      </c>
      <c r="AV706">
        <v>160</v>
      </c>
      <c r="AW706">
        <v>10</v>
      </c>
      <c r="AX706" t="s">
        <v>74</v>
      </c>
      <c r="AY706" t="s">
        <v>74</v>
      </c>
      <c r="AZ706" t="s">
        <v>74</v>
      </c>
      <c r="BA706" t="s">
        <v>74</v>
      </c>
      <c r="BB706">
        <v>2755</v>
      </c>
      <c r="BC706">
        <v>2762</v>
      </c>
      <c r="BD706" t="s">
        <v>74</v>
      </c>
      <c r="BE706" t="s">
        <v>13590</v>
      </c>
      <c r="BF706" t="str">
        <f>HYPERLINK("http://dx.doi.org/10.1007/s00227-013-2268-7","http://dx.doi.org/10.1007/s00227-013-2268-7")</f>
        <v>http://dx.doi.org/10.1007/s00227-013-2268-7</v>
      </c>
      <c r="BG706" t="s">
        <v>74</v>
      </c>
      <c r="BH706" t="s">
        <v>74</v>
      </c>
      <c r="BI706">
        <v>8</v>
      </c>
      <c r="BJ706" t="s">
        <v>285</v>
      </c>
      <c r="BK706" t="s">
        <v>99</v>
      </c>
      <c r="BL706" t="s">
        <v>285</v>
      </c>
      <c r="BM706" t="s">
        <v>13591</v>
      </c>
      <c r="BN706" t="s">
        <v>74</v>
      </c>
      <c r="BO706" t="s">
        <v>450</v>
      </c>
      <c r="BP706" t="s">
        <v>74</v>
      </c>
      <c r="BQ706" t="s">
        <v>74</v>
      </c>
      <c r="BR706" t="s">
        <v>103</v>
      </c>
      <c r="BS706" t="s">
        <v>13592</v>
      </c>
      <c r="BT706" t="str">
        <f>HYPERLINK("https%3A%2F%2Fwww.webofscience.com%2Fwos%2Fwoscc%2Ffull-record%2FWOS:000324871300020","View Full Record in Web of Science")</f>
        <v>View Full Record in Web of Science</v>
      </c>
    </row>
    <row r="707" spans="1:72" x14ac:dyDescent="0.15">
      <c r="A707" t="s">
        <v>72</v>
      </c>
      <c r="B707" t="s">
        <v>13593</v>
      </c>
      <c r="C707" t="s">
        <v>74</v>
      </c>
      <c r="D707" t="s">
        <v>74</v>
      </c>
      <c r="E707" t="s">
        <v>74</v>
      </c>
      <c r="F707" t="s">
        <v>13594</v>
      </c>
      <c r="G707" t="s">
        <v>74</v>
      </c>
      <c r="H707" t="s">
        <v>74</v>
      </c>
      <c r="I707" t="s">
        <v>13595</v>
      </c>
      <c r="J707" t="s">
        <v>12042</v>
      </c>
      <c r="K707" t="s">
        <v>74</v>
      </c>
      <c r="L707" t="s">
        <v>74</v>
      </c>
      <c r="M707" t="s">
        <v>78</v>
      </c>
      <c r="N707" t="s">
        <v>79</v>
      </c>
      <c r="O707" t="s">
        <v>74</v>
      </c>
      <c r="P707" t="s">
        <v>74</v>
      </c>
      <c r="Q707" t="s">
        <v>74</v>
      </c>
      <c r="R707" t="s">
        <v>74</v>
      </c>
      <c r="S707" t="s">
        <v>74</v>
      </c>
      <c r="T707" t="s">
        <v>13596</v>
      </c>
      <c r="U707" t="s">
        <v>13597</v>
      </c>
      <c r="V707" t="s">
        <v>13598</v>
      </c>
      <c r="W707" t="s">
        <v>13599</v>
      </c>
      <c r="X707" t="s">
        <v>13600</v>
      </c>
      <c r="Y707" t="s">
        <v>13601</v>
      </c>
      <c r="Z707" t="s">
        <v>13602</v>
      </c>
      <c r="AA707" t="s">
        <v>13603</v>
      </c>
      <c r="AB707" t="s">
        <v>13604</v>
      </c>
      <c r="AC707" t="s">
        <v>13605</v>
      </c>
      <c r="AD707" t="s">
        <v>13606</v>
      </c>
      <c r="AE707" t="s">
        <v>13607</v>
      </c>
      <c r="AF707" t="s">
        <v>74</v>
      </c>
      <c r="AG707">
        <v>93</v>
      </c>
      <c r="AH707">
        <v>49</v>
      </c>
      <c r="AI707">
        <v>54</v>
      </c>
      <c r="AJ707">
        <v>0</v>
      </c>
      <c r="AK707">
        <v>21</v>
      </c>
      <c r="AL707" t="s">
        <v>304</v>
      </c>
      <c r="AM707" t="s">
        <v>305</v>
      </c>
      <c r="AN707" t="s">
        <v>306</v>
      </c>
      <c r="AO707" t="s">
        <v>12052</v>
      </c>
      <c r="AP707" t="s">
        <v>12053</v>
      </c>
      <c r="AQ707" t="s">
        <v>74</v>
      </c>
      <c r="AR707" t="s">
        <v>12054</v>
      </c>
      <c r="AS707" t="s">
        <v>12055</v>
      </c>
      <c r="AT707" t="s">
        <v>12056</v>
      </c>
      <c r="AU707">
        <v>2013</v>
      </c>
      <c r="AV707">
        <v>344</v>
      </c>
      <c r="AW707" t="s">
        <v>74</v>
      </c>
      <c r="AX707" t="s">
        <v>74</v>
      </c>
      <c r="AY707" t="s">
        <v>74</v>
      </c>
      <c r="AZ707" t="s">
        <v>74</v>
      </c>
      <c r="BA707" t="s">
        <v>74</v>
      </c>
      <c r="BB707">
        <v>115</v>
      </c>
      <c r="BC707">
        <v>131</v>
      </c>
      <c r="BD707" t="s">
        <v>74</v>
      </c>
      <c r="BE707" t="s">
        <v>13608</v>
      </c>
      <c r="BF707" t="str">
        <f>HYPERLINK("http://dx.doi.org/10.1016/j.margeo.2013.06.011","http://dx.doi.org/10.1016/j.margeo.2013.06.011")</f>
        <v>http://dx.doi.org/10.1016/j.margeo.2013.06.011</v>
      </c>
      <c r="BG707" t="s">
        <v>74</v>
      </c>
      <c r="BH707" t="s">
        <v>74</v>
      </c>
      <c r="BI707">
        <v>17</v>
      </c>
      <c r="BJ707" t="s">
        <v>12058</v>
      </c>
      <c r="BK707" t="s">
        <v>99</v>
      </c>
      <c r="BL707" t="s">
        <v>12059</v>
      </c>
      <c r="BM707" t="s">
        <v>12060</v>
      </c>
      <c r="BN707" t="s">
        <v>74</v>
      </c>
      <c r="BO707" t="s">
        <v>7079</v>
      </c>
      <c r="BP707" t="s">
        <v>74</v>
      </c>
      <c r="BQ707" t="s">
        <v>74</v>
      </c>
      <c r="BR707" t="s">
        <v>103</v>
      </c>
      <c r="BS707" t="s">
        <v>13609</v>
      </c>
      <c r="BT707" t="str">
        <f>HYPERLINK("https%3A%2F%2Fwww.webofscience.com%2Fwos%2Fwoscc%2Ffull-record%2FWOS:000325600500010","View Full Record in Web of Science")</f>
        <v>View Full Record in Web of Science</v>
      </c>
    </row>
    <row r="708" spans="1:72" x14ac:dyDescent="0.15">
      <c r="A708" t="s">
        <v>72</v>
      </c>
      <c r="B708" t="s">
        <v>13610</v>
      </c>
      <c r="C708" t="s">
        <v>74</v>
      </c>
      <c r="D708" t="s">
        <v>74</v>
      </c>
      <c r="E708" t="s">
        <v>74</v>
      </c>
      <c r="F708" t="s">
        <v>13611</v>
      </c>
      <c r="G708" t="s">
        <v>74</v>
      </c>
      <c r="H708" t="s">
        <v>74</v>
      </c>
      <c r="I708" t="s">
        <v>13612</v>
      </c>
      <c r="J708" t="s">
        <v>12065</v>
      </c>
      <c r="K708" t="s">
        <v>74</v>
      </c>
      <c r="L708" t="s">
        <v>74</v>
      </c>
      <c r="M708" t="s">
        <v>78</v>
      </c>
      <c r="N708" t="s">
        <v>79</v>
      </c>
      <c r="O708" t="s">
        <v>74</v>
      </c>
      <c r="P708" t="s">
        <v>74</v>
      </c>
      <c r="Q708" t="s">
        <v>74</v>
      </c>
      <c r="R708" t="s">
        <v>74</v>
      </c>
      <c r="S708" t="s">
        <v>74</v>
      </c>
      <c r="T708" t="s">
        <v>13613</v>
      </c>
      <c r="U708" t="s">
        <v>13614</v>
      </c>
      <c r="V708" t="s">
        <v>13615</v>
      </c>
      <c r="W708" t="s">
        <v>13616</v>
      </c>
      <c r="X708" t="s">
        <v>13617</v>
      </c>
      <c r="Y708" t="s">
        <v>13618</v>
      </c>
      <c r="Z708" t="s">
        <v>13619</v>
      </c>
      <c r="AA708" t="s">
        <v>13620</v>
      </c>
      <c r="AB708" t="s">
        <v>13621</v>
      </c>
      <c r="AC708" t="s">
        <v>13622</v>
      </c>
      <c r="AD708" t="s">
        <v>13623</v>
      </c>
      <c r="AE708" t="s">
        <v>13624</v>
      </c>
      <c r="AF708" t="s">
        <v>74</v>
      </c>
      <c r="AG708">
        <v>109</v>
      </c>
      <c r="AH708">
        <v>44</v>
      </c>
      <c r="AI708">
        <v>46</v>
      </c>
      <c r="AJ708">
        <v>0</v>
      </c>
      <c r="AK708">
        <v>66</v>
      </c>
      <c r="AL708" t="s">
        <v>410</v>
      </c>
      <c r="AM708" t="s">
        <v>411</v>
      </c>
      <c r="AN708" t="s">
        <v>412</v>
      </c>
      <c r="AO708" t="s">
        <v>12078</v>
      </c>
      <c r="AP708" t="s">
        <v>12079</v>
      </c>
      <c r="AQ708" t="s">
        <v>74</v>
      </c>
      <c r="AR708" t="s">
        <v>12080</v>
      </c>
      <c r="AS708" t="s">
        <v>12081</v>
      </c>
      <c r="AT708" t="s">
        <v>11635</v>
      </c>
      <c r="AU708">
        <v>2013</v>
      </c>
      <c r="AV708">
        <v>22</v>
      </c>
      <c r="AW708">
        <v>20</v>
      </c>
      <c r="AX708" t="s">
        <v>74</v>
      </c>
      <c r="AY708" t="s">
        <v>74</v>
      </c>
      <c r="AZ708" t="s">
        <v>74</v>
      </c>
      <c r="BA708" t="s">
        <v>74</v>
      </c>
      <c r="BB708">
        <v>5221</v>
      </c>
      <c r="BC708">
        <v>5236</v>
      </c>
      <c r="BD708" t="s">
        <v>74</v>
      </c>
      <c r="BE708" t="s">
        <v>13625</v>
      </c>
      <c r="BF708" t="str">
        <f>HYPERLINK("http://dx.doi.org/10.1111/mec.12465","http://dx.doi.org/10.1111/mec.12465")</f>
        <v>http://dx.doi.org/10.1111/mec.12465</v>
      </c>
      <c r="BG708" t="s">
        <v>74</v>
      </c>
      <c r="BH708" t="s">
        <v>74</v>
      </c>
      <c r="BI708">
        <v>16</v>
      </c>
      <c r="BJ708" t="s">
        <v>5353</v>
      </c>
      <c r="BK708" t="s">
        <v>99</v>
      </c>
      <c r="BL708" t="s">
        <v>5354</v>
      </c>
      <c r="BM708" t="s">
        <v>12083</v>
      </c>
      <c r="BN708">
        <v>24102937</v>
      </c>
      <c r="BO708" t="s">
        <v>74</v>
      </c>
      <c r="BP708" t="s">
        <v>74</v>
      </c>
      <c r="BQ708" t="s">
        <v>74</v>
      </c>
      <c r="BR708" t="s">
        <v>103</v>
      </c>
      <c r="BS708" t="s">
        <v>13626</v>
      </c>
      <c r="BT708" t="str">
        <f>HYPERLINK("https%3A%2F%2Fwww.webofscience.com%2Fwos%2Fwoscc%2Ffull-record%2FWOS:000325550000013","View Full Record in Web of Science")</f>
        <v>View Full Record in Web of Science</v>
      </c>
    </row>
    <row r="709" spans="1:72" x14ac:dyDescent="0.15">
      <c r="A709" t="s">
        <v>72</v>
      </c>
      <c r="B709" t="s">
        <v>13627</v>
      </c>
      <c r="C709" t="s">
        <v>74</v>
      </c>
      <c r="D709" t="s">
        <v>74</v>
      </c>
      <c r="E709" t="s">
        <v>74</v>
      </c>
      <c r="F709" t="s">
        <v>13628</v>
      </c>
      <c r="G709" t="s">
        <v>74</v>
      </c>
      <c r="H709" t="s">
        <v>74</v>
      </c>
      <c r="I709" t="s">
        <v>13629</v>
      </c>
      <c r="J709" t="s">
        <v>13630</v>
      </c>
      <c r="K709" t="s">
        <v>74</v>
      </c>
      <c r="L709" t="s">
        <v>74</v>
      </c>
      <c r="M709" t="s">
        <v>78</v>
      </c>
      <c r="N709" t="s">
        <v>2830</v>
      </c>
      <c r="O709" t="s">
        <v>74</v>
      </c>
      <c r="P709" t="s">
        <v>74</v>
      </c>
      <c r="Q709" t="s">
        <v>74</v>
      </c>
      <c r="R709" t="s">
        <v>74</v>
      </c>
      <c r="S709" t="s">
        <v>74</v>
      </c>
      <c r="T709" t="s">
        <v>74</v>
      </c>
      <c r="U709" t="s">
        <v>13631</v>
      </c>
      <c r="V709" t="s">
        <v>74</v>
      </c>
      <c r="W709" t="s">
        <v>13632</v>
      </c>
      <c r="X709" t="s">
        <v>13633</v>
      </c>
      <c r="Y709" t="s">
        <v>13634</v>
      </c>
      <c r="Z709" t="s">
        <v>13635</v>
      </c>
      <c r="AA709" t="s">
        <v>13636</v>
      </c>
      <c r="AB709" t="s">
        <v>13637</v>
      </c>
      <c r="AC709" t="s">
        <v>74</v>
      </c>
      <c r="AD709" t="s">
        <v>74</v>
      </c>
      <c r="AE709" t="s">
        <v>74</v>
      </c>
      <c r="AF709" t="s">
        <v>74</v>
      </c>
      <c r="AG709">
        <v>13</v>
      </c>
      <c r="AH709">
        <v>13</v>
      </c>
      <c r="AI709">
        <v>13</v>
      </c>
      <c r="AJ709">
        <v>1</v>
      </c>
      <c r="AK709">
        <v>18</v>
      </c>
      <c r="AL709" t="s">
        <v>1371</v>
      </c>
      <c r="AM709" t="s">
        <v>849</v>
      </c>
      <c r="AN709" t="s">
        <v>1372</v>
      </c>
      <c r="AO709" t="s">
        <v>13638</v>
      </c>
      <c r="AP709" t="s">
        <v>13639</v>
      </c>
      <c r="AQ709" t="s">
        <v>74</v>
      </c>
      <c r="AR709" t="s">
        <v>13640</v>
      </c>
      <c r="AS709" t="s">
        <v>13641</v>
      </c>
      <c r="AT709" t="s">
        <v>11635</v>
      </c>
      <c r="AU709">
        <v>2013</v>
      </c>
      <c r="AV709">
        <v>3</v>
      </c>
      <c r="AW709">
        <v>10</v>
      </c>
      <c r="AX709" t="s">
        <v>74</v>
      </c>
      <c r="AY709" t="s">
        <v>74</v>
      </c>
      <c r="AZ709" t="s">
        <v>74</v>
      </c>
      <c r="BA709" t="s">
        <v>74</v>
      </c>
      <c r="BB709">
        <v>864</v>
      </c>
      <c r="BC709">
        <v>865</v>
      </c>
      <c r="BD709" t="s">
        <v>74</v>
      </c>
      <c r="BE709" t="s">
        <v>13642</v>
      </c>
      <c r="BF709" t="str">
        <f>HYPERLINK("http://dx.doi.org/10.1038/nclimate2014","http://dx.doi.org/10.1038/nclimate2014")</f>
        <v>http://dx.doi.org/10.1038/nclimate2014</v>
      </c>
      <c r="BG709" t="s">
        <v>74</v>
      </c>
      <c r="BH709" t="s">
        <v>74</v>
      </c>
      <c r="BI709">
        <v>3</v>
      </c>
      <c r="BJ709" t="s">
        <v>13643</v>
      </c>
      <c r="BK709" t="s">
        <v>3932</v>
      </c>
      <c r="BL709" t="s">
        <v>3933</v>
      </c>
      <c r="BM709" t="s">
        <v>13644</v>
      </c>
      <c r="BN709" t="s">
        <v>74</v>
      </c>
      <c r="BO709" t="s">
        <v>74</v>
      </c>
      <c r="BP709" t="s">
        <v>74</v>
      </c>
      <c r="BQ709" t="s">
        <v>74</v>
      </c>
      <c r="BR709" t="s">
        <v>103</v>
      </c>
      <c r="BS709" t="s">
        <v>13645</v>
      </c>
      <c r="BT709" t="str">
        <f>HYPERLINK("https%3A%2F%2Fwww.webofscience.com%2Fwos%2Fwoscc%2Ffull-record%2FWOS:000326818800008","View Full Record in Web of Science")</f>
        <v>View Full Record in Web of Science</v>
      </c>
    </row>
    <row r="710" spans="1:72" x14ac:dyDescent="0.15">
      <c r="A710" t="s">
        <v>72</v>
      </c>
      <c r="B710" t="s">
        <v>13646</v>
      </c>
      <c r="C710" t="s">
        <v>74</v>
      </c>
      <c r="D710" t="s">
        <v>74</v>
      </c>
      <c r="E710" t="s">
        <v>74</v>
      </c>
      <c r="F710" t="s">
        <v>13647</v>
      </c>
      <c r="G710" t="s">
        <v>74</v>
      </c>
      <c r="H710" t="s">
        <v>74</v>
      </c>
      <c r="I710" t="s">
        <v>13648</v>
      </c>
      <c r="J710" t="s">
        <v>6033</v>
      </c>
      <c r="K710" t="s">
        <v>74</v>
      </c>
      <c r="L710" t="s">
        <v>74</v>
      </c>
      <c r="M710" t="s">
        <v>78</v>
      </c>
      <c r="N710" t="s">
        <v>79</v>
      </c>
      <c r="O710" t="s">
        <v>74</v>
      </c>
      <c r="P710" t="s">
        <v>74</v>
      </c>
      <c r="Q710" t="s">
        <v>74</v>
      </c>
      <c r="R710" t="s">
        <v>74</v>
      </c>
      <c r="S710" t="s">
        <v>74</v>
      </c>
      <c r="T710" t="s">
        <v>74</v>
      </c>
      <c r="U710" t="s">
        <v>13649</v>
      </c>
      <c r="V710" t="s">
        <v>13650</v>
      </c>
      <c r="W710" t="s">
        <v>13651</v>
      </c>
      <c r="X710" t="s">
        <v>13652</v>
      </c>
      <c r="Y710" t="s">
        <v>13653</v>
      </c>
      <c r="Z710" t="s">
        <v>13654</v>
      </c>
      <c r="AA710" t="s">
        <v>13655</v>
      </c>
      <c r="AB710" t="s">
        <v>13656</v>
      </c>
      <c r="AC710" t="s">
        <v>13657</v>
      </c>
      <c r="AD710" t="s">
        <v>13658</v>
      </c>
      <c r="AE710" t="s">
        <v>13659</v>
      </c>
      <c r="AF710" t="s">
        <v>74</v>
      </c>
      <c r="AG710">
        <v>50</v>
      </c>
      <c r="AH710">
        <v>41</v>
      </c>
      <c r="AI710">
        <v>46</v>
      </c>
      <c r="AJ710">
        <v>3</v>
      </c>
      <c r="AK710">
        <v>72</v>
      </c>
      <c r="AL710" t="s">
        <v>1371</v>
      </c>
      <c r="AM710" t="s">
        <v>921</v>
      </c>
      <c r="AN710" t="s">
        <v>6039</v>
      </c>
      <c r="AO710" t="s">
        <v>6040</v>
      </c>
      <c r="AP710" t="s">
        <v>6041</v>
      </c>
      <c r="AQ710" t="s">
        <v>74</v>
      </c>
      <c r="AR710" t="s">
        <v>6042</v>
      </c>
      <c r="AS710" t="s">
        <v>6043</v>
      </c>
      <c r="AT710" t="s">
        <v>11635</v>
      </c>
      <c r="AU710">
        <v>2013</v>
      </c>
      <c r="AV710">
        <v>6</v>
      </c>
      <c r="AW710">
        <v>10</v>
      </c>
      <c r="AX710" t="s">
        <v>74</v>
      </c>
      <c r="AY710" t="s">
        <v>74</v>
      </c>
      <c r="AZ710" t="s">
        <v>74</v>
      </c>
      <c r="BA710" t="s">
        <v>74</v>
      </c>
      <c r="BB710">
        <v>885</v>
      </c>
      <c r="BC710">
        <v>890</v>
      </c>
      <c r="BD710" t="s">
        <v>74</v>
      </c>
      <c r="BE710" t="s">
        <v>13660</v>
      </c>
      <c r="BF710" t="str">
        <f>HYPERLINK("http://dx.doi.org/10.1038/NGEO1922","http://dx.doi.org/10.1038/NGEO1922")</f>
        <v>http://dx.doi.org/10.1038/NGEO1922</v>
      </c>
      <c r="BG710" t="s">
        <v>74</v>
      </c>
      <c r="BH710" t="s">
        <v>74</v>
      </c>
      <c r="BI710">
        <v>6</v>
      </c>
      <c r="BJ710" t="s">
        <v>337</v>
      </c>
      <c r="BK710" t="s">
        <v>99</v>
      </c>
      <c r="BL710" t="s">
        <v>338</v>
      </c>
      <c r="BM710" t="s">
        <v>12100</v>
      </c>
      <c r="BN710" t="s">
        <v>74</v>
      </c>
      <c r="BO710" t="s">
        <v>831</v>
      </c>
      <c r="BP710" t="s">
        <v>74</v>
      </c>
      <c r="BQ710" t="s">
        <v>74</v>
      </c>
      <c r="BR710" t="s">
        <v>103</v>
      </c>
      <c r="BS710" t="s">
        <v>13661</v>
      </c>
      <c r="BT710" t="str">
        <f>HYPERLINK("https%3A%2F%2Fwww.webofscience.com%2Fwos%2Fwoscc%2Ffull-record%2FWOS:000325003700024","View Full Record in Web of Science")</f>
        <v>View Full Record in Web of Science</v>
      </c>
    </row>
    <row r="711" spans="1:72" x14ac:dyDescent="0.15">
      <c r="A711" t="s">
        <v>881</v>
      </c>
      <c r="B711" t="s">
        <v>13662</v>
      </c>
      <c r="C711" t="s">
        <v>74</v>
      </c>
      <c r="D711" t="s">
        <v>74</v>
      </c>
      <c r="E711" t="s">
        <v>74</v>
      </c>
      <c r="F711" t="s">
        <v>13663</v>
      </c>
      <c r="G711" t="s">
        <v>74</v>
      </c>
      <c r="H711" t="s">
        <v>74</v>
      </c>
      <c r="I711" t="s">
        <v>13664</v>
      </c>
      <c r="J711" t="s">
        <v>13665</v>
      </c>
      <c r="K711" t="s">
        <v>74</v>
      </c>
      <c r="L711" t="s">
        <v>74</v>
      </c>
      <c r="M711" t="s">
        <v>78</v>
      </c>
      <c r="N711" t="s">
        <v>888</v>
      </c>
      <c r="O711" t="s">
        <v>13666</v>
      </c>
      <c r="P711" t="s">
        <v>13667</v>
      </c>
      <c r="Q711" t="s">
        <v>13668</v>
      </c>
      <c r="R711" t="s">
        <v>74</v>
      </c>
      <c r="S711" t="s">
        <v>13669</v>
      </c>
      <c r="T711" t="s">
        <v>13670</v>
      </c>
      <c r="U711" t="s">
        <v>13671</v>
      </c>
      <c r="V711" t="s">
        <v>13672</v>
      </c>
      <c r="W711" t="s">
        <v>13673</v>
      </c>
      <c r="X711" t="s">
        <v>13674</v>
      </c>
      <c r="Y711" t="s">
        <v>13675</v>
      </c>
      <c r="Z711" t="s">
        <v>13676</v>
      </c>
      <c r="AA711" t="s">
        <v>74</v>
      </c>
      <c r="AB711" t="s">
        <v>74</v>
      </c>
      <c r="AC711" t="s">
        <v>74</v>
      </c>
      <c r="AD711" t="s">
        <v>74</v>
      </c>
      <c r="AE711" t="s">
        <v>74</v>
      </c>
      <c r="AF711" t="s">
        <v>74</v>
      </c>
      <c r="AG711">
        <v>49</v>
      </c>
      <c r="AH711">
        <v>1</v>
      </c>
      <c r="AI711">
        <v>1</v>
      </c>
      <c r="AJ711">
        <v>0</v>
      </c>
      <c r="AK711">
        <v>3</v>
      </c>
      <c r="AL711" t="s">
        <v>304</v>
      </c>
      <c r="AM711" t="s">
        <v>305</v>
      </c>
      <c r="AN711" t="s">
        <v>306</v>
      </c>
      <c r="AO711" t="s">
        <v>13677</v>
      </c>
      <c r="AP711" t="s">
        <v>13678</v>
      </c>
      <c r="AQ711" t="s">
        <v>74</v>
      </c>
      <c r="AR711" t="s">
        <v>13679</v>
      </c>
      <c r="AS711" t="s">
        <v>13680</v>
      </c>
      <c r="AT711" t="s">
        <v>12825</v>
      </c>
      <c r="AU711">
        <v>2013</v>
      </c>
      <c r="AV711">
        <v>243</v>
      </c>
      <c r="AW711" t="s">
        <v>74</v>
      </c>
      <c r="AX711" t="s">
        <v>74</v>
      </c>
      <c r="AY711" t="s">
        <v>74</v>
      </c>
      <c r="AZ711" t="s">
        <v>74</v>
      </c>
      <c r="BA711" t="s">
        <v>74</v>
      </c>
      <c r="BB711">
        <v>92</v>
      </c>
      <c r="BC711">
        <v>97</v>
      </c>
      <c r="BD711" t="s">
        <v>74</v>
      </c>
      <c r="BE711" t="s">
        <v>13681</v>
      </c>
      <c r="BF711" t="str">
        <f>HYPERLINK("http://dx.doi.org/10.1016/j.nuclphysbps.2013.09.027","http://dx.doi.org/10.1016/j.nuclphysbps.2013.09.027")</f>
        <v>http://dx.doi.org/10.1016/j.nuclphysbps.2013.09.027</v>
      </c>
      <c r="BG711" t="s">
        <v>74</v>
      </c>
      <c r="BH711" t="s">
        <v>74</v>
      </c>
      <c r="BI711">
        <v>6</v>
      </c>
      <c r="BJ711" t="s">
        <v>13682</v>
      </c>
      <c r="BK711" t="s">
        <v>13683</v>
      </c>
      <c r="BL711" t="s">
        <v>722</v>
      </c>
      <c r="BM711" t="s">
        <v>13684</v>
      </c>
      <c r="BN711" t="s">
        <v>74</v>
      </c>
      <c r="BO711" t="s">
        <v>475</v>
      </c>
      <c r="BP711" t="s">
        <v>74</v>
      </c>
      <c r="BQ711" t="s">
        <v>74</v>
      </c>
      <c r="BR711" t="s">
        <v>103</v>
      </c>
      <c r="BS711" t="s">
        <v>13685</v>
      </c>
      <c r="BT711" t="str">
        <f>HYPERLINK("https%3A%2F%2Fwww.webofscience.com%2Fwos%2Fwoscc%2Ffull-record%2FWOS:000329959000013","View Full Record in Web of Science")</f>
        <v>View Full Record in Web of Science</v>
      </c>
    </row>
    <row r="712" spans="1:72" x14ac:dyDescent="0.15">
      <c r="A712" t="s">
        <v>881</v>
      </c>
      <c r="B712" t="s">
        <v>13686</v>
      </c>
      <c r="C712" t="s">
        <v>74</v>
      </c>
      <c r="D712" t="s">
        <v>74</v>
      </c>
      <c r="E712" t="s">
        <v>74</v>
      </c>
      <c r="F712" t="s">
        <v>13687</v>
      </c>
      <c r="G712" t="s">
        <v>74</v>
      </c>
      <c r="H712" t="s">
        <v>74</v>
      </c>
      <c r="I712" t="s">
        <v>13688</v>
      </c>
      <c r="J712" t="s">
        <v>13665</v>
      </c>
      <c r="K712" t="s">
        <v>74</v>
      </c>
      <c r="L712" t="s">
        <v>74</v>
      </c>
      <c r="M712" t="s">
        <v>78</v>
      </c>
      <c r="N712" t="s">
        <v>888</v>
      </c>
      <c r="O712" t="s">
        <v>13666</v>
      </c>
      <c r="P712" t="s">
        <v>13667</v>
      </c>
      <c r="Q712" t="s">
        <v>13668</v>
      </c>
      <c r="R712" t="s">
        <v>74</v>
      </c>
      <c r="S712" t="s">
        <v>13669</v>
      </c>
      <c r="T712" t="s">
        <v>13689</v>
      </c>
      <c r="U712" t="s">
        <v>74</v>
      </c>
      <c r="V712" t="s">
        <v>13690</v>
      </c>
      <c r="W712" t="s">
        <v>13691</v>
      </c>
      <c r="X712" t="s">
        <v>4851</v>
      </c>
      <c r="Y712" t="s">
        <v>13692</v>
      </c>
      <c r="Z712" t="s">
        <v>13693</v>
      </c>
      <c r="AA712" t="s">
        <v>74</v>
      </c>
      <c r="AB712" t="s">
        <v>13694</v>
      </c>
      <c r="AC712" t="s">
        <v>74</v>
      </c>
      <c r="AD712" t="s">
        <v>74</v>
      </c>
      <c r="AE712" t="s">
        <v>74</v>
      </c>
      <c r="AF712" t="s">
        <v>74</v>
      </c>
      <c r="AG712">
        <v>11</v>
      </c>
      <c r="AH712">
        <v>2</v>
      </c>
      <c r="AI712">
        <v>2</v>
      </c>
      <c r="AJ712">
        <v>1</v>
      </c>
      <c r="AK712">
        <v>2</v>
      </c>
      <c r="AL712" t="s">
        <v>304</v>
      </c>
      <c r="AM712" t="s">
        <v>305</v>
      </c>
      <c r="AN712" t="s">
        <v>306</v>
      </c>
      <c r="AO712" t="s">
        <v>13677</v>
      </c>
      <c r="AP712" t="s">
        <v>13678</v>
      </c>
      <c r="AQ712" t="s">
        <v>74</v>
      </c>
      <c r="AR712" t="s">
        <v>13679</v>
      </c>
      <c r="AS712" t="s">
        <v>13680</v>
      </c>
      <c r="AT712" t="s">
        <v>12825</v>
      </c>
      <c r="AU712">
        <v>2013</v>
      </c>
      <c r="AV712">
        <v>243</v>
      </c>
      <c r="AW712" t="s">
        <v>74</v>
      </c>
      <c r="AX712" t="s">
        <v>74</v>
      </c>
      <c r="AY712" t="s">
        <v>74</v>
      </c>
      <c r="AZ712" t="s">
        <v>74</v>
      </c>
      <c r="BA712" t="s">
        <v>74</v>
      </c>
      <c r="BB712">
        <v>231</v>
      </c>
      <c r="BC712">
        <v>238</v>
      </c>
      <c r="BD712" t="s">
        <v>74</v>
      </c>
      <c r="BE712" t="s">
        <v>13695</v>
      </c>
      <c r="BF712" t="str">
        <f>HYPERLINK("http://dx.doi.org/10.1016/j.nuclphysbps.2013.09.012","http://dx.doi.org/10.1016/j.nuclphysbps.2013.09.012")</f>
        <v>http://dx.doi.org/10.1016/j.nuclphysbps.2013.09.012</v>
      </c>
      <c r="BG712" t="s">
        <v>74</v>
      </c>
      <c r="BH712" t="s">
        <v>74</v>
      </c>
      <c r="BI712">
        <v>8</v>
      </c>
      <c r="BJ712" t="s">
        <v>13682</v>
      </c>
      <c r="BK712" t="s">
        <v>13683</v>
      </c>
      <c r="BL712" t="s">
        <v>722</v>
      </c>
      <c r="BM712" t="s">
        <v>13684</v>
      </c>
      <c r="BN712" t="s">
        <v>74</v>
      </c>
      <c r="BO712" t="s">
        <v>1145</v>
      </c>
      <c r="BP712" t="s">
        <v>74</v>
      </c>
      <c r="BQ712" t="s">
        <v>74</v>
      </c>
      <c r="BR712" t="s">
        <v>103</v>
      </c>
      <c r="BS712" t="s">
        <v>13696</v>
      </c>
      <c r="BT712" t="str">
        <f>HYPERLINK("https%3A%2F%2Fwww.webofscience.com%2Fwos%2Fwoscc%2Ffull-record%2FWOS:000329959000027","View Full Record in Web of Science")</f>
        <v>View Full Record in Web of Science</v>
      </c>
    </row>
    <row r="713" spans="1:72" x14ac:dyDescent="0.15">
      <c r="A713" t="s">
        <v>72</v>
      </c>
      <c r="B713" t="s">
        <v>13697</v>
      </c>
      <c r="C713" t="s">
        <v>74</v>
      </c>
      <c r="D713" t="s">
        <v>74</v>
      </c>
      <c r="E713" t="s">
        <v>74</v>
      </c>
      <c r="F713" t="s">
        <v>13698</v>
      </c>
      <c r="G713" t="s">
        <v>74</v>
      </c>
      <c r="H713" t="s">
        <v>74</v>
      </c>
      <c r="I713" t="s">
        <v>13699</v>
      </c>
      <c r="J713" t="s">
        <v>13700</v>
      </c>
      <c r="K713" t="s">
        <v>74</v>
      </c>
      <c r="L713" t="s">
        <v>74</v>
      </c>
      <c r="M713" t="s">
        <v>78</v>
      </c>
      <c r="N713" t="s">
        <v>79</v>
      </c>
      <c r="O713" t="s">
        <v>74</v>
      </c>
      <c r="P713" t="s">
        <v>74</v>
      </c>
      <c r="Q713" t="s">
        <v>74</v>
      </c>
      <c r="R713" t="s">
        <v>74</v>
      </c>
      <c r="S713" t="s">
        <v>74</v>
      </c>
      <c r="T713" t="s">
        <v>13701</v>
      </c>
      <c r="U713" t="s">
        <v>13702</v>
      </c>
      <c r="V713" t="s">
        <v>13703</v>
      </c>
      <c r="W713" t="s">
        <v>13704</v>
      </c>
      <c r="X713" t="s">
        <v>111</v>
      </c>
      <c r="Y713" t="s">
        <v>13705</v>
      </c>
      <c r="Z713" t="s">
        <v>13706</v>
      </c>
      <c r="AA713" t="s">
        <v>74</v>
      </c>
      <c r="AB713" t="s">
        <v>13707</v>
      </c>
      <c r="AC713" t="s">
        <v>13708</v>
      </c>
      <c r="AD713" t="s">
        <v>13709</v>
      </c>
      <c r="AE713" t="s">
        <v>13710</v>
      </c>
      <c r="AF713" t="s">
        <v>74</v>
      </c>
      <c r="AG713">
        <v>30</v>
      </c>
      <c r="AH713">
        <v>106</v>
      </c>
      <c r="AI713">
        <v>112</v>
      </c>
      <c r="AJ713">
        <v>0</v>
      </c>
      <c r="AK713">
        <v>45</v>
      </c>
      <c r="AL713" t="s">
        <v>6098</v>
      </c>
      <c r="AM713" t="s">
        <v>6099</v>
      </c>
      <c r="AN713" t="s">
        <v>6100</v>
      </c>
      <c r="AO713" t="s">
        <v>13711</v>
      </c>
      <c r="AP713" t="s">
        <v>13712</v>
      </c>
      <c r="AQ713" t="s">
        <v>74</v>
      </c>
      <c r="AR713" t="s">
        <v>13713</v>
      </c>
      <c r="AS713" t="s">
        <v>13714</v>
      </c>
      <c r="AT713" t="s">
        <v>11635</v>
      </c>
      <c r="AU713">
        <v>2013</v>
      </c>
      <c r="AV713">
        <v>63</v>
      </c>
      <c r="AW713" t="s">
        <v>9207</v>
      </c>
      <c r="AX713" t="s">
        <v>74</v>
      </c>
      <c r="AY713" t="s">
        <v>74</v>
      </c>
      <c r="AZ713" t="s">
        <v>74</v>
      </c>
      <c r="BA713" t="s">
        <v>74</v>
      </c>
      <c r="BB713">
        <v>1011</v>
      </c>
      <c r="BC713">
        <v>1026</v>
      </c>
      <c r="BD713" t="s">
        <v>74</v>
      </c>
      <c r="BE713" t="s">
        <v>13715</v>
      </c>
      <c r="BF713" t="str">
        <f>HYPERLINK("http://dx.doi.org/10.1007/s10236-013-0642-0","http://dx.doi.org/10.1007/s10236-013-0642-0")</f>
        <v>http://dx.doi.org/10.1007/s10236-013-0642-0</v>
      </c>
      <c r="BG713" t="s">
        <v>74</v>
      </c>
      <c r="BH713" t="s">
        <v>74</v>
      </c>
      <c r="BI713">
        <v>16</v>
      </c>
      <c r="BJ713" t="s">
        <v>1613</v>
      </c>
      <c r="BK713" t="s">
        <v>99</v>
      </c>
      <c r="BL713" t="s">
        <v>1613</v>
      </c>
      <c r="BM713" t="s">
        <v>13716</v>
      </c>
      <c r="BN713" t="s">
        <v>74</v>
      </c>
      <c r="BO713" t="s">
        <v>1145</v>
      </c>
      <c r="BP713" t="s">
        <v>74</v>
      </c>
      <c r="BQ713" t="s">
        <v>74</v>
      </c>
      <c r="BR713" t="s">
        <v>103</v>
      </c>
      <c r="BS713" t="s">
        <v>13717</v>
      </c>
      <c r="BT713" t="str">
        <f>HYPERLINK("https%3A%2F%2Fwww.webofscience.com%2Fwos%2Fwoscc%2Ffull-record%2FWOS:000326049200001","View Full Record in Web of Science")</f>
        <v>View Full Record in Web of Science</v>
      </c>
    </row>
    <row r="714" spans="1:72" x14ac:dyDescent="0.15">
      <c r="A714" t="s">
        <v>72</v>
      </c>
      <c r="B714" t="s">
        <v>10577</v>
      </c>
      <c r="C714" t="s">
        <v>74</v>
      </c>
      <c r="D714" t="s">
        <v>74</v>
      </c>
      <c r="E714" t="s">
        <v>74</v>
      </c>
      <c r="F714" t="s">
        <v>10578</v>
      </c>
      <c r="G714" t="s">
        <v>74</v>
      </c>
      <c r="H714" t="s">
        <v>74</v>
      </c>
      <c r="I714" t="s">
        <v>13718</v>
      </c>
      <c r="J714" t="s">
        <v>10580</v>
      </c>
      <c r="K714" t="s">
        <v>74</v>
      </c>
      <c r="L714" t="s">
        <v>74</v>
      </c>
      <c r="M714" t="s">
        <v>78</v>
      </c>
      <c r="N714" t="s">
        <v>79</v>
      </c>
      <c r="O714" t="s">
        <v>74</v>
      </c>
      <c r="P714" t="s">
        <v>74</v>
      </c>
      <c r="Q714" t="s">
        <v>74</v>
      </c>
      <c r="R714" t="s">
        <v>74</v>
      </c>
      <c r="S714" t="s">
        <v>74</v>
      </c>
      <c r="T714" t="s">
        <v>13719</v>
      </c>
      <c r="U714" t="s">
        <v>13720</v>
      </c>
      <c r="V714" t="s">
        <v>13721</v>
      </c>
      <c r="W714" t="s">
        <v>10581</v>
      </c>
      <c r="X714" t="s">
        <v>10582</v>
      </c>
      <c r="Y714" t="s">
        <v>2834</v>
      </c>
      <c r="Z714" t="s">
        <v>10583</v>
      </c>
      <c r="AA714" t="s">
        <v>10584</v>
      </c>
      <c r="AB714" t="s">
        <v>10585</v>
      </c>
      <c r="AC714" t="s">
        <v>74</v>
      </c>
      <c r="AD714" t="s">
        <v>74</v>
      </c>
      <c r="AE714" t="s">
        <v>74</v>
      </c>
      <c r="AF714" t="s">
        <v>74</v>
      </c>
      <c r="AG714">
        <v>28</v>
      </c>
      <c r="AH714">
        <v>55</v>
      </c>
      <c r="AI714">
        <v>60</v>
      </c>
      <c r="AJ714">
        <v>2</v>
      </c>
      <c r="AK714">
        <v>77</v>
      </c>
      <c r="AL714" t="s">
        <v>872</v>
      </c>
      <c r="AM714" t="s">
        <v>252</v>
      </c>
      <c r="AN714" t="s">
        <v>873</v>
      </c>
      <c r="AO714" t="s">
        <v>10586</v>
      </c>
      <c r="AP714" t="s">
        <v>13722</v>
      </c>
      <c r="AQ714" t="s">
        <v>74</v>
      </c>
      <c r="AR714" t="s">
        <v>10587</v>
      </c>
      <c r="AS714" t="s">
        <v>10588</v>
      </c>
      <c r="AT714" t="s">
        <v>12056</v>
      </c>
      <c r="AU714">
        <v>2013</v>
      </c>
      <c r="AV714">
        <v>71</v>
      </c>
      <c r="AW714" t="s">
        <v>74</v>
      </c>
      <c r="AX714" t="s">
        <v>74</v>
      </c>
      <c r="AY714" t="s">
        <v>74</v>
      </c>
      <c r="AZ714" t="s">
        <v>74</v>
      </c>
      <c r="BA714" t="s">
        <v>74</v>
      </c>
      <c r="BB714">
        <v>17</v>
      </c>
      <c r="BC714">
        <v>27</v>
      </c>
      <c r="BD714" t="s">
        <v>74</v>
      </c>
      <c r="BE714" t="s">
        <v>13723</v>
      </c>
      <c r="BF714" t="str">
        <f>HYPERLINK("http://dx.doi.org/10.1016/j.oceaneng.2012.12.041","http://dx.doi.org/10.1016/j.oceaneng.2012.12.041")</f>
        <v>http://dx.doi.org/10.1016/j.oceaneng.2012.12.041</v>
      </c>
      <c r="BG714" t="s">
        <v>74</v>
      </c>
      <c r="BH714" t="s">
        <v>74</v>
      </c>
      <c r="BI714">
        <v>11</v>
      </c>
      <c r="BJ714" t="s">
        <v>10590</v>
      </c>
      <c r="BK714" t="s">
        <v>99</v>
      </c>
      <c r="BL714" t="s">
        <v>10591</v>
      </c>
      <c r="BM714" t="s">
        <v>13724</v>
      </c>
      <c r="BN714" t="s">
        <v>74</v>
      </c>
      <c r="BO714" t="s">
        <v>524</v>
      </c>
      <c r="BP714" t="s">
        <v>74</v>
      </c>
      <c r="BQ714" t="s">
        <v>74</v>
      </c>
      <c r="BR714" t="s">
        <v>103</v>
      </c>
      <c r="BS714" t="s">
        <v>13725</v>
      </c>
      <c r="BT714" t="str">
        <f>HYPERLINK("https%3A%2F%2Fwww.webofscience.com%2Fwos%2Fwoscc%2Ffull-record%2FWOS:000323691100003","View Full Record in Web of Science")</f>
        <v>View Full Record in Web of Science</v>
      </c>
    </row>
    <row r="715" spans="1:72" x14ac:dyDescent="0.15">
      <c r="A715" t="s">
        <v>72</v>
      </c>
      <c r="B715" t="s">
        <v>13726</v>
      </c>
      <c r="C715" t="s">
        <v>74</v>
      </c>
      <c r="D715" t="s">
        <v>74</v>
      </c>
      <c r="E715" t="s">
        <v>74</v>
      </c>
      <c r="F715" t="s">
        <v>13727</v>
      </c>
      <c r="G715" t="s">
        <v>74</v>
      </c>
      <c r="H715" t="s">
        <v>74</v>
      </c>
      <c r="I715" t="s">
        <v>13728</v>
      </c>
      <c r="J715" t="s">
        <v>10580</v>
      </c>
      <c r="K715" t="s">
        <v>74</v>
      </c>
      <c r="L715" t="s">
        <v>74</v>
      </c>
      <c r="M715" t="s">
        <v>78</v>
      </c>
      <c r="N715" t="s">
        <v>79</v>
      </c>
      <c r="O715" t="s">
        <v>74</v>
      </c>
      <c r="P715" t="s">
        <v>74</v>
      </c>
      <c r="Q715" t="s">
        <v>74</v>
      </c>
      <c r="R715" t="s">
        <v>74</v>
      </c>
      <c r="S715" t="s">
        <v>74</v>
      </c>
      <c r="T715" t="s">
        <v>13729</v>
      </c>
      <c r="U715" t="s">
        <v>74</v>
      </c>
      <c r="V715" t="s">
        <v>13730</v>
      </c>
      <c r="W715" t="s">
        <v>13731</v>
      </c>
      <c r="X715" t="s">
        <v>13732</v>
      </c>
      <c r="Y715" t="s">
        <v>13733</v>
      </c>
      <c r="Z715" t="s">
        <v>13734</v>
      </c>
      <c r="AA715" t="s">
        <v>13735</v>
      </c>
      <c r="AB715" t="s">
        <v>13736</v>
      </c>
      <c r="AC715" t="s">
        <v>13737</v>
      </c>
      <c r="AD715" t="s">
        <v>13738</v>
      </c>
      <c r="AE715" t="s">
        <v>13739</v>
      </c>
      <c r="AF715" t="s">
        <v>74</v>
      </c>
      <c r="AG715">
        <v>26</v>
      </c>
      <c r="AH715">
        <v>73</v>
      </c>
      <c r="AI715">
        <v>78</v>
      </c>
      <c r="AJ715">
        <v>0</v>
      </c>
      <c r="AK715">
        <v>49</v>
      </c>
      <c r="AL715" t="s">
        <v>872</v>
      </c>
      <c r="AM715" t="s">
        <v>252</v>
      </c>
      <c r="AN715" t="s">
        <v>873</v>
      </c>
      <c r="AO715" t="s">
        <v>10586</v>
      </c>
      <c r="AP715" t="s">
        <v>13722</v>
      </c>
      <c r="AQ715" t="s">
        <v>74</v>
      </c>
      <c r="AR715" t="s">
        <v>10587</v>
      </c>
      <c r="AS715" t="s">
        <v>10588</v>
      </c>
      <c r="AT715" t="s">
        <v>12056</v>
      </c>
      <c r="AU715">
        <v>2013</v>
      </c>
      <c r="AV715">
        <v>71</v>
      </c>
      <c r="AW715" t="s">
        <v>74</v>
      </c>
      <c r="AX715" t="s">
        <v>74</v>
      </c>
      <c r="AY715" t="s">
        <v>74</v>
      </c>
      <c r="AZ715" t="s">
        <v>74</v>
      </c>
      <c r="BA715" t="s">
        <v>74</v>
      </c>
      <c r="BB715">
        <v>122</v>
      </c>
      <c r="BC715">
        <v>129</v>
      </c>
      <c r="BD715" t="s">
        <v>74</v>
      </c>
      <c r="BE715" t="s">
        <v>13740</v>
      </c>
      <c r="BF715" t="str">
        <f>HYPERLINK("http://dx.doi.org/10.1016/j.oceaneng.2013.02.016","http://dx.doi.org/10.1016/j.oceaneng.2013.02.016")</f>
        <v>http://dx.doi.org/10.1016/j.oceaneng.2013.02.016</v>
      </c>
      <c r="BG715" t="s">
        <v>74</v>
      </c>
      <c r="BH715" t="s">
        <v>74</v>
      </c>
      <c r="BI715">
        <v>8</v>
      </c>
      <c r="BJ715" t="s">
        <v>10590</v>
      </c>
      <c r="BK715" t="s">
        <v>99</v>
      </c>
      <c r="BL715" t="s">
        <v>10591</v>
      </c>
      <c r="BM715" t="s">
        <v>13724</v>
      </c>
      <c r="BN715" t="s">
        <v>74</v>
      </c>
      <c r="BO715" t="s">
        <v>74</v>
      </c>
      <c r="BP715" t="s">
        <v>74</v>
      </c>
      <c r="BQ715" t="s">
        <v>74</v>
      </c>
      <c r="BR715" t="s">
        <v>103</v>
      </c>
      <c r="BS715" t="s">
        <v>13741</v>
      </c>
      <c r="BT715" t="str">
        <f>HYPERLINK("https%3A%2F%2Fwww.webofscience.com%2Fwos%2Fwoscc%2Ffull-record%2FWOS:000323691100013","View Full Record in Web of Science")</f>
        <v>View Full Record in Web of Science</v>
      </c>
    </row>
    <row r="716" spans="1:72" x14ac:dyDescent="0.15">
      <c r="A716" t="s">
        <v>72</v>
      </c>
      <c r="B716" t="s">
        <v>13742</v>
      </c>
      <c r="C716" t="s">
        <v>74</v>
      </c>
      <c r="D716" t="s">
        <v>74</v>
      </c>
      <c r="E716" t="s">
        <v>74</v>
      </c>
      <c r="F716" t="s">
        <v>13743</v>
      </c>
      <c r="G716" t="s">
        <v>74</v>
      </c>
      <c r="H716" t="s">
        <v>74</v>
      </c>
      <c r="I716" t="s">
        <v>13744</v>
      </c>
      <c r="J716" t="s">
        <v>6066</v>
      </c>
      <c r="K716" t="s">
        <v>74</v>
      </c>
      <c r="L716" t="s">
        <v>74</v>
      </c>
      <c r="M716" t="s">
        <v>78</v>
      </c>
      <c r="N716" t="s">
        <v>79</v>
      </c>
      <c r="O716" t="s">
        <v>74</v>
      </c>
      <c r="P716" t="s">
        <v>74</v>
      </c>
      <c r="Q716" t="s">
        <v>74</v>
      </c>
      <c r="R716" t="s">
        <v>74</v>
      </c>
      <c r="S716" t="s">
        <v>74</v>
      </c>
      <c r="T716" t="s">
        <v>13745</v>
      </c>
      <c r="U716" t="s">
        <v>13746</v>
      </c>
      <c r="V716" t="s">
        <v>13747</v>
      </c>
      <c r="W716" t="s">
        <v>13748</v>
      </c>
      <c r="X716" t="s">
        <v>13749</v>
      </c>
      <c r="Y716" t="s">
        <v>13750</v>
      </c>
      <c r="Z716" t="s">
        <v>13751</v>
      </c>
      <c r="AA716" t="s">
        <v>13752</v>
      </c>
      <c r="AB716" t="s">
        <v>13753</v>
      </c>
      <c r="AC716" t="s">
        <v>13754</v>
      </c>
      <c r="AD716" t="s">
        <v>13755</v>
      </c>
      <c r="AE716" t="s">
        <v>13756</v>
      </c>
      <c r="AF716" t="s">
        <v>74</v>
      </c>
      <c r="AG716">
        <v>36</v>
      </c>
      <c r="AH716">
        <v>76</v>
      </c>
      <c r="AI716">
        <v>83</v>
      </c>
      <c r="AJ716">
        <v>0</v>
      </c>
      <c r="AK716">
        <v>16</v>
      </c>
      <c r="AL716" t="s">
        <v>783</v>
      </c>
      <c r="AM716" t="s">
        <v>252</v>
      </c>
      <c r="AN716" t="s">
        <v>784</v>
      </c>
      <c r="AO716" t="s">
        <v>6078</v>
      </c>
      <c r="AP716" t="s">
        <v>6079</v>
      </c>
      <c r="AQ716" t="s">
        <v>74</v>
      </c>
      <c r="AR716" t="s">
        <v>6080</v>
      </c>
      <c r="AS716" t="s">
        <v>6081</v>
      </c>
      <c r="AT716" t="s">
        <v>11635</v>
      </c>
      <c r="AU716">
        <v>2013</v>
      </c>
      <c r="AV716">
        <v>70</v>
      </c>
      <c r="AW716" t="s">
        <v>74</v>
      </c>
      <c r="AX716" t="s">
        <v>74</v>
      </c>
      <c r="AY716" t="s">
        <v>74</v>
      </c>
      <c r="AZ716" t="s">
        <v>74</v>
      </c>
      <c r="BA716" t="s">
        <v>74</v>
      </c>
      <c r="BB716">
        <v>166</v>
      </c>
      <c r="BC716">
        <v>173</v>
      </c>
      <c r="BD716" t="s">
        <v>74</v>
      </c>
      <c r="BE716" t="s">
        <v>13757</v>
      </c>
      <c r="BF716" t="str">
        <f>HYPERLINK("http://dx.doi.org/10.1016/j.ocemod.2013.05.012","http://dx.doi.org/10.1016/j.ocemod.2013.05.012")</f>
        <v>http://dx.doi.org/10.1016/j.ocemod.2013.05.012</v>
      </c>
      <c r="BG716" t="s">
        <v>74</v>
      </c>
      <c r="BH716" t="s">
        <v>74</v>
      </c>
      <c r="BI716">
        <v>8</v>
      </c>
      <c r="BJ716" t="s">
        <v>2863</v>
      </c>
      <c r="BK716" t="s">
        <v>99</v>
      </c>
      <c r="BL716" t="s">
        <v>2863</v>
      </c>
      <c r="BM716" t="s">
        <v>13758</v>
      </c>
      <c r="BN716" t="s">
        <v>74</v>
      </c>
      <c r="BO716" t="s">
        <v>74</v>
      </c>
      <c r="BP716" t="s">
        <v>74</v>
      </c>
      <c r="BQ716" t="s">
        <v>74</v>
      </c>
      <c r="BR716" t="s">
        <v>103</v>
      </c>
      <c r="BS716" t="s">
        <v>13759</v>
      </c>
      <c r="BT716" t="str">
        <f>HYPERLINK("https%3A%2F%2Fwww.webofscience.com%2Fwos%2Fwoscc%2Ffull-record%2FWOS:000323776800015","View Full Record in Web of Science")</f>
        <v>View Full Record in Web of Science</v>
      </c>
    </row>
    <row r="717" spans="1:72" x14ac:dyDescent="0.15">
      <c r="A717" t="s">
        <v>72</v>
      </c>
      <c r="B717" t="s">
        <v>13760</v>
      </c>
      <c r="C717" t="s">
        <v>74</v>
      </c>
      <c r="D717" t="s">
        <v>74</v>
      </c>
      <c r="E717" t="s">
        <v>74</v>
      </c>
      <c r="F717" t="s">
        <v>13761</v>
      </c>
      <c r="G717" t="s">
        <v>74</v>
      </c>
      <c r="H717" t="s">
        <v>74</v>
      </c>
      <c r="I717" t="s">
        <v>13762</v>
      </c>
      <c r="J717" t="s">
        <v>4072</v>
      </c>
      <c r="K717" t="s">
        <v>74</v>
      </c>
      <c r="L717" t="s">
        <v>74</v>
      </c>
      <c r="M717" t="s">
        <v>78</v>
      </c>
      <c r="N717" t="s">
        <v>79</v>
      </c>
      <c r="O717" t="s">
        <v>74</v>
      </c>
      <c r="P717" t="s">
        <v>74</v>
      </c>
      <c r="Q717" t="s">
        <v>74</v>
      </c>
      <c r="R717" t="s">
        <v>74</v>
      </c>
      <c r="S717" t="s">
        <v>74</v>
      </c>
      <c r="T717" t="s">
        <v>74</v>
      </c>
      <c r="U717" t="s">
        <v>13763</v>
      </c>
      <c r="V717" t="s">
        <v>13764</v>
      </c>
      <c r="W717" t="s">
        <v>13765</v>
      </c>
      <c r="X717" t="s">
        <v>13766</v>
      </c>
      <c r="Y717" t="s">
        <v>13767</v>
      </c>
      <c r="Z717" t="s">
        <v>13768</v>
      </c>
      <c r="AA717" t="s">
        <v>13769</v>
      </c>
      <c r="AB717" t="s">
        <v>13770</v>
      </c>
      <c r="AC717" t="s">
        <v>13771</v>
      </c>
      <c r="AD717" t="s">
        <v>13772</v>
      </c>
      <c r="AE717" t="s">
        <v>13773</v>
      </c>
      <c r="AF717" t="s">
        <v>74</v>
      </c>
      <c r="AG717">
        <v>115</v>
      </c>
      <c r="AH717">
        <v>155</v>
      </c>
      <c r="AI717">
        <v>165</v>
      </c>
      <c r="AJ717">
        <v>2</v>
      </c>
      <c r="AK717">
        <v>225</v>
      </c>
      <c r="AL717" t="s">
        <v>4084</v>
      </c>
      <c r="AM717" t="s">
        <v>4085</v>
      </c>
      <c r="AN717" t="s">
        <v>4086</v>
      </c>
      <c r="AO717" t="s">
        <v>4087</v>
      </c>
      <c r="AP717" t="s">
        <v>74</v>
      </c>
      <c r="AQ717" t="s">
        <v>74</v>
      </c>
      <c r="AR717" t="s">
        <v>4072</v>
      </c>
      <c r="AS717" t="s">
        <v>4088</v>
      </c>
      <c r="AT717" t="s">
        <v>12056</v>
      </c>
      <c r="AU717">
        <v>2013</v>
      </c>
      <c r="AV717">
        <v>8</v>
      </c>
      <c r="AW717">
        <v>10</v>
      </c>
      <c r="AX717" t="s">
        <v>74</v>
      </c>
      <c r="AY717" t="s">
        <v>74</v>
      </c>
      <c r="AZ717" t="s">
        <v>74</v>
      </c>
      <c r="BA717" t="s">
        <v>74</v>
      </c>
      <c r="BB717" t="s">
        <v>74</v>
      </c>
      <c r="BC717" t="s">
        <v>74</v>
      </c>
      <c r="BD717" t="s">
        <v>13774</v>
      </c>
      <c r="BE717" t="s">
        <v>13775</v>
      </c>
      <c r="BF717" t="str">
        <f>HYPERLINK("http://dx.doi.org/10.1371/journal.pone.0075514","http://dx.doi.org/10.1371/journal.pone.0075514")</f>
        <v>http://dx.doi.org/10.1371/journal.pone.0075514</v>
      </c>
      <c r="BG717" t="s">
        <v>74</v>
      </c>
      <c r="BH717" t="s">
        <v>74</v>
      </c>
      <c r="BI717">
        <v>12</v>
      </c>
      <c r="BJ717" t="s">
        <v>2652</v>
      </c>
      <c r="BK717" t="s">
        <v>99</v>
      </c>
      <c r="BL717" t="s">
        <v>2653</v>
      </c>
      <c r="BM717" t="s">
        <v>13776</v>
      </c>
      <c r="BN717">
        <v>24098389</v>
      </c>
      <c r="BO717" t="s">
        <v>13777</v>
      </c>
      <c r="BP717" t="s">
        <v>74</v>
      </c>
      <c r="BQ717" t="s">
        <v>74</v>
      </c>
      <c r="BR717" t="s">
        <v>103</v>
      </c>
      <c r="BS717" t="s">
        <v>13778</v>
      </c>
      <c r="BT717" t="str">
        <f>HYPERLINK("https%3A%2F%2Fwww.webofscience.com%2Fwos%2Fwoscc%2Ffull-record%2FWOS:000325427100019","View Full Record in Web of Science")</f>
        <v>View Full Record in Web of Science</v>
      </c>
    </row>
    <row r="718" spans="1:72" x14ac:dyDescent="0.15">
      <c r="A718" t="s">
        <v>72</v>
      </c>
      <c r="B718" t="s">
        <v>13779</v>
      </c>
      <c r="C718" t="s">
        <v>74</v>
      </c>
      <c r="D718" t="s">
        <v>74</v>
      </c>
      <c r="E718" t="s">
        <v>74</v>
      </c>
      <c r="F718" t="s">
        <v>13780</v>
      </c>
      <c r="G718" t="s">
        <v>74</v>
      </c>
      <c r="H718" t="s">
        <v>74</v>
      </c>
      <c r="I718" t="s">
        <v>13781</v>
      </c>
      <c r="J718" t="s">
        <v>3167</v>
      </c>
      <c r="K718" t="s">
        <v>74</v>
      </c>
      <c r="L718" t="s">
        <v>74</v>
      </c>
      <c r="M718" t="s">
        <v>78</v>
      </c>
      <c r="N718" t="s">
        <v>79</v>
      </c>
      <c r="O718" t="s">
        <v>74</v>
      </c>
      <c r="P718" t="s">
        <v>74</v>
      </c>
      <c r="Q718" t="s">
        <v>74</v>
      </c>
      <c r="R718" t="s">
        <v>74</v>
      </c>
      <c r="S718" t="s">
        <v>74</v>
      </c>
      <c r="T718" t="s">
        <v>13782</v>
      </c>
      <c r="U718" t="s">
        <v>13783</v>
      </c>
      <c r="V718" t="s">
        <v>13784</v>
      </c>
      <c r="W718" t="s">
        <v>13785</v>
      </c>
      <c r="X718" t="s">
        <v>13786</v>
      </c>
      <c r="Y718" t="s">
        <v>13787</v>
      </c>
      <c r="Z718" t="s">
        <v>13788</v>
      </c>
      <c r="AA718" t="s">
        <v>13789</v>
      </c>
      <c r="AB718" t="s">
        <v>13790</v>
      </c>
      <c r="AC718" t="s">
        <v>13791</v>
      </c>
      <c r="AD718" t="s">
        <v>13792</v>
      </c>
      <c r="AE718" t="s">
        <v>13793</v>
      </c>
      <c r="AF718" t="s">
        <v>74</v>
      </c>
      <c r="AG718">
        <v>60</v>
      </c>
      <c r="AH718">
        <v>16</v>
      </c>
      <c r="AI718">
        <v>16</v>
      </c>
      <c r="AJ718">
        <v>1</v>
      </c>
      <c r="AK718">
        <v>36</v>
      </c>
      <c r="AL718" t="s">
        <v>1067</v>
      </c>
      <c r="AM718" t="s">
        <v>921</v>
      </c>
      <c r="AN718" t="s">
        <v>2690</v>
      </c>
      <c r="AO718" t="s">
        <v>3178</v>
      </c>
      <c r="AP718" t="s">
        <v>74</v>
      </c>
      <c r="AQ718" t="s">
        <v>74</v>
      </c>
      <c r="AR718" t="s">
        <v>3180</v>
      </c>
      <c r="AS718" t="s">
        <v>3181</v>
      </c>
      <c r="AT718" t="s">
        <v>11635</v>
      </c>
      <c r="AU718">
        <v>2013</v>
      </c>
      <c r="AV718">
        <v>36</v>
      </c>
      <c r="AW718">
        <v>10</v>
      </c>
      <c r="AX718" t="s">
        <v>74</v>
      </c>
      <c r="AY718" t="s">
        <v>74</v>
      </c>
      <c r="AZ718" t="s">
        <v>74</v>
      </c>
      <c r="BA718" t="s">
        <v>74</v>
      </c>
      <c r="BB718">
        <v>1401</v>
      </c>
      <c r="BC718">
        <v>1414</v>
      </c>
      <c r="BD718" t="s">
        <v>74</v>
      </c>
      <c r="BE718" t="s">
        <v>13794</v>
      </c>
      <c r="BF718" t="str">
        <f>HYPERLINK("http://dx.doi.org/10.1007/s00300-013-1359-8","http://dx.doi.org/10.1007/s00300-013-1359-8")</f>
        <v>http://dx.doi.org/10.1007/s00300-013-1359-8</v>
      </c>
      <c r="BG718" t="s">
        <v>74</v>
      </c>
      <c r="BH718" t="s">
        <v>74</v>
      </c>
      <c r="BI718">
        <v>14</v>
      </c>
      <c r="BJ718" t="s">
        <v>3183</v>
      </c>
      <c r="BK718" t="s">
        <v>99</v>
      </c>
      <c r="BL718" t="s">
        <v>1050</v>
      </c>
      <c r="BM718" t="s">
        <v>12557</v>
      </c>
      <c r="BN718" t="s">
        <v>74</v>
      </c>
      <c r="BO718" t="s">
        <v>74</v>
      </c>
      <c r="BP718" t="s">
        <v>74</v>
      </c>
      <c r="BQ718" t="s">
        <v>74</v>
      </c>
      <c r="BR718" t="s">
        <v>103</v>
      </c>
      <c r="BS718" t="s">
        <v>13795</v>
      </c>
      <c r="BT718" t="str">
        <f>HYPERLINK("https%3A%2F%2Fwww.webofscience.com%2Fwos%2Fwoscc%2Ffull-record%2FWOS:000324142700002","View Full Record in Web of Science")</f>
        <v>View Full Record in Web of Science</v>
      </c>
    </row>
    <row r="719" spans="1:72" x14ac:dyDescent="0.15">
      <c r="A719" t="s">
        <v>72</v>
      </c>
      <c r="B719" t="s">
        <v>13796</v>
      </c>
      <c r="C719" t="s">
        <v>74</v>
      </c>
      <c r="D719" t="s">
        <v>74</v>
      </c>
      <c r="E719" t="s">
        <v>74</v>
      </c>
      <c r="F719" t="s">
        <v>13797</v>
      </c>
      <c r="G719" t="s">
        <v>74</v>
      </c>
      <c r="H719" t="s">
        <v>74</v>
      </c>
      <c r="I719" t="s">
        <v>13798</v>
      </c>
      <c r="J719" t="s">
        <v>3167</v>
      </c>
      <c r="K719" t="s">
        <v>74</v>
      </c>
      <c r="L719" t="s">
        <v>74</v>
      </c>
      <c r="M719" t="s">
        <v>78</v>
      </c>
      <c r="N719" t="s">
        <v>79</v>
      </c>
      <c r="O719" t="s">
        <v>74</v>
      </c>
      <c r="P719" t="s">
        <v>74</v>
      </c>
      <c r="Q719" t="s">
        <v>74</v>
      </c>
      <c r="R719" t="s">
        <v>74</v>
      </c>
      <c r="S719" t="s">
        <v>74</v>
      </c>
      <c r="T719" t="s">
        <v>13799</v>
      </c>
      <c r="U719" t="s">
        <v>13800</v>
      </c>
      <c r="V719" t="s">
        <v>13801</v>
      </c>
      <c r="W719" t="s">
        <v>13802</v>
      </c>
      <c r="X719" t="s">
        <v>13803</v>
      </c>
      <c r="Y719" t="s">
        <v>13804</v>
      </c>
      <c r="Z719" t="s">
        <v>13805</v>
      </c>
      <c r="AA719" t="s">
        <v>13806</v>
      </c>
      <c r="AB719" t="s">
        <v>13807</v>
      </c>
      <c r="AC719" t="s">
        <v>13808</v>
      </c>
      <c r="AD719" t="s">
        <v>13809</v>
      </c>
      <c r="AE719" t="s">
        <v>13810</v>
      </c>
      <c r="AF719" t="s">
        <v>74</v>
      </c>
      <c r="AG719">
        <v>47</v>
      </c>
      <c r="AH719">
        <v>36</v>
      </c>
      <c r="AI719">
        <v>39</v>
      </c>
      <c r="AJ719">
        <v>0</v>
      </c>
      <c r="AK719">
        <v>50</v>
      </c>
      <c r="AL719" t="s">
        <v>1067</v>
      </c>
      <c r="AM719" t="s">
        <v>921</v>
      </c>
      <c r="AN719" t="s">
        <v>2690</v>
      </c>
      <c r="AO719" t="s">
        <v>3178</v>
      </c>
      <c r="AP719" t="s">
        <v>3179</v>
      </c>
      <c r="AQ719" t="s">
        <v>74</v>
      </c>
      <c r="AR719" t="s">
        <v>3180</v>
      </c>
      <c r="AS719" t="s">
        <v>3181</v>
      </c>
      <c r="AT719" t="s">
        <v>11635</v>
      </c>
      <c r="AU719">
        <v>2013</v>
      </c>
      <c r="AV719">
        <v>36</v>
      </c>
      <c r="AW719">
        <v>10</v>
      </c>
      <c r="AX719" t="s">
        <v>74</v>
      </c>
      <c r="AY719" t="s">
        <v>74</v>
      </c>
      <c r="AZ719" t="s">
        <v>74</v>
      </c>
      <c r="BA719" t="s">
        <v>74</v>
      </c>
      <c r="BB719">
        <v>1473</v>
      </c>
      <c r="BC719">
        <v>1481</v>
      </c>
      <c r="BD719" t="s">
        <v>74</v>
      </c>
      <c r="BE719" t="s">
        <v>13811</v>
      </c>
      <c r="BF719" t="str">
        <f>HYPERLINK("http://dx.doi.org/10.1007/s00300-013-1367-8","http://dx.doi.org/10.1007/s00300-013-1367-8")</f>
        <v>http://dx.doi.org/10.1007/s00300-013-1367-8</v>
      </c>
      <c r="BG719" t="s">
        <v>74</v>
      </c>
      <c r="BH719" t="s">
        <v>74</v>
      </c>
      <c r="BI719">
        <v>9</v>
      </c>
      <c r="BJ719" t="s">
        <v>3183</v>
      </c>
      <c r="BK719" t="s">
        <v>99</v>
      </c>
      <c r="BL719" t="s">
        <v>1050</v>
      </c>
      <c r="BM719" t="s">
        <v>12557</v>
      </c>
      <c r="BN719" t="s">
        <v>74</v>
      </c>
      <c r="BO719" t="s">
        <v>74</v>
      </c>
      <c r="BP719" t="s">
        <v>74</v>
      </c>
      <c r="BQ719" t="s">
        <v>74</v>
      </c>
      <c r="BR719" t="s">
        <v>103</v>
      </c>
      <c r="BS719" t="s">
        <v>13812</v>
      </c>
      <c r="BT719" t="str">
        <f>HYPERLINK("https%3A%2F%2Fwww.webofscience.com%2Fwos%2Fwoscc%2Ffull-record%2FWOS:000324142700008","View Full Record in Web of Science")</f>
        <v>View Full Record in Web of Science</v>
      </c>
    </row>
    <row r="720" spans="1:72" x14ac:dyDescent="0.15">
      <c r="A720" t="s">
        <v>72</v>
      </c>
      <c r="B720" t="s">
        <v>13813</v>
      </c>
      <c r="C720" t="s">
        <v>74</v>
      </c>
      <c r="D720" t="s">
        <v>74</v>
      </c>
      <c r="E720" t="s">
        <v>74</v>
      </c>
      <c r="F720" t="s">
        <v>13814</v>
      </c>
      <c r="G720" t="s">
        <v>74</v>
      </c>
      <c r="H720" t="s">
        <v>74</v>
      </c>
      <c r="I720" t="s">
        <v>13815</v>
      </c>
      <c r="J720" t="s">
        <v>3228</v>
      </c>
      <c r="K720" t="s">
        <v>74</v>
      </c>
      <c r="L720" t="s">
        <v>74</v>
      </c>
      <c r="M720" t="s">
        <v>78</v>
      </c>
      <c r="N720" t="s">
        <v>79</v>
      </c>
      <c r="O720" t="s">
        <v>74</v>
      </c>
      <c r="P720" t="s">
        <v>74</v>
      </c>
      <c r="Q720" t="s">
        <v>74</v>
      </c>
      <c r="R720" t="s">
        <v>74</v>
      </c>
      <c r="S720" t="s">
        <v>74</v>
      </c>
      <c r="T720" t="s">
        <v>74</v>
      </c>
      <c r="U720" t="s">
        <v>13816</v>
      </c>
      <c r="V720" t="s">
        <v>13817</v>
      </c>
      <c r="W720" t="s">
        <v>13818</v>
      </c>
      <c r="X720" t="s">
        <v>13819</v>
      </c>
      <c r="Y720" t="s">
        <v>13820</v>
      </c>
      <c r="Z720" t="s">
        <v>13821</v>
      </c>
      <c r="AA720" t="s">
        <v>74</v>
      </c>
      <c r="AB720" t="s">
        <v>13822</v>
      </c>
      <c r="AC720" t="s">
        <v>13823</v>
      </c>
      <c r="AD720" t="s">
        <v>13824</v>
      </c>
      <c r="AE720" t="s">
        <v>13825</v>
      </c>
      <c r="AF720" t="s">
        <v>74</v>
      </c>
      <c r="AG720">
        <v>33</v>
      </c>
      <c r="AH720">
        <v>12</v>
      </c>
      <c r="AI720">
        <v>13</v>
      </c>
      <c r="AJ720">
        <v>0</v>
      </c>
      <c r="AK720">
        <v>31</v>
      </c>
      <c r="AL720" t="s">
        <v>1748</v>
      </c>
      <c r="AM720" t="s">
        <v>921</v>
      </c>
      <c r="AN720" t="s">
        <v>3232</v>
      </c>
      <c r="AO720" t="s">
        <v>3233</v>
      </c>
      <c r="AP720" t="s">
        <v>3234</v>
      </c>
      <c r="AQ720" t="s">
        <v>74</v>
      </c>
      <c r="AR720" t="s">
        <v>3235</v>
      </c>
      <c r="AS720" t="s">
        <v>3236</v>
      </c>
      <c r="AT720" t="s">
        <v>11635</v>
      </c>
      <c r="AU720">
        <v>2013</v>
      </c>
      <c r="AV720">
        <v>49</v>
      </c>
      <c r="AW720">
        <v>251</v>
      </c>
      <c r="AX720" t="s">
        <v>74</v>
      </c>
      <c r="AY720" t="s">
        <v>74</v>
      </c>
      <c r="AZ720" t="s">
        <v>74</v>
      </c>
      <c r="BA720" t="s">
        <v>74</v>
      </c>
      <c r="BB720">
        <v>328</v>
      </c>
      <c r="BC720">
        <v>347</v>
      </c>
      <c r="BD720" t="s">
        <v>74</v>
      </c>
      <c r="BE720" t="s">
        <v>13826</v>
      </c>
      <c r="BF720" t="str">
        <f>HYPERLINK("http://dx.doi.org/10.1017/S0032247412000721","http://dx.doi.org/10.1017/S0032247412000721")</f>
        <v>http://dx.doi.org/10.1017/S0032247412000721</v>
      </c>
      <c r="BG720" t="s">
        <v>74</v>
      </c>
      <c r="BH720" t="s">
        <v>74</v>
      </c>
      <c r="BI720">
        <v>20</v>
      </c>
      <c r="BJ720" t="s">
        <v>3238</v>
      </c>
      <c r="BK720" t="s">
        <v>99</v>
      </c>
      <c r="BL720" t="s">
        <v>420</v>
      </c>
      <c r="BM720" t="s">
        <v>12674</v>
      </c>
      <c r="BN720" t="s">
        <v>74</v>
      </c>
      <c r="BO720" t="s">
        <v>74</v>
      </c>
      <c r="BP720" t="s">
        <v>74</v>
      </c>
      <c r="BQ720" t="s">
        <v>74</v>
      </c>
      <c r="BR720" t="s">
        <v>103</v>
      </c>
      <c r="BS720" t="s">
        <v>13827</v>
      </c>
      <c r="BT720" t="str">
        <f>HYPERLINK("https%3A%2F%2Fwww.webofscience.com%2Fwos%2Fwoscc%2Ffull-record%2FWOS:000324397000002","View Full Record in Web of Science")</f>
        <v>View Full Record in Web of Science</v>
      </c>
    </row>
    <row r="721" spans="1:72" x14ac:dyDescent="0.15">
      <c r="A721" t="s">
        <v>72</v>
      </c>
      <c r="B721" t="s">
        <v>13828</v>
      </c>
      <c r="C721" t="s">
        <v>74</v>
      </c>
      <c r="D721" t="s">
        <v>74</v>
      </c>
      <c r="E721" t="s">
        <v>74</v>
      </c>
      <c r="F721" t="s">
        <v>13829</v>
      </c>
      <c r="G721" t="s">
        <v>74</v>
      </c>
      <c r="H721" t="s">
        <v>74</v>
      </c>
      <c r="I721" t="s">
        <v>13830</v>
      </c>
      <c r="J721" t="s">
        <v>13831</v>
      </c>
      <c r="K721" t="s">
        <v>74</v>
      </c>
      <c r="L721" t="s">
        <v>74</v>
      </c>
      <c r="M721" t="s">
        <v>78</v>
      </c>
      <c r="N721" t="s">
        <v>79</v>
      </c>
      <c r="O721" t="s">
        <v>74</v>
      </c>
      <c r="P721" t="s">
        <v>74</v>
      </c>
      <c r="Q721" t="s">
        <v>74</v>
      </c>
      <c r="R721" t="s">
        <v>74</v>
      </c>
      <c r="S721" t="s">
        <v>74</v>
      </c>
      <c r="T721" t="s">
        <v>13832</v>
      </c>
      <c r="U721" t="s">
        <v>13833</v>
      </c>
      <c r="V721" t="s">
        <v>13834</v>
      </c>
      <c r="W721" t="s">
        <v>13835</v>
      </c>
      <c r="X721" t="s">
        <v>13836</v>
      </c>
      <c r="Y721" t="s">
        <v>13837</v>
      </c>
      <c r="Z721" t="s">
        <v>13838</v>
      </c>
      <c r="AA721" t="s">
        <v>13839</v>
      </c>
      <c r="AB721" t="s">
        <v>13840</v>
      </c>
      <c r="AC721" t="s">
        <v>13841</v>
      </c>
      <c r="AD721" t="s">
        <v>13842</v>
      </c>
      <c r="AE721" t="s">
        <v>13843</v>
      </c>
      <c r="AF721" t="s">
        <v>74</v>
      </c>
      <c r="AG721">
        <v>47</v>
      </c>
      <c r="AH721">
        <v>12</v>
      </c>
      <c r="AI721">
        <v>14</v>
      </c>
      <c r="AJ721">
        <v>3</v>
      </c>
      <c r="AK721">
        <v>130</v>
      </c>
      <c r="AL721" t="s">
        <v>410</v>
      </c>
      <c r="AM721" t="s">
        <v>411</v>
      </c>
      <c r="AN721" t="s">
        <v>412</v>
      </c>
      <c r="AO721" t="s">
        <v>13844</v>
      </c>
      <c r="AP721" t="s">
        <v>13845</v>
      </c>
      <c r="AQ721" t="s">
        <v>74</v>
      </c>
      <c r="AR721" t="s">
        <v>13846</v>
      </c>
      <c r="AS721" t="s">
        <v>13847</v>
      </c>
      <c r="AT721" t="s">
        <v>11635</v>
      </c>
      <c r="AU721">
        <v>2013</v>
      </c>
      <c r="AV721">
        <v>55</v>
      </c>
      <c r="AW721">
        <v>4</v>
      </c>
      <c r="AX721" t="s">
        <v>74</v>
      </c>
      <c r="AY721" t="s">
        <v>74</v>
      </c>
      <c r="AZ721" t="s">
        <v>74</v>
      </c>
      <c r="BA721" t="s">
        <v>74</v>
      </c>
      <c r="BB721">
        <v>557</v>
      </c>
      <c r="BC721">
        <v>565</v>
      </c>
      <c r="BD721" t="s">
        <v>74</v>
      </c>
      <c r="BE721" t="s">
        <v>13848</v>
      </c>
      <c r="BF721" t="str">
        <f>HYPERLINK("http://dx.doi.org/10.1007/s10144-013-0386-1","http://dx.doi.org/10.1007/s10144-013-0386-1")</f>
        <v>http://dx.doi.org/10.1007/s10144-013-0386-1</v>
      </c>
      <c r="BG721" t="s">
        <v>74</v>
      </c>
      <c r="BH721" t="s">
        <v>74</v>
      </c>
      <c r="BI721">
        <v>9</v>
      </c>
      <c r="BJ721" t="s">
        <v>419</v>
      </c>
      <c r="BK721" t="s">
        <v>99</v>
      </c>
      <c r="BL721" t="s">
        <v>420</v>
      </c>
      <c r="BM721" t="s">
        <v>13849</v>
      </c>
      <c r="BN721" t="s">
        <v>74</v>
      </c>
      <c r="BO721" t="s">
        <v>74</v>
      </c>
      <c r="BP721" t="s">
        <v>74</v>
      </c>
      <c r="BQ721" t="s">
        <v>74</v>
      </c>
      <c r="BR721" t="s">
        <v>103</v>
      </c>
      <c r="BS721" t="s">
        <v>13850</v>
      </c>
      <c r="BT721" t="str">
        <f>HYPERLINK("https%3A%2F%2Fwww.webofscience.com%2Fwos%2Fwoscc%2Ffull-record%2FWOS:000325133100005","View Full Record in Web of Science")</f>
        <v>View Full Record in Web of Science</v>
      </c>
    </row>
    <row r="722" spans="1:72" x14ac:dyDescent="0.15">
      <c r="A722" t="s">
        <v>72</v>
      </c>
      <c r="B722" t="s">
        <v>13851</v>
      </c>
      <c r="C722" t="s">
        <v>74</v>
      </c>
      <c r="D722" t="s">
        <v>74</v>
      </c>
      <c r="E722" t="s">
        <v>74</v>
      </c>
      <c r="F722" t="s">
        <v>13852</v>
      </c>
      <c r="G722" t="s">
        <v>74</v>
      </c>
      <c r="H722" t="s">
        <v>74</v>
      </c>
      <c r="I722" t="s">
        <v>13853</v>
      </c>
      <c r="J722" t="s">
        <v>13854</v>
      </c>
      <c r="K722" t="s">
        <v>74</v>
      </c>
      <c r="L722" t="s">
        <v>74</v>
      </c>
      <c r="M722" t="s">
        <v>78</v>
      </c>
      <c r="N722" t="s">
        <v>79</v>
      </c>
      <c r="O722" t="s">
        <v>74</v>
      </c>
      <c r="P722" t="s">
        <v>74</v>
      </c>
      <c r="Q722" t="s">
        <v>74</v>
      </c>
      <c r="R722" t="s">
        <v>74</v>
      </c>
      <c r="S722" t="s">
        <v>74</v>
      </c>
      <c r="T722" t="s">
        <v>13855</v>
      </c>
      <c r="U722" t="s">
        <v>13856</v>
      </c>
      <c r="V722" t="s">
        <v>13857</v>
      </c>
      <c r="W722" t="s">
        <v>13858</v>
      </c>
      <c r="X722" t="s">
        <v>13859</v>
      </c>
      <c r="Y722" t="s">
        <v>13860</v>
      </c>
      <c r="Z722" t="s">
        <v>13861</v>
      </c>
      <c r="AA722" t="s">
        <v>13862</v>
      </c>
      <c r="AB722" t="s">
        <v>13863</v>
      </c>
      <c r="AC722" t="s">
        <v>13864</v>
      </c>
      <c r="AD722" t="s">
        <v>13865</v>
      </c>
      <c r="AE722" t="s">
        <v>13866</v>
      </c>
      <c r="AF722" t="s">
        <v>74</v>
      </c>
      <c r="AG722">
        <v>62</v>
      </c>
      <c r="AH722">
        <v>38</v>
      </c>
      <c r="AI722">
        <v>43</v>
      </c>
      <c r="AJ722">
        <v>1</v>
      </c>
      <c r="AK722">
        <v>14</v>
      </c>
      <c r="AL722" t="s">
        <v>304</v>
      </c>
      <c r="AM722" t="s">
        <v>305</v>
      </c>
      <c r="AN722" t="s">
        <v>306</v>
      </c>
      <c r="AO722" t="s">
        <v>13867</v>
      </c>
      <c r="AP722" t="s">
        <v>13868</v>
      </c>
      <c r="AQ722" t="s">
        <v>74</v>
      </c>
      <c r="AR722" t="s">
        <v>13869</v>
      </c>
      <c r="AS722" t="s">
        <v>13870</v>
      </c>
      <c r="AT722" t="s">
        <v>11635</v>
      </c>
      <c r="AU722">
        <v>2013</v>
      </c>
      <c r="AV722">
        <v>236</v>
      </c>
      <c r="AW722" t="s">
        <v>74</v>
      </c>
      <c r="AX722" t="s">
        <v>74</v>
      </c>
      <c r="AY722" t="s">
        <v>74</v>
      </c>
      <c r="AZ722" t="s">
        <v>74</v>
      </c>
      <c r="BA722" t="s">
        <v>74</v>
      </c>
      <c r="BB722">
        <v>31</v>
      </c>
      <c r="BC722">
        <v>45</v>
      </c>
      <c r="BD722" t="s">
        <v>74</v>
      </c>
      <c r="BE722" t="s">
        <v>13871</v>
      </c>
      <c r="BF722" t="str">
        <f>HYPERLINK("http://dx.doi.org/10.1016/j.precamres.2013.07.006","http://dx.doi.org/10.1016/j.precamres.2013.07.006")</f>
        <v>http://dx.doi.org/10.1016/j.precamres.2013.07.006</v>
      </c>
      <c r="BG722" t="s">
        <v>74</v>
      </c>
      <c r="BH722" t="s">
        <v>74</v>
      </c>
      <c r="BI722">
        <v>15</v>
      </c>
      <c r="BJ722" t="s">
        <v>337</v>
      </c>
      <c r="BK722" t="s">
        <v>99</v>
      </c>
      <c r="BL722" t="s">
        <v>338</v>
      </c>
      <c r="BM722" t="s">
        <v>13872</v>
      </c>
      <c r="BN722" t="s">
        <v>74</v>
      </c>
      <c r="BO722" t="s">
        <v>10009</v>
      </c>
      <c r="BP722" t="s">
        <v>74</v>
      </c>
      <c r="BQ722" t="s">
        <v>74</v>
      </c>
      <c r="BR722" t="s">
        <v>103</v>
      </c>
      <c r="BS722" t="s">
        <v>13873</v>
      </c>
      <c r="BT722" t="str">
        <f>HYPERLINK("https%3A%2F%2Fwww.webofscience.com%2Fwos%2Fwoscc%2Ffull-record%2FWOS:000328806100003","View Full Record in Web of Science")</f>
        <v>View Full Record in Web of Science</v>
      </c>
    </row>
    <row r="723" spans="1:72" x14ac:dyDescent="0.15">
      <c r="A723" t="s">
        <v>72</v>
      </c>
      <c r="B723" t="s">
        <v>13874</v>
      </c>
      <c r="C723" t="s">
        <v>74</v>
      </c>
      <c r="D723" t="s">
        <v>74</v>
      </c>
      <c r="E723" t="s">
        <v>74</v>
      </c>
      <c r="F723" t="s">
        <v>13875</v>
      </c>
      <c r="G723" t="s">
        <v>74</v>
      </c>
      <c r="H723" t="s">
        <v>74</v>
      </c>
      <c r="I723" t="s">
        <v>13876</v>
      </c>
      <c r="J723" t="s">
        <v>3405</v>
      </c>
      <c r="K723" t="s">
        <v>74</v>
      </c>
      <c r="L723" t="s">
        <v>74</v>
      </c>
      <c r="M723" t="s">
        <v>78</v>
      </c>
      <c r="N723" t="s">
        <v>79</v>
      </c>
      <c r="O723" t="s">
        <v>74</v>
      </c>
      <c r="P723" t="s">
        <v>74</v>
      </c>
      <c r="Q723" t="s">
        <v>74</v>
      </c>
      <c r="R723" t="s">
        <v>74</v>
      </c>
      <c r="S723" t="s">
        <v>74</v>
      </c>
      <c r="T723" t="s">
        <v>13877</v>
      </c>
      <c r="U723" t="s">
        <v>13878</v>
      </c>
      <c r="V723" t="s">
        <v>13879</v>
      </c>
      <c r="W723" t="s">
        <v>13880</v>
      </c>
      <c r="X723" t="s">
        <v>13881</v>
      </c>
      <c r="Y723" t="s">
        <v>13882</v>
      </c>
      <c r="Z723" t="s">
        <v>13883</v>
      </c>
      <c r="AA723" t="s">
        <v>13884</v>
      </c>
      <c r="AB723" t="s">
        <v>13885</v>
      </c>
      <c r="AC723" t="s">
        <v>13886</v>
      </c>
      <c r="AD723" t="s">
        <v>13887</v>
      </c>
      <c r="AE723" t="s">
        <v>13888</v>
      </c>
      <c r="AF723" t="s">
        <v>74</v>
      </c>
      <c r="AG723">
        <v>92</v>
      </c>
      <c r="AH723">
        <v>73</v>
      </c>
      <c r="AI723">
        <v>73</v>
      </c>
      <c r="AJ723">
        <v>0</v>
      </c>
      <c r="AK723">
        <v>42</v>
      </c>
      <c r="AL723" t="s">
        <v>872</v>
      </c>
      <c r="AM723" t="s">
        <v>252</v>
      </c>
      <c r="AN723" t="s">
        <v>873</v>
      </c>
      <c r="AO723" t="s">
        <v>3416</v>
      </c>
      <c r="AP723" t="s">
        <v>74</v>
      </c>
      <c r="AQ723" t="s">
        <v>74</v>
      </c>
      <c r="AR723" t="s">
        <v>3417</v>
      </c>
      <c r="AS723" t="s">
        <v>3418</v>
      </c>
      <c r="AT723" t="s">
        <v>12056</v>
      </c>
      <c r="AU723">
        <v>2013</v>
      </c>
      <c r="AV723">
        <v>77</v>
      </c>
      <c r="AW723" t="s">
        <v>74</v>
      </c>
      <c r="AX723" t="s">
        <v>74</v>
      </c>
      <c r="AY723" t="s">
        <v>74</v>
      </c>
      <c r="AZ723" t="s">
        <v>74</v>
      </c>
      <c r="BA723" t="s">
        <v>74</v>
      </c>
      <c r="BB723">
        <v>190</v>
      </c>
      <c r="BC723">
        <v>209</v>
      </c>
      <c r="BD723" t="s">
        <v>74</v>
      </c>
      <c r="BE723" t="s">
        <v>13889</v>
      </c>
      <c r="BF723" t="str">
        <f>HYPERLINK("http://dx.doi.org/10.1016/j.quascirev.2013.06.003","http://dx.doi.org/10.1016/j.quascirev.2013.06.003")</f>
        <v>http://dx.doi.org/10.1016/j.quascirev.2013.06.003</v>
      </c>
      <c r="BG723" t="s">
        <v>74</v>
      </c>
      <c r="BH723" t="s">
        <v>74</v>
      </c>
      <c r="BI723">
        <v>20</v>
      </c>
      <c r="BJ723" t="s">
        <v>98</v>
      </c>
      <c r="BK723" t="s">
        <v>99</v>
      </c>
      <c r="BL723" t="s">
        <v>100</v>
      </c>
      <c r="BM723" t="s">
        <v>12393</v>
      </c>
      <c r="BN723" t="s">
        <v>74</v>
      </c>
      <c r="BO723" t="s">
        <v>450</v>
      </c>
      <c r="BP723" t="s">
        <v>74</v>
      </c>
      <c r="BQ723" t="s">
        <v>74</v>
      </c>
      <c r="BR723" t="s">
        <v>103</v>
      </c>
      <c r="BS723" t="s">
        <v>13890</v>
      </c>
      <c r="BT723" t="str">
        <f>HYPERLINK("https%3A%2F%2Fwww.webofscience.com%2Fwos%2Fwoscc%2Ffull-record%2FWOS:000325235600016","View Full Record in Web of Science")</f>
        <v>View Full Record in Web of Science</v>
      </c>
    </row>
    <row r="724" spans="1:72" x14ac:dyDescent="0.15">
      <c r="A724" t="s">
        <v>72</v>
      </c>
      <c r="B724" t="s">
        <v>13891</v>
      </c>
      <c r="C724" t="s">
        <v>74</v>
      </c>
      <c r="D724" t="s">
        <v>74</v>
      </c>
      <c r="E724" t="s">
        <v>74</v>
      </c>
      <c r="F724" t="s">
        <v>13892</v>
      </c>
      <c r="G724" t="s">
        <v>74</v>
      </c>
      <c r="H724" t="s">
        <v>74</v>
      </c>
      <c r="I724" t="s">
        <v>13893</v>
      </c>
      <c r="J724" t="s">
        <v>3405</v>
      </c>
      <c r="K724" t="s">
        <v>74</v>
      </c>
      <c r="L724" t="s">
        <v>74</v>
      </c>
      <c r="M724" t="s">
        <v>78</v>
      </c>
      <c r="N724" t="s">
        <v>79</v>
      </c>
      <c r="O724" t="s">
        <v>74</v>
      </c>
      <c r="P724" t="s">
        <v>74</v>
      </c>
      <c r="Q724" t="s">
        <v>74</v>
      </c>
      <c r="R724" t="s">
        <v>74</v>
      </c>
      <c r="S724" t="s">
        <v>74</v>
      </c>
      <c r="T724" t="s">
        <v>13894</v>
      </c>
      <c r="U724" t="s">
        <v>13895</v>
      </c>
      <c r="V724" t="s">
        <v>13896</v>
      </c>
      <c r="W724" t="s">
        <v>13897</v>
      </c>
      <c r="X724" t="s">
        <v>13898</v>
      </c>
      <c r="Y724" t="s">
        <v>13899</v>
      </c>
      <c r="Z724" t="s">
        <v>13900</v>
      </c>
      <c r="AA724" t="s">
        <v>13901</v>
      </c>
      <c r="AB724" t="s">
        <v>13902</v>
      </c>
      <c r="AC724" t="s">
        <v>13903</v>
      </c>
      <c r="AD724" t="s">
        <v>13904</v>
      </c>
      <c r="AE724" t="s">
        <v>13905</v>
      </c>
      <c r="AF724" t="s">
        <v>74</v>
      </c>
      <c r="AG724">
        <v>75</v>
      </c>
      <c r="AH724">
        <v>40</v>
      </c>
      <c r="AI724">
        <v>43</v>
      </c>
      <c r="AJ724">
        <v>2</v>
      </c>
      <c r="AK724">
        <v>29</v>
      </c>
      <c r="AL724" t="s">
        <v>872</v>
      </c>
      <c r="AM724" t="s">
        <v>252</v>
      </c>
      <c r="AN724" t="s">
        <v>873</v>
      </c>
      <c r="AO724" t="s">
        <v>3416</v>
      </c>
      <c r="AP724" t="s">
        <v>74</v>
      </c>
      <c r="AQ724" t="s">
        <v>74</v>
      </c>
      <c r="AR724" t="s">
        <v>3417</v>
      </c>
      <c r="AS724" t="s">
        <v>3418</v>
      </c>
      <c r="AT724" t="s">
        <v>12056</v>
      </c>
      <c r="AU724">
        <v>2013</v>
      </c>
      <c r="AV724">
        <v>77</v>
      </c>
      <c r="AW724" t="s">
        <v>74</v>
      </c>
      <c r="AX724" t="s">
        <v>74</v>
      </c>
      <c r="AY724" t="s">
        <v>74</v>
      </c>
      <c r="AZ724" t="s">
        <v>74</v>
      </c>
      <c r="BA724" t="s">
        <v>74</v>
      </c>
      <c r="BB724">
        <v>210</v>
      </c>
      <c r="BC724">
        <v>227</v>
      </c>
      <c r="BD724" t="s">
        <v>74</v>
      </c>
      <c r="BE724" t="s">
        <v>13906</v>
      </c>
      <c r="BF724" t="str">
        <f>HYPERLINK("http://dx.doi.org/10.1016/j.quascirev.2013.06.028","http://dx.doi.org/10.1016/j.quascirev.2013.06.028")</f>
        <v>http://dx.doi.org/10.1016/j.quascirev.2013.06.028</v>
      </c>
      <c r="BG724" t="s">
        <v>74</v>
      </c>
      <c r="BH724" t="s">
        <v>74</v>
      </c>
      <c r="BI724">
        <v>18</v>
      </c>
      <c r="BJ724" t="s">
        <v>98</v>
      </c>
      <c r="BK724" t="s">
        <v>99</v>
      </c>
      <c r="BL724" t="s">
        <v>100</v>
      </c>
      <c r="BM724" t="s">
        <v>12393</v>
      </c>
      <c r="BN724" t="s">
        <v>74</v>
      </c>
      <c r="BO724" t="s">
        <v>4262</v>
      </c>
      <c r="BP724" t="s">
        <v>74</v>
      </c>
      <c r="BQ724" t="s">
        <v>74</v>
      </c>
      <c r="BR724" t="s">
        <v>103</v>
      </c>
      <c r="BS724" t="s">
        <v>13907</v>
      </c>
      <c r="BT724" t="str">
        <f>HYPERLINK("https%3A%2F%2Fwww.webofscience.com%2Fwos%2Fwoscc%2Ffull-record%2FWOS:000325235600017","View Full Record in Web of Science")</f>
        <v>View Full Record in Web of Science</v>
      </c>
    </row>
    <row r="725" spans="1:72" x14ac:dyDescent="0.15">
      <c r="A725" t="s">
        <v>72</v>
      </c>
      <c r="B725" t="s">
        <v>13908</v>
      </c>
      <c r="C725" t="s">
        <v>74</v>
      </c>
      <c r="D725" t="s">
        <v>74</v>
      </c>
      <c r="E725" t="s">
        <v>74</v>
      </c>
      <c r="F725" t="s">
        <v>13909</v>
      </c>
      <c r="G725" t="s">
        <v>74</v>
      </c>
      <c r="H725" t="s">
        <v>74</v>
      </c>
      <c r="I725" t="s">
        <v>13910</v>
      </c>
      <c r="J725" t="s">
        <v>3657</v>
      </c>
      <c r="K725" t="s">
        <v>74</v>
      </c>
      <c r="L725" t="s">
        <v>74</v>
      </c>
      <c r="M725" t="s">
        <v>78</v>
      </c>
      <c r="N725" t="s">
        <v>79</v>
      </c>
      <c r="O725" t="s">
        <v>74</v>
      </c>
      <c r="P725" t="s">
        <v>74</v>
      </c>
      <c r="Q725" t="s">
        <v>74</v>
      </c>
      <c r="R725" t="s">
        <v>74</v>
      </c>
      <c r="S725" t="s">
        <v>74</v>
      </c>
      <c r="T725" t="s">
        <v>13911</v>
      </c>
      <c r="U725" t="s">
        <v>13912</v>
      </c>
      <c r="V725" t="s">
        <v>13913</v>
      </c>
      <c r="W725" t="s">
        <v>13914</v>
      </c>
      <c r="X725" t="s">
        <v>13915</v>
      </c>
      <c r="Y725" t="s">
        <v>13916</v>
      </c>
      <c r="Z725" t="s">
        <v>13917</v>
      </c>
      <c r="AA725" t="s">
        <v>74</v>
      </c>
      <c r="AB725" t="s">
        <v>13918</v>
      </c>
      <c r="AC725" t="s">
        <v>13919</v>
      </c>
      <c r="AD725" t="s">
        <v>13920</v>
      </c>
      <c r="AE725" t="s">
        <v>13921</v>
      </c>
      <c r="AF725" t="s">
        <v>74</v>
      </c>
      <c r="AG725">
        <v>28</v>
      </c>
      <c r="AH725">
        <v>48</v>
      </c>
      <c r="AI725">
        <v>49</v>
      </c>
      <c r="AJ725">
        <v>6</v>
      </c>
      <c r="AK725">
        <v>102</v>
      </c>
      <c r="AL725" t="s">
        <v>872</v>
      </c>
      <c r="AM725" t="s">
        <v>252</v>
      </c>
      <c r="AN725" t="s">
        <v>873</v>
      </c>
      <c r="AO725" t="s">
        <v>3670</v>
      </c>
      <c r="AP725" t="s">
        <v>74</v>
      </c>
      <c r="AQ725" t="s">
        <v>74</v>
      </c>
      <c r="AR725" t="s">
        <v>3672</v>
      </c>
      <c r="AS725" t="s">
        <v>3673</v>
      </c>
      <c r="AT725" t="s">
        <v>11635</v>
      </c>
      <c r="AU725">
        <v>2013</v>
      </c>
      <c r="AV725">
        <v>65</v>
      </c>
      <c r="AW725" t="s">
        <v>74</v>
      </c>
      <c r="AX725" t="s">
        <v>74</v>
      </c>
      <c r="AY725" t="s">
        <v>74</v>
      </c>
      <c r="AZ725" t="s">
        <v>74</v>
      </c>
      <c r="BA725" t="s">
        <v>74</v>
      </c>
      <c r="BB725">
        <v>180</v>
      </c>
      <c r="BC725">
        <v>185</v>
      </c>
      <c r="BD725" t="s">
        <v>74</v>
      </c>
      <c r="BE725" t="s">
        <v>13922</v>
      </c>
      <c r="BF725" t="str">
        <f>HYPERLINK("http://dx.doi.org/10.1016/j.soilbio.2013.05.016","http://dx.doi.org/10.1016/j.soilbio.2013.05.016")</f>
        <v>http://dx.doi.org/10.1016/j.soilbio.2013.05.016</v>
      </c>
      <c r="BG725" t="s">
        <v>74</v>
      </c>
      <c r="BH725" t="s">
        <v>74</v>
      </c>
      <c r="BI725">
        <v>6</v>
      </c>
      <c r="BJ725" t="s">
        <v>3675</v>
      </c>
      <c r="BK725" t="s">
        <v>99</v>
      </c>
      <c r="BL725" t="s">
        <v>3676</v>
      </c>
      <c r="BM725" t="s">
        <v>13923</v>
      </c>
      <c r="BN725" t="s">
        <v>74</v>
      </c>
      <c r="BO725" t="s">
        <v>74</v>
      </c>
      <c r="BP725" t="s">
        <v>74</v>
      </c>
      <c r="BQ725" t="s">
        <v>74</v>
      </c>
      <c r="BR725" t="s">
        <v>103</v>
      </c>
      <c r="BS725" t="s">
        <v>13924</v>
      </c>
      <c r="BT725" t="str">
        <f>HYPERLINK("https%3A%2F%2Fwww.webofscience.com%2Fwos%2Fwoscc%2Ffull-record%2FWOS:000323686800022","View Full Record in Web of Science")</f>
        <v>View Full Record in Web of Science</v>
      </c>
    </row>
    <row r="726" spans="1:72" x14ac:dyDescent="0.15">
      <c r="A726" t="s">
        <v>72</v>
      </c>
      <c r="B726" t="s">
        <v>13925</v>
      </c>
      <c r="C726" t="s">
        <v>74</v>
      </c>
      <c r="D726" t="s">
        <v>74</v>
      </c>
      <c r="E726" t="s">
        <v>74</v>
      </c>
      <c r="F726" t="s">
        <v>13926</v>
      </c>
      <c r="G726" t="s">
        <v>74</v>
      </c>
      <c r="H726" t="s">
        <v>74</v>
      </c>
      <c r="I726" t="s">
        <v>13927</v>
      </c>
      <c r="J726" t="s">
        <v>13928</v>
      </c>
      <c r="K726" t="s">
        <v>74</v>
      </c>
      <c r="L726" t="s">
        <v>74</v>
      </c>
      <c r="M726" t="s">
        <v>78</v>
      </c>
      <c r="N726" t="s">
        <v>79</v>
      </c>
      <c r="O726" t="s">
        <v>74</v>
      </c>
      <c r="P726" t="s">
        <v>74</v>
      </c>
      <c r="Q726" t="s">
        <v>74</v>
      </c>
      <c r="R726" t="s">
        <v>74</v>
      </c>
      <c r="S726" t="s">
        <v>74</v>
      </c>
      <c r="T726" t="s">
        <v>13929</v>
      </c>
      <c r="U726" t="s">
        <v>13930</v>
      </c>
      <c r="V726" t="s">
        <v>13931</v>
      </c>
      <c r="W726" t="s">
        <v>13932</v>
      </c>
      <c r="X726" t="s">
        <v>74</v>
      </c>
      <c r="Y726" t="s">
        <v>13933</v>
      </c>
      <c r="Z726" t="s">
        <v>13934</v>
      </c>
      <c r="AA726" t="s">
        <v>74</v>
      </c>
      <c r="AB726" t="s">
        <v>74</v>
      </c>
      <c r="AC726" t="s">
        <v>13935</v>
      </c>
      <c r="AD726" t="s">
        <v>13935</v>
      </c>
      <c r="AE726" t="s">
        <v>13936</v>
      </c>
      <c r="AF726" t="s">
        <v>74</v>
      </c>
      <c r="AG726">
        <v>30</v>
      </c>
      <c r="AH726">
        <v>1</v>
      </c>
      <c r="AI726">
        <v>1</v>
      </c>
      <c r="AJ726">
        <v>1</v>
      </c>
      <c r="AK726">
        <v>7</v>
      </c>
      <c r="AL726" t="s">
        <v>13937</v>
      </c>
      <c r="AM726" t="s">
        <v>13938</v>
      </c>
      <c r="AN726" t="s">
        <v>13939</v>
      </c>
      <c r="AO726" t="s">
        <v>13940</v>
      </c>
      <c r="AP726" t="s">
        <v>74</v>
      </c>
      <c r="AQ726" t="s">
        <v>74</v>
      </c>
      <c r="AR726" t="s">
        <v>13941</v>
      </c>
      <c r="AS726" t="s">
        <v>13942</v>
      </c>
      <c r="AT726" t="s">
        <v>11635</v>
      </c>
      <c r="AU726">
        <v>2013</v>
      </c>
      <c r="AV726">
        <v>87</v>
      </c>
      <c r="AW726">
        <v>10</v>
      </c>
      <c r="AX726" t="s">
        <v>74</v>
      </c>
      <c r="AY726" t="s">
        <v>74</v>
      </c>
      <c r="AZ726" t="s">
        <v>74</v>
      </c>
      <c r="BA726" t="s">
        <v>74</v>
      </c>
      <c r="BB726">
        <v>947</v>
      </c>
      <c r="BC726">
        <v>951</v>
      </c>
      <c r="BD726" t="s">
        <v>74</v>
      </c>
      <c r="BE726" t="s">
        <v>13943</v>
      </c>
      <c r="BF726" t="str">
        <f>HYPERLINK("http://dx.doi.org/10.1007/s12648-013-0325-1","http://dx.doi.org/10.1007/s12648-013-0325-1")</f>
        <v>http://dx.doi.org/10.1007/s12648-013-0325-1</v>
      </c>
      <c r="BG726" t="s">
        <v>74</v>
      </c>
      <c r="BH726" t="s">
        <v>74</v>
      </c>
      <c r="BI726">
        <v>5</v>
      </c>
      <c r="BJ726" t="s">
        <v>721</v>
      </c>
      <c r="BK726" t="s">
        <v>99</v>
      </c>
      <c r="BL726" t="s">
        <v>722</v>
      </c>
      <c r="BM726" t="s">
        <v>13944</v>
      </c>
      <c r="BN726" t="s">
        <v>74</v>
      </c>
      <c r="BO726" t="s">
        <v>74</v>
      </c>
      <c r="BP726" t="s">
        <v>74</v>
      </c>
      <c r="BQ726" t="s">
        <v>74</v>
      </c>
      <c r="BR726" t="s">
        <v>103</v>
      </c>
      <c r="BS726" t="s">
        <v>13945</v>
      </c>
      <c r="BT726" t="str">
        <f>HYPERLINK("https%3A%2F%2Fwww.webofscience.com%2Fwos%2Fwoscc%2Ffull-record%2FWOS:000323738000001","View Full Record in Web of Science")</f>
        <v>View Full Record in Web of Science</v>
      </c>
    </row>
    <row r="727" spans="1:72" x14ac:dyDescent="0.15">
      <c r="A727" t="s">
        <v>72</v>
      </c>
      <c r="B727" t="s">
        <v>13946</v>
      </c>
      <c r="C727" t="s">
        <v>74</v>
      </c>
      <c r="D727" t="s">
        <v>74</v>
      </c>
      <c r="E727" t="s">
        <v>74</v>
      </c>
      <c r="F727" t="s">
        <v>13947</v>
      </c>
      <c r="G727" t="s">
        <v>74</v>
      </c>
      <c r="H727" t="s">
        <v>74</v>
      </c>
      <c r="I727" t="s">
        <v>13948</v>
      </c>
      <c r="J727" t="s">
        <v>6066</v>
      </c>
      <c r="K727" t="s">
        <v>74</v>
      </c>
      <c r="L727" t="s">
        <v>74</v>
      </c>
      <c r="M727" t="s">
        <v>78</v>
      </c>
      <c r="N727" t="s">
        <v>79</v>
      </c>
      <c r="O727" t="s">
        <v>74</v>
      </c>
      <c r="P727" t="s">
        <v>74</v>
      </c>
      <c r="Q727" t="s">
        <v>74</v>
      </c>
      <c r="R727" t="s">
        <v>74</v>
      </c>
      <c r="S727" t="s">
        <v>74</v>
      </c>
      <c r="T727" t="s">
        <v>13949</v>
      </c>
      <c r="U727" t="s">
        <v>13950</v>
      </c>
      <c r="V727" t="s">
        <v>13951</v>
      </c>
      <c r="W727" t="s">
        <v>13952</v>
      </c>
      <c r="X727" t="s">
        <v>13953</v>
      </c>
      <c r="Y727" t="s">
        <v>13954</v>
      </c>
      <c r="Z727" t="s">
        <v>13955</v>
      </c>
      <c r="AA727" t="s">
        <v>74</v>
      </c>
      <c r="AB727" t="s">
        <v>13956</v>
      </c>
      <c r="AC727" t="s">
        <v>13957</v>
      </c>
      <c r="AD727" t="s">
        <v>13958</v>
      </c>
      <c r="AE727" t="s">
        <v>13959</v>
      </c>
      <c r="AF727" t="s">
        <v>74</v>
      </c>
      <c r="AG727">
        <v>50</v>
      </c>
      <c r="AH727">
        <v>110</v>
      </c>
      <c r="AI727">
        <v>120</v>
      </c>
      <c r="AJ727">
        <v>1</v>
      </c>
      <c r="AK727">
        <v>32</v>
      </c>
      <c r="AL727" t="s">
        <v>783</v>
      </c>
      <c r="AM727" t="s">
        <v>252</v>
      </c>
      <c r="AN727" t="s">
        <v>784</v>
      </c>
      <c r="AO727" t="s">
        <v>6078</v>
      </c>
      <c r="AP727" t="s">
        <v>6079</v>
      </c>
      <c r="AQ727" t="s">
        <v>74</v>
      </c>
      <c r="AR727" t="s">
        <v>6080</v>
      </c>
      <c r="AS727" t="s">
        <v>6081</v>
      </c>
      <c r="AT727" t="s">
        <v>11635</v>
      </c>
      <c r="AU727">
        <v>2013</v>
      </c>
      <c r="AV727">
        <v>70</v>
      </c>
      <c r="AW727" t="s">
        <v>74</v>
      </c>
      <c r="AX727" t="s">
        <v>74</v>
      </c>
      <c r="AY727" t="s">
        <v>74</v>
      </c>
      <c r="AZ727" t="s">
        <v>74</v>
      </c>
      <c r="BA727" t="s">
        <v>74</v>
      </c>
      <c r="BB727">
        <v>207</v>
      </c>
      <c r="BC727">
        <v>220</v>
      </c>
      <c r="BD727" t="s">
        <v>74</v>
      </c>
      <c r="BE727" t="s">
        <v>13960</v>
      </c>
      <c r="BF727" t="str">
        <f>HYPERLINK("http://dx.doi.org/10.1016/j.ocemod.2012.10.005","http://dx.doi.org/10.1016/j.ocemod.2012.10.005")</f>
        <v>http://dx.doi.org/10.1016/j.ocemod.2012.10.005</v>
      </c>
      <c r="BG727" t="s">
        <v>74</v>
      </c>
      <c r="BH727" t="s">
        <v>74</v>
      </c>
      <c r="BI727">
        <v>14</v>
      </c>
      <c r="BJ727" t="s">
        <v>2863</v>
      </c>
      <c r="BK727" t="s">
        <v>99</v>
      </c>
      <c r="BL727" t="s">
        <v>2863</v>
      </c>
      <c r="BM727" t="s">
        <v>13758</v>
      </c>
      <c r="BN727" t="s">
        <v>74</v>
      </c>
      <c r="BO727" t="s">
        <v>74</v>
      </c>
      <c r="BP727" t="s">
        <v>74</v>
      </c>
      <c r="BQ727" t="s">
        <v>74</v>
      </c>
      <c r="BR727" t="s">
        <v>103</v>
      </c>
      <c r="BS727" t="s">
        <v>13961</v>
      </c>
      <c r="BT727" t="str">
        <f>HYPERLINK("https%3A%2F%2Fwww.webofscience.com%2Fwos%2Fwoscc%2Ffull-record%2FWOS:000323776800018","View Full Record in Web of Science")</f>
        <v>View Full Record in Web of Science</v>
      </c>
    </row>
    <row r="728" spans="1:72" x14ac:dyDescent="0.15">
      <c r="A728" t="s">
        <v>72</v>
      </c>
      <c r="B728" t="s">
        <v>13962</v>
      </c>
      <c r="C728" t="s">
        <v>74</v>
      </c>
      <c r="D728" t="s">
        <v>74</v>
      </c>
      <c r="E728" t="s">
        <v>74</v>
      </c>
      <c r="F728" t="s">
        <v>13963</v>
      </c>
      <c r="G728" t="s">
        <v>74</v>
      </c>
      <c r="H728" t="s">
        <v>74</v>
      </c>
      <c r="I728" t="s">
        <v>13964</v>
      </c>
      <c r="J728" t="s">
        <v>13965</v>
      </c>
      <c r="K728" t="s">
        <v>74</v>
      </c>
      <c r="L728" t="s">
        <v>74</v>
      </c>
      <c r="M728" t="s">
        <v>78</v>
      </c>
      <c r="N728" t="s">
        <v>79</v>
      </c>
      <c r="O728" t="s">
        <v>74</v>
      </c>
      <c r="P728" t="s">
        <v>74</v>
      </c>
      <c r="Q728" t="s">
        <v>74</v>
      </c>
      <c r="R728" t="s">
        <v>74</v>
      </c>
      <c r="S728" t="s">
        <v>74</v>
      </c>
      <c r="T728" t="s">
        <v>13966</v>
      </c>
      <c r="U728" t="s">
        <v>13967</v>
      </c>
      <c r="V728" t="s">
        <v>13968</v>
      </c>
      <c r="W728" t="s">
        <v>13969</v>
      </c>
      <c r="X728" t="s">
        <v>13970</v>
      </c>
      <c r="Y728" t="s">
        <v>13971</v>
      </c>
      <c r="Z728" t="s">
        <v>13972</v>
      </c>
      <c r="AA728" t="s">
        <v>13973</v>
      </c>
      <c r="AB728" t="s">
        <v>13974</v>
      </c>
      <c r="AC728" t="s">
        <v>13975</v>
      </c>
      <c r="AD728" t="s">
        <v>13976</v>
      </c>
      <c r="AE728" t="s">
        <v>13977</v>
      </c>
      <c r="AF728" t="s">
        <v>74</v>
      </c>
      <c r="AG728">
        <v>27</v>
      </c>
      <c r="AH728">
        <v>9</v>
      </c>
      <c r="AI728">
        <v>12</v>
      </c>
      <c r="AJ728">
        <v>0</v>
      </c>
      <c r="AK728">
        <v>25</v>
      </c>
      <c r="AL728" t="s">
        <v>1067</v>
      </c>
      <c r="AM728" t="s">
        <v>921</v>
      </c>
      <c r="AN728" t="s">
        <v>2493</v>
      </c>
      <c r="AO728" t="s">
        <v>13978</v>
      </c>
      <c r="AP728" t="s">
        <v>13979</v>
      </c>
      <c r="AQ728" t="s">
        <v>74</v>
      </c>
      <c r="AR728" t="s">
        <v>13980</v>
      </c>
      <c r="AS728" t="s">
        <v>13981</v>
      </c>
      <c r="AT728" t="s">
        <v>11635</v>
      </c>
      <c r="AU728">
        <v>2013</v>
      </c>
      <c r="AV728">
        <v>31</v>
      </c>
      <c r="AW728">
        <v>5</v>
      </c>
      <c r="AX728" t="s">
        <v>74</v>
      </c>
      <c r="AY728" t="s">
        <v>74</v>
      </c>
      <c r="AZ728" t="s">
        <v>74</v>
      </c>
      <c r="BA728" t="s">
        <v>74</v>
      </c>
      <c r="BB728">
        <v>1068</v>
      </c>
      <c r="BC728">
        <v>1076</v>
      </c>
      <c r="BD728" t="s">
        <v>74</v>
      </c>
      <c r="BE728" t="s">
        <v>13982</v>
      </c>
      <c r="BF728" t="str">
        <f>HYPERLINK("http://dx.doi.org/10.1007/s11105-013-0572-5","http://dx.doi.org/10.1007/s11105-013-0572-5")</f>
        <v>http://dx.doi.org/10.1007/s11105-013-0572-5</v>
      </c>
      <c r="BG728" t="s">
        <v>74</v>
      </c>
      <c r="BH728" t="s">
        <v>74</v>
      </c>
      <c r="BI728">
        <v>9</v>
      </c>
      <c r="BJ728" t="s">
        <v>13983</v>
      </c>
      <c r="BK728" t="s">
        <v>99</v>
      </c>
      <c r="BL728" t="s">
        <v>3127</v>
      </c>
      <c r="BM728" t="s">
        <v>13984</v>
      </c>
      <c r="BN728" t="s">
        <v>74</v>
      </c>
      <c r="BO728" t="s">
        <v>74</v>
      </c>
      <c r="BP728" t="s">
        <v>74</v>
      </c>
      <c r="BQ728" t="s">
        <v>74</v>
      </c>
      <c r="BR728" t="s">
        <v>103</v>
      </c>
      <c r="BS728" t="s">
        <v>13985</v>
      </c>
      <c r="BT728" t="str">
        <f>HYPERLINK("https%3A%2F%2Fwww.webofscience.com%2Fwos%2Fwoscc%2Ffull-record%2FWOS:000323669900002","View Full Record in Web of Science")</f>
        <v>View Full Record in Web of Science</v>
      </c>
    </row>
    <row r="729" spans="1:72" x14ac:dyDescent="0.15">
      <c r="A729" t="s">
        <v>72</v>
      </c>
      <c r="B729" t="s">
        <v>13986</v>
      </c>
      <c r="C729" t="s">
        <v>74</v>
      </c>
      <c r="D729" t="s">
        <v>74</v>
      </c>
      <c r="E729" t="s">
        <v>74</v>
      </c>
      <c r="F729" t="s">
        <v>13987</v>
      </c>
      <c r="G729" t="s">
        <v>74</v>
      </c>
      <c r="H729" t="s">
        <v>74</v>
      </c>
      <c r="I729" t="s">
        <v>13988</v>
      </c>
      <c r="J729" t="s">
        <v>13989</v>
      </c>
      <c r="K729" t="s">
        <v>74</v>
      </c>
      <c r="L729" t="s">
        <v>74</v>
      </c>
      <c r="M729" t="s">
        <v>78</v>
      </c>
      <c r="N729" t="s">
        <v>79</v>
      </c>
      <c r="O729" t="s">
        <v>74</v>
      </c>
      <c r="P729" t="s">
        <v>74</v>
      </c>
      <c r="Q729" t="s">
        <v>74</v>
      </c>
      <c r="R729" t="s">
        <v>74</v>
      </c>
      <c r="S729" t="s">
        <v>74</v>
      </c>
      <c r="T729" t="s">
        <v>13990</v>
      </c>
      <c r="U729" t="s">
        <v>13991</v>
      </c>
      <c r="V729" t="s">
        <v>13992</v>
      </c>
      <c r="W729" t="s">
        <v>13993</v>
      </c>
      <c r="X729" t="s">
        <v>13994</v>
      </c>
      <c r="Y729" t="s">
        <v>13995</v>
      </c>
      <c r="Z729" t="s">
        <v>13996</v>
      </c>
      <c r="AA729" t="s">
        <v>13997</v>
      </c>
      <c r="AB729" t="s">
        <v>13998</v>
      </c>
      <c r="AC729" t="s">
        <v>13999</v>
      </c>
      <c r="AD729" t="s">
        <v>14000</v>
      </c>
      <c r="AE729" t="s">
        <v>14001</v>
      </c>
      <c r="AF729" t="s">
        <v>74</v>
      </c>
      <c r="AG729">
        <v>68</v>
      </c>
      <c r="AH729">
        <v>72</v>
      </c>
      <c r="AI729">
        <v>79</v>
      </c>
      <c r="AJ729">
        <v>0</v>
      </c>
      <c r="AK729">
        <v>119</v>
      </c>
      <c r="AL729" t="s">
        <v>624</v>
      </c>
      <c r="AM729" t="s">
        <v>411</v>
      </c>
      <c r="AN729" t="s">
        <v>412</v>
      </c>
      <c r="AO729" t="s">
        <v>14002</v>
      </c>
      <c r="AP729" t="s">
        <v>74</v>
      </c>
      <c r="AQ729" t="s">
        <v>74</v>
      </c>
      <c r="AR729" t="s">
        <v>14003</v>
      </c>
      <c r="AS729" t="s">
        <v>14004</v>
      </c>
      <c r="AT729" t="s">
        <v>11635</v>
      </c>
      <c r="AU729">
        <v>2013</v>
      </c>
      <c r="AV729">
        <v>200</v>
      </c>
      <c r="AW729">
        <v>1</v>
      </c>
      <c r="AX729" t="s">
        <v>74</v>
      </c>
      <c r="AY729" t="s">
        <v>74</v>
      </c>
      <c r="AZ729" t="s">
        <v>74</v>
      </c>
      <c r="BA729" t="s">
        <v>74</v>
      </c>
      <c r="BB729">
        <v>241</v>
      </c>
      <c r="BC729">
        <v>250</v>
      </c>
      <c r="BD729" t="s">
        <v>74</v>
      </c>
      <c r="BE729" t="s">
        <v>14005</v>
      </c>
      <c r="BF729" t="str">
        <f>HYPERLINK("http://dx.doi.org/10.1111/nph.12349","http://dx.doi.org/10.1111/nph.12349")</f>
        <v>http://dx.doi.org/10.1111/nph.12349</v>
      </c>
      <c r="BG729" t="s">
        <v>74</v>
      </c>
      <c r="BH729" t="s">
        <v>74</v>
      </c>
      <c r="BI729">
        <v>10</v>
      </c>
      <c r="BJ729" t="s">
        <v>614</v>
      </c>
      <c r="BK729" t="s">
        <v>99</v>
      </c>
      <c r="BL729" t="s">
        <v>614</v>
      </c>
      <c r="BM729" t="s">
        <v>14006</v>
      </c>
      <c r="BN729">
        <v>23738758</v>
      </c>
      <c r="BO729" t="s">
        <v>475</v>
      </c>
      <c r="BP729" t="s">
        <v>74</v>
      </c>
      <c r="BQ729" t="s">
        <v>74</v>
      </c>
      <c r="BR729" t="s">
        <v>103</v>
      </c>
      <c r="BS729" t="s">
        <v>14007</v>
      </c>
      <c r="BT729" t="str">
        <f>HYPERLINK("https%3A%2F%2Fwww.webofscience.com%2Fwos%2Fwoscc%2Ffull-record%2FWOS:000323475000025","View Full Record in Web of Science")</f>
        <v>View Full Record in Web of Science</v>
      </c>
    </row>
    <row r="730" spans="1:72" x14ac:dyDescent="0.15">
      <c r="A730" t="s">
        <v>72</v>
      </c>
      <c r="B730" t="s">
        <v>14008</v>
      </c>
      <c r="C730" t="s">
        <v>74</v>
      </c>
      <c r="D730" t="s">
        <v>74</v>
      </c>
      <c r="E730" t="s">
        <v>74</v>
      </c>
      <c r="F730" t="s">
        <v>14009</v>
      </c>
      <c r="G730" t="s">
        <v>74</v>
      </c>
      <c r="H730" t="s">
        <v>74</v>
      </c>
      <c r="I730" t="s">
        <v>14010</v>
      </c>
      <c r="J730" t="s">
        <v>2578</v>
      </c>
      <c r="K730" t="s">
        <v>74</v>
      </c>
      <c r="L730" t="s">
        <v>74</v>
      </c>
      <c r="M730" t="s">
        <v>78</v>
      </c>
      <c r="N730" t="s">
        <v>79</v>
      </c>
      <c r="O730" t="s">
        <v>74</v>
      </c>
      <c r="P730" t="s">
        <v>74</v>
      </c>
      <c r="Q730" t="s">
        <v>74</v>
      </c>
      <c r="R730" t="s">
        <v>74</v>
      </c>
      <c r="S730" t="s">
        <v>74</v>
      </c>
      <c r="T730" t="s">
        <v>14011</v>
      </c>
      <c r="U730" t="s">
        <v>14012</v>
      </c>
      <c r="V730" t="s">
        <v>14013</v>
      </c>
      <c r="W730" t="s">
        <v>14014</v>
      </c>
      <c r="X730" t="s">
        <v>14015</v>
      </c>
      <c r="Y730" t="s">
        <v>14016</v>
      </c>
      <c r="Z730" t="s">
        <v>14017</v>
      </c>
      <c r="AA730" t="s">
        <v>14018</v>
      </c>
      <c r="AB730" t="s">
        <v>14019</v>
      </c>
      <c r="AC730" t="s">
        <v>14020</v>
      </c>
      <c r="AD730" t="s">
        <v>14021</v>
      </c>
      <c r="AE730" t="s">
        <v>14022</v>
      </c>
      <c r="AF730" t="s">
        <v>74</v>
      </c>
      <c r="AG730">
        <v>50</v>
      </c>
      <c r="AH730">
        <v>15</v>
      </c>
      <c r="AI730">
        <v>17</v>
      </c>
      <c r="AJ730">
        <v>1</v>
      </c>
      <c r="AK730">
        <v>44</v>
      </c>
      <c r="AL730" t="s">
        <v>2588</v>
      </c>
      <c r="AM730" t="s">
        <v>2470</v>
      </c>
      <c r="AN730" t="s">
        <v>2589</v>
      </c>
      <c r="AO730" t="s">
        <v>2590</v>
      </c>
      <c r="AP730" t="s">
        <v>2591</v>
      </c>
      <c r="AQ730" t="s">
        <v>74</v>
      </c>
      <c r="AR730" t="s">
        <v>2592</v>
      </c>
      <c r="AS730" t="s">
        <v>2593</v>
      </c>
      <c r="AT730" t="s">
        <v>11635</v>
      </c>
      <c r="AU730">
        <v>2013</v>
      </c>
      <c r="AV730">
        <v>69</v>
      </c>
      <c r="AW730">
        <v>1</v>
      </c>
      <c r="AX730" t="s">
        <v>74</v>
      </c>
      <c r="AY730" t="s">
        <v>74</v>
      </c>
      <c r="AZ730" t="s">
        <v>74</v>
      </c>
      <c r="BA730" t="s">
        <v>74</v>
      </c>
      <c r="BB730">
        <v>299</v>
      </c>
      <c r="BC730">
        <v>305</v>
      </c>
      <c r="BD730" t="s">
        <v>74</v>
      </c>
      <c r="BE730" t="s">
        <v>14023</v>
      </c>
      <c r="BF730" t="str">
        <f>HYPERLINK("http://dx.doi.org/10.1016/j.ympev.2013.05.026","http://dx.doi.org/10.1016/j.ympev.2013.05.026")</f>
        <v>http://dx.doi.org/10.1016/j.ympev.2013.05.026</v>
      </c>
      <c r="BG730" t="s">
        <v>74</v>
      </c>
      <c r="BH730" t="s">
        <v>74</v>
      </c>
      <c r="BI730">
        <v>7</v>
      </c>
      <c r="BJ730" t="s">
        <v>2595</v>
      </c>
      <c r="BK730" t="s">
        <v>99</v>
      </c>
      <c r="BL730" t="s">
        <v>2595</v>
      </c>
      <c r="BM730" t="s">
        <v>14024</v>
      </c>
      <c r="BN730">
        <v>23751898</v>
      </c>
      <c r="BO730" t="s">
        <v>74</v>
      </c>
      <c r="BP730" t="s">
        <v>74</v>
      </c>
      <c r="BQ730" t="s">
        <v>74</v>
      </c>
      <c r="BR730" t="s">
        <v>103</v>
      </c>
      <c r="BS730" t="s">
        <v>14025</v>
      </c>
      <c r="BT730" t="str">
        <f>HYPERLINK("https%3A%2F%2Fwww.webofscience.com%2Fwos%2Fwoscc%2Ffull-record%2FWOS:000322802900026","View Full Record in Web of Science")</f>
        <v>View Full Record in Web of Science</v>
      </c>
    </row>
    <row r="731" spans="1:72" x14ac:dyDescent="0.15">
      <c r="A731" t="s">
        <v>72</v>
      </c>
      <c r="B731" t="s">
        <v>14026</v>
      </c>
      <c r="C731" t="s">
        <v>74</v>
      </c>
      <c r="D731" t="s">
        <v>74</v>
      </c>
      <c r="E731" t="s">
        <v>74</v>
      </c>
      <c r="F731" t="s">
        <v>14027</v>
      </c>
      <c r="G731" t="s">
        <v>74</v>
      </c>
      <c r="H731" t="s">
        <v>74</v>
      </c>
      <c r="I731" t="s">
        <v>14028</v>
      </c>
      <c r="J731" t="s">
        <v>14029</v>
      </c>
      <c r="K731" t="s">
        <v>74</v>
      </c>
      <c r="L731" t="s">
        <v>74</v>
      </c>
      <c r="M731" t="s">
        <v>78</v>
      </c>
      <c r="N731" t="s">
        <v>79</v>
      </c>
      <c r="O731" t="s">
        <v>74</v>
      </c>
      <c r="P731" t="s">
        <v>74</v>
      </c>
      <c r="Q731" t="s">
        <v>74</v>
      </c>
      <c r="R731" t="s">
        <v>74</v>
      </c>
      <c r="S731" t="s">
        <v>74</v>
      </c>
      <c r="T731" t="s">
        <v>14030</v>
      </c>
      <c r="U731" t="s">
        <v>74</v>
      </c>
      <c r="V731" t="s">
        <v>14031</v>
      </c>
      <c r="W731" t="s">
        <v>14032</v>
      </c>
      <c r="X731" t="s">
        <v>14033</v>
      </c>
      <c r="Y731" t="s">
        <v>14034</v>
      </c>
      <c r="Z731" t="s">
        <v>14035</v>
      </c>
      <c r="AA731" t="s">
        <v>74</v>
      </c>
      <c r="AB731" t="s">
        <v>74</v>
      </c>
      <c r="AC731" t="s">
        <v>14036</v>
      </c>
      <c r="AD731" t="s">
        <v>14037</v>
      </c>
      <c r="AE731" t="s">
        <v>14038</v>
      </c>
      <c r="AF731" t="s">
        <v>74</v>
      </c>
      <c r="AG731">
        <v>10</v>
      </c>
      <c r="AH731">
        <v>4</v>
      </c>
      <c r="AI731">
        <v>5</v>
      </c>
      <c r="AJ731">
        <v>0</v>
      </c>
      <c r="AK731">
        <v>14</v>
      </c>
      <c r="AL731" t="s">
        <v>2115</v>
      </c>
      <c r="AM731" t="s">
        <v>2116</v>
      </c>
      <c r="AN731" t="s">
        <v>2117</v>
      </c>
      <c r="AO731" t="s">
        <v>14039</v>
      </c>
      <c r="AP731" t="s">
        <v>74</v>
      </c>
      <c r="AQ731" t="s">
        <v>74</v>
      </c>
      <c r="AR731" t="s">
        <v>14040</v>
      </c>
      <c r="AS731" t="s">
        <v>14041</v>
      </c>
      <c r="AT731" t="s">
        <v>12056</v>
      </c>
      <c r="AU731">
        <v>2013</v>
      </c>
      <c r="AV731">
        <v>9</v>
      </c>
      <c r="AW731">
        <v>8</v>
      </c>
      <c r="AX731" t="s">
        <v>74</v>
      </c>
      <c r="AY731" t="s">
        <v>74</v>
      </c>
      <c r="AZ731" t="s">
        <v>74</v>
      </c>
      <c r="BA731" t="s">
        <v>74</v>
      </c>
      <c r="BB731">
        <v>776</v>
      </c>
      <c r="BC731">
        <v>784</v>
      </c>
      <c r="BD731" t="s">
        <v>74</v>
      </c>
      <c r="BE731" t="s">
        <v>14042</v>
      </c>
      <c r="BF731" t="str">
        <f>HYPERLINK("http://dx.doi.org/10.1080/17451000.2013.765584","http://dx.doi.org/10.1080/17451000.2013.765584")</f>
        <v>http://dx.doi.org/10.1080/17451000.2013.765584</v>
      </c>
      <c r="BG731" t="s">
        <v>74</v>
      </c>
      <c r="BH731" t="s">
        <v>74</v>
      </c>
      <c r="BI731">
        <v>9</v>
      </c>
      <c r="BJ731" t="s">
        <v>1589</v>
      </c>
      <c r="BK731" t="s">
        <v>99</v>
      </c>
      <c r="BL731" t="s">
        <v>680</v>
      </c>
      <c r="BM731" t="s">
        <v>14043</v>
      </c>
      <c r="BN731" t="s">
        <v>74</v>
      </c>
      <c r="BO731" t="s">
        <v>74</v>
      </c>
      <c r="BP731" t="s">
        <v>74</v>
      </c>
      <c r="BQ731" t="s">
        <v>74</v>
      </c>
      <c r="BR731" t="s">
        <v>103</v>
      </c>
      <c r="BS731" t="s">
        <v>14044</v>
      </c>
      <c r="BT731" t="str">
        <f>HYPERLINK("https%3A%2F%2Fwww.webofscience.com%2Fwos%2Fwoscc%2Ffull-record%2FWOS:000319322400006","View Full Record in Web of Science")</f>
        <v>View Full Record in Web of Science</v>
      </c>
    </row>
    <row r="732" spans="1:72" x14ac:dyDescent="0.15">
      <c r="A732" t="s">
        <v>72</v>
      </c>
      <c r="B732" t="s">
        <v>14045</v>
      </c>
      <c r="C732" t="s">
        <v>74</v>
      </c>
      <c r="D732" t="s">
        <v>74</v>
      </c>
      <c r="E732" t="s">
        <v>74</v>
      </c>
      <c r="F732" t="s">
        <v>14046</v>
      </c>
      <c r="G732" t="s">
        <v>74</v>
      </c>
      <c r="H732" t="s">
        <v>74</v>
      </c>
      <c r="I732" t="s">
        <v>14047</v>
      </c>
      <c r="J732" t="s">
        <v>4649</v>
      </c>
      <c r="K732" t="s">
        <v>74</v>
      </c>
      <c r="L732" t="s">
        <v>74</v>
      </c>
      <c r="M732" t="s">
        <v>78</v>
      </c>
      <c r="N732" t="s">
        <v>79</v>
      </c>
      <c r="O732" t="s">
        <v>74</v>
      </c>
      <c r="P732" t="s">
        <v>74</v>
      </c>
      <c r="Q732" t="s">
        <v>74</v>
      </c>
      <c r="R732" t="s">
        <v>74</v>
      </c>
      <c r="S732" t="s">
        <v>74</v>
      </c>
      <c r="T732" t="s">
        <v>74</v>
      </c>
      <c r="U732" t="s">
        <v>14048</v>
      </c>
      <c r="V732" t="s">
        <v>14049</v>
      </c>
      <c r="W732" t="s">
        <v>14050</v>
      </c>
      <c r="X732" t="s">
        <v>14051</v>
      </c>
      <c r="Y732" t="s">
        <v>14052</v>
      </c>
      <c r="Z732" t="s">
        <v>14053</v>
      </c>
      <c r="AA732" t="s">
        <v>14054</v>
      </c>
      <c r="AB732" t="s">
        <v>14055</v>
      </c>
      <c r="AC732" t="s">
        <v>14056</v>
      </c>
      <c r="AD732" t="s">
        <v>14057</v>
      </c>
      <c r="AE732" t="s">
        <v>14058</v>
      </c>
      <c r="AF732" t="s">
        <v>74</v>
      </c>
      <c r="AG732">
        <v>42</v>
      </c>
      <c r="AH732">
        <v>14</v>
      </c>
      <c r="AI732">
        <v>18</v>
      </c>
      <c r="AJ732">
        <v>0</v>
      </c>
      <c r="AK732">
        <v>50</v>
      </c>
      <c r="AL732" t="s">
        <v>4661</v>
      </c>
      <c r="AM732" t="s">
        <v>2800</v>
      </c>
      <c r="AN732" t="s">
        <v>4662</v>
      </c>
      <c r="AO732" t="s">
        <v>4663</v>
      </c>
      <c r="AP732" t="s">
        <v>74</v>
      </c>
      <c r="AQ732" t="s">
        <v>74</v>
      </c>
      <c r="AR732" t="s">
        <v>4664</v>
      </c>
      <c r="AS732" t="s">
        <v>4665</v>
      </c>
      <c r="AT732" t="s">
        <v>14059</v>
      </c>
      <c r="AU732">
        <v>2013</v>
      </c>
      <c r="AV732">
        <v>3</v>
      </c>
      <c r="AW732" t="s">
        <v>74</v>
      </c>
      <c r="AX732" t="s">
        <v>74</v>
      </c>
      <c r="AY732" t="s">
        <v>74</v>
      </c>
      <c r="AZ732" t="s">
        <v>74</v>
      </c>
      <c r="BA732" t="s">
        <v>74</v>
      </c>
      <c r="BB732" t="s">
        <v>74</v>
      </c>
      <c r="BC732" t="s">
        <v>74</v>
      </c>
      <c r="BD732">
        <v>2807</v>
      </c>
      <c r="BE732" t="s">
        <v>14060</v>
      </c>
      <c r="BF732" t="str">
        <f>HYPERLINK("http://dx.doi.org/10.1038/srep02807","http://dx.doi.org/10.1038/srep02807")</f>
        <v>http://dx.doi.org/10.1038/srep02807</v>
      </c>
      <c r="BG732" t="s">
        <v>74</v>
      </c>
      <c r="BH732" t="s">
        <v>74</v>
      </c>
      <c r="BI732">
        <v>6</v>
      </c>
      <c r="BJ732" t="s">
        <v>2652</v>
      </c>
      <c r="BK732" t="s">
        <v>99</v>
      </c>
      <c r="BL732" t="s">
        <v>2653</v>
      </c>
      <c r="BM732" t="s">
        <v>14061</v>
      </c>
      <c r="BN732">
        <v>24076768</v>
      </c>
      <c r="BO732" t="s">
        <v>616</v>
      </c>
      <c r="BP732" t="s">
        <v>74</v>
      </c>
      <c r="BQ732" t="s">
        <v>74</v>
      </c>
      <c r="BR732" t="s">
        <v>103</v>
      </c>
      <c r="BS732" t="s">
        <v>14062</v>
      </c>
      <c r="BT732" t="str">
        <f>HYPERLINK("https%3A%2F%2Fwww.webofscience.com%2Fwos%2Fwoscc%2Ffull-record%2FWOS:000324989400005","View Full Record in Web of Science")</f>
        <v>View Full Record in Web of Science</v>
      </c>
    </row>
    <row r="733" spans="1:72" x14ac:dyDescent="0.15">
      <c r="A733" t="s">
        <v>72</v>
      </c>
      <c r="B733" t="s">
        <v>14063</v>
      </c>
      <c r="C733" t="s">
        <v>74</v>
      </c>
      <c r="D733" t="s">
        <v>74</v>
      </c>
      <c r="E733" t="s">
        <v>74</v>
      </c>
      <c r="F733" t="s">
        <v>14064</v>
      </c>
      <c r="G733" t="s">
        <v>74</v>
      </c>
      <c r="H733" t="s">
        <v>74</v>
      </c>
      <c r="I733" t="s">
        <v>14065</v>
      </c>
      <c r="J733" t="s">
        <v>4368</v>
      </c>
      <c r="K733" t="s">
        <v>74</v>
      </c>
      <c r="L733" t="s">
        <v>74</v>
      </c>
      <c r="M733" t="s">
        <v>78</v>
      </c>
      <c r="N733" t="s">
        <v>79</v>
      </c>
      <c r="O733" t="s">
        <v>74</v>
      </c>
      <c r="P733" t="s">
        <v>74</v>
      </c>
      <c r="Q733" t="s">
        <v>74</v>
      </c>
      <c r="R733" t="s">
        <v>74</v>
      </c>
      <c r="S733" t="s">
        <v>74</v>
      </c>
      <c r="T733" t="s">
        <v>14066</v>
      </c>
      <c r="U733" t="s">
        <v>14067</v>
      </c>
      <c r="V733" t="s">
        <v>14068</v>
      </c>
      <c r="W733" t="s">
        <v>14069</v>
      </c>
      <c r="X733" t="s">
        <v>14070</v>
      </c>
      <c r="Y733" t="s">
        <v>14071</v>
      </c>
      <c r="Z733" t="s">
        <v>14072</v>
      </c>
      <c r="AA733" t="s">
        <v>74</v>
      </c>
      <c r="AB733" t="s">
        <v>14073</v>
      </c>
      <c r="AC733" t="s">
        <v>14074</v>
      </c>
      <c r="AD733" t="s">
        <v>14075</v>
      </c>
      <c r="AE733" t="s">
        <v>14076</v>
      </c>
      <c r="AF733" t="s">
        <v>74</v>
      </c>
      <c r="AG733">
        <v>18</v>
      </c>
      <c r="AH733">
        <v>12</v>
      </c>
      <c r="AI733">
        <v>15</v>
      </c>
      <c r="AJ733">
        <v>0</v>
      </c>
      <c r="AK733">
        <v>6</v>
      </c>
      <c r="AL733" t="s">
        <v>1606</v>
      </c>
      <c r="AM733" t="s">
        <v>808</v>
      </c>
      <c r="AN733" t="s">
        <v>1607</v>
      </c>
      <c r="AO733" t="s">
        <v>4379</v>
      </c>
      <c r="AP733" t="s">
        <v>4380</v>
      </c>
      <c r="AQ733" t="s">
        <v>74</v>
      </c>
      <c r="AR733" t="s">
        <v>4381</v>
      </c>
      <c r="AS733" t="s">
        <v>4382</v>
      </c>
      <c r="AT733" t="s">
        <v>14077</v>
      </c>
      <c r="AU733">
        <v>2013</v>
      </c>
      <c r="AV733">
        <v>40</v>
      </c>
      <c r="AW733">
        <v>18</v>
      </c>
      <c r="AX733" t="s">
        <v>74</v>
      </c>
      <c r="AY733" t="s">
        <v>74</v>
      </c>
      <c r="AZ733" t="s">
        <v>74</v>
      </c>
      <c r="BA733" t="s">
        <v>74</v>
      </c>
      <c r="BB733">
        <v>4813</v>
      </c>
      <c r="BC733">
        <v>4817</v>
      </c>
      <c r="BD733" t="s">
        <v>74</v>
      </c>
      <c r="BE733" t="s">
        <v>14078</v>
      </c>
      <c r="BF733" t="str">
        <f>HYPERLINK("http://dx.doi.org/10.1002/grl.50926","http://dx.doi.org/10.1002/grl.50926")</f>
        <v>http://dx.doi.org/10.1002/grl.50926</v>
      </c>
      <c r="BG733" t="s">
        <v>74</v>
      </c>
      <c r="BH733" t="s">
        <v>74</v>
      </c>
      <c r="BI733">
        <v>5</v>
      </c>
      <c r="BJ733" t="s">
        <v>337</v>
      </c>
      <c r="BK733" t="s">
        <v>99</v>
      </c>
      <c r="BL733" t="s">
        <v>338</v>
      </c>
      <c r="BM733" t="s">
        <v>14079</v>
      </c>
      <c r="BN733" t="s">
        <v>74</v>
      </c>
      <c r="BO733" t="s">
        <v>4801</v>
      </c>
      <c r="BP733" t="s">
        <v>74</v>
      </c>
      <c r="BQ733" t="s">
        <v>74</v>
      </c>
      <c r="BR733" t="s">
        <v>103</v>
      </c>
      <c r="BS733" t="s">
        <v>14080</v>
      </c>
      <c r="BT733" t="str">
        <f>HYPERLINK("https%3A%2F%2Fwww.webofscience.com%2Fwos%2Fwoscc%2Ffull-record%2FWOS:000325562600005","View Full Record in Web of Science")</f>
        <v>View Full Record in Web of Science</v>
      </c>
    </row>
    <row r="734" spans="1:72" x14ac:dyDescent="0.15">
      <c r="A734" t="s">
        <v>72</v>
      </c>
      <c r="B734" t="s">
        <v>14081</v>
      </c>
      <c r="C734" t="s">
        <v>74</v>
      </c>
      <c r="D734" t="s">
        <v>74</v>
      </c>
      <c r="E734" t="s">
        <v>74</v>
      </c>
      <c r="F734" t="s">
        <v>14082</v>
      </c>
      <c r="G734" t="s">
        <v>74</v>
      </c>
      <c r="H734" t="s">
        <v>74</v>
      </c>
      <c r="I734" t="s">
        <v>14083</v>
      </c>
      <c r="J734" t="s">
        <v>8334</v>
      </c>
      <c r="K734" t="s">
        <v>74</v>
      </c>
      <c r="L734" t="s">
        <v>74</v>
      </c>
      <c r="M734" t="s">
        <v>78</v>
      </c>
      <c r="N734" t="s">
        <v>79</v>
      </c>
      <c r="O734" t="s">
        <v>74</v>
      </c>
      <c r="P734" t="s">
        <v>74</v>
      </c>
      <c r="Q734" t="s">
        <v>74</v>
      </c>
      <c r="R734" t="s">
        <v>74</v>
      </c>
      <c r="S734" t="s">
        <v>74</v>
      </c>
      <c r="T734" t="s">
        <v>14084</v>
      </c>
      <c r="U734" t="s">
        <v>14085</v>
      </c>
      <c r="V734" t="s">
        <v>14086</v>
      </c>
      <c r="W734" t="s">
        <v>14087</v>
      </c>
      <c r="X734" t="s">
        <v>14088</v>
      </c>
      <c r="Y734" t="s">
        <v>14089</v>
      </c>
      <c r="Z734" t="s">
        <v>14090</v>
      </c>
      <c r="AA734" t="s">
        <v>14091</v>
      </c>
      <c r="AB734" t="s">
        <v>14092</v>
      </c>
      <c r="AC734" t="s">
        <v>14093</v>
      </c>
      <c r="AD734" t="s">
        <v>14094</v>
      </c>
      <c r="AE734" t="s">
        <v>14095</v>
      </c>
      <c r="AF734" t="s">
        <v>74</v>
      </c>
      <c r="AG734">
        <v>73</v>
      </c>
      <c r="AH734">
        <v>10</v>
      </c>
      <c r="AI734">
        <v>11</v>
      </c>
      <c r="AJ734">
        <v>5</v>
      </c>
      <c r="AK734">
        <v>51</v>
      </c>
      <c r="AL734" t="s">
        <v>304</v>
      </c>
      <c r="AM734" t="s">
        <v>305</v>
      </c>
      <c r="AN734" t="s">
        <v>306</v>
      </c>
      <c r="AO734" t="s">
        <v>8347</v>
      </c>
      <c r="AP734" t="s">
        <v>8348</v>
      </c>
      <c r="AQ734" t="s">
        <v>74</v>
      </c>
      <c r="AR734" t="s">
        <v>8349</v>
      </c>
      <c r="AS734" t="s">
        <v>8350</v>
      </c>
      <c r="AT734" t="s">
        <v>14096</v>
      </c>
      <c r="AU734">
        <v>2013</v>
      </c>
      <c r="AV734">
        <v>355</v>
      </c>
      <c r="AW734" t="s">
        <v>74</v>
      </c>
      <c r="AX734" t="s">
        <v>74</v>
      </c>
      <c r="AY734" t="s">
        <v>74</v>
      </c>
      <c r="AZ734" t="s">
        <v>74</v>
      </c>
      <c r="BA734" t="s">
        <v>74</v>
      </c>
      <c r="BB734">
        <v>69</v>
      </c>
      <c r="BC734">
        <v>87</v>
      </c>
      <c r="BD734" t="s">
        <v>74</v>
      </c>
      <c r="BE734" t="s">
        <v>14097</v>
      </c>
      <c r="BF734" t="str">
        <f>HYPERLINK("http://dx.doi.org/10.1016/j.chemgeo.2013.07.002","http://dx.doi.org/10.1016/j.chemgeo.2013.07.002")</f>
        <v>http://dx.doi.org/10.1016/j.chemgeo.2013.07.002</v>
      </c>
      <c r="BG734" t="s">
        <v>74</v>
      </c>
      <c r="BH734" t="s">
        <v>74</v>
      </c>
      <c r="BI734">
        <v>19</v>
      </c>
      <c r="BJ734" t="s">
        <v>313</v>
      </c>
      <c r="BK734" t="s">
        <v>99</v>
      </c>
      <c r="BL734" t="s">
        <v>313</v>
      </c>
      <c r="BM734" t="s">
        <v>14098</v>
      </c>
      <c r="BN734" t="s">
        <v>74</v>
      </c>
      <c r="BO734" t="s">
        <v>1630</v>
      </c>
      <c r="BP734" t="s">
        <v>74</v>
      </c>
      <c r="BQ734" t="s">
        <v>74</v>
      </c>
      <c r="BR734" t="s">
        <v>103</v>
      </c>
      <c r="BS734" t="s">
        <v>14099</v>
      </c>
      <c r="BT734" t="str">
        <f>HYPERLINK("https%3A%2F%2Fwww.webofscience.com%2Fwos%2Fwoscc%2Ffull-record%2FWOS:000325751300006","View Full Record in Web of Science")</f>
        <v>View Full Record in Web of Science</v>
      </c>
    </row>
    <row r="735" spans="1:72" x14ac:dyDescent="0.15">
      <c r="A735" t="s">
        <v>72</v>
      </c>
      <c r="B735" t="s">
        <v>14100</v>
      </c>
      <c r="C735" t="s">
        <v>74</v>
      </c>
      <c r="D735" t="s">
        <v>74</v>
      </c>
      <c r="E735" t="s">
        <v>74</v>
      </c>
      <c r="F735" t="s">
        <v>14101</v>
      </c>
      <c r="G735" t="s">
        <v>74</v>
      </c>
      <c r="H735" t="s">
        <v>74</v>
      </c>
      <c r="I735" t="s">
        <v>14102</v>
      </c>
      <c r="J735" t="s">
        <v>11078</v>
      </c>
      <c r="K735" t="s">
        <v>74</v>
      </c>
      <c r="L735" t="s">
        <v>74</v>
      </c>
      <c r="M735" t="s">
        <v>78</v>
      </c>
      <c r="N735" t="s">
        <v>79</v>
      </c>
      <c r="O735" t="s">
        <v>74</v>
      </c>
      <c r="P735" t="s">
        <v>74</v>
      </c>
      <c r="Q735" t="s">
        <v>74</v>
      </c>
      <c r="R735" t="s">
        <v>74</v>
      </c>
      <c r="S735" t="s">
        <v>74</v>
      </c>
      <c r="T735" t="s">
        <v>74</v>
      </c>
      <c r="U735" t="s">
        <v>14103</v>
      </c>
      <c r="V735" t="s">
        <v>14104</v>
      </c>
      <c r="W735" t="s">
        <v>14105</v>
      </c>
      <c r="X735" t="s">
        <v>14106</v>
      </c>
      <c r="Y735" t="s">
        <v>14107</v>
      </c>
      <c r="Z735" t="s">
        <v>14108</v>
      </c>
      <c r="AA735" t="s">
        <v>14109</v>
      </c>
      <c r="AB735" t="s">
        <v>14110</v>
      </c>
      <c r="AC735" t="s">
        <v>14111</v>
      </c>
      <c r="AD735" t="s">
        <v>14112</v>
      </c>
      <c r="AE735" t="s">
        <v>14113</v>
      </c>
      <c r="AF735" t="s">
        <v>74</v>
      </c>
      <c r="AG735">
        <v>42</v>
      </c>
      <c r="AH735">
        <v>410</v>
      </c>
      <c r="AI735">
        <v>439</v>
      </c>
      <c r="AJ735">
        <v>29</v>
      </c>
      <c r="AK735">
        <v>538</v>
      </c>
      <c r="AL735" t="s">
        <v>4661</v>
      </c>
      <c r="AM735" t="s">
        <v>2800</v>
      </c>
      <c r="AN735" t="s">
        <v>4662</v>
      </c>
      <c r="AO735" t="s">
        <v>11081</v>
      </c>
      <c r="AP735" t="s">
        <v>11082</v>
      </c>
      <c r="AQ735" t="s">
        <v>74</v>
      </c>
      <c r="AR735" t="s">
        <v>11078</v>
      </c>
      <c r="AS735" t="s">
        <v>11083</v>
      </c>
      <c r="AT735" t="s">
        <v>14096</v>
      </c>
      <c r="AU735">
        <v>2013</v>
      </c>
      <c r="AV735">
        <v>501</v>
      </c>
      <c r="AW735">
        <v>7468</v>
      </c>
      <c r="AX735" t="s">
        <v>74</v>
      </c>
      <c r="AY735" t="s">
        <v>74</v>
      </c>
      <c r="AZ735" t="s">
        <v>74</v>
      </c>
      <c r="BA735" t="s">
        <v>74</v>
      </c>
      <c r="BB735">
        <v>539</v>
      </c>
      <c r="BC735" t="s">
        <v>629</v>
      </c>
      <c r="BD735" t="s">
        <v>74</v>
      </c>
      <c r="BE735" t="s">
        <v>14114</v>
      </c>
      <c r="BF735" t="str">
        <f>HYPERLINK("http://dx.doi.org/10.1038/nature12529","http://dx.doi.org/10.1038/nature12529")</f>
        <v>http://dx.doi.org/10.1038/nature12529</v>
      </c>
      <c r="BG735" t="s">
        <v>74</v>
      </c>
      <c r="BH735" t="s">
        <v>74</v>
      </c>
      <c r="BI735">
        <v>16</v>
      </c>
      <c r="BJ735" t="s">
        <v>2652</v>
      </c>
      <c r="BK735" t="s">
        <v>99</v>
      </c>
      <c r="BL735" t="s">
        <v>2653</v>
      </c>
      <c r="BM735" t="s">
        <v>14115</v>
      </c>
      <c r="BN735">
        <v>24067714</v>
      </c>
      <c r="BO735" t="s">
        <v>1145</v>
      </c>
      <c r="BP735" t="s">
        <v>120</v>
      </c>
      <c r="BQ735" t="s">
        <v>121</v>
      </c>
      <c r="BR735" t="s">
        <v>103</v>
      </c>
      <c r="BS735" t="s">
        <v>14116</v>
      </c>
      <c r="BT735" t="str">
        <f>HYPERLINK("https%3A%2F%2Fwww.webofscience.com%2Fwos%2Fwoscc%2Ffull-record%2FWOS:000324826300056","View Full Record in Web of Science")</f>
        <v>View Full Record in Web of Science</v>
      </c>
    </row>
    <row r="736" spans="1:72" x14ac:dyDescent="0.15">
      <c r="A736" t="s">
        <v>72</v>
      </c>
      <c r="B736" t="s">
        <v>14117</v>
      </c>
      <c r="C736" t="s">
        <v>74</v>
      </c>
      <c r="D736" t="s">
        <v>74</v>
      </c>
      <c r="E736" t="s">
        <v>74</v>
      </c>
      <c r="F736" t="s">
        <v>14118</v>
      </c>
      <c r="G736" t="s">
        <v>74</v>
      </c>
      <c r="H736" t="s">
        <v>74</v>
      </c>
      <c r="I736" t="s">
        <v>14119</v>
      </c>
      <c r="J736" t="s">
        <v>4072</v>
      </c>
      <c r="K736" t="s">
        <v>74</v>
      </c>
      <c r="L736" t="s">
        <v>74</v>
      </c>
      <c r="M736" t="s">
        <v>78</v>
      </c>
      <c r="N736" t="s">
        <v>79</v>
      </c>
      <c r="O736" t="s">
        <v>74</v>
      </c>
      <c r="P736" t="s">
        <v>74</v>
      </c>
      <c r="Q736" t="s">
        <v>74</v>
      </c>
      <c r="R736" t="s">
        <v>74</v>
      </c>
      <c r="S736" t="s">
        <v>74</v>
      </c>
      <c r="T736" t="s">
        <v>74</v>
      </c>
      <c r="U736" t="s">
        <v>14120</v>
      </c>
      <c r="V736" t="s">
        <v>14121</v>
      </c>
      <c r="W736" t="s">
        <v>14122</v>
      </c>
      <c r="X736" t="s">
        <v>7627</v>
      </c>
      <c r="Y736" t="s">
        <v>14123</v>
      </c>
      <c r="Z736" t="s">
        <v>14124</v>
      </c>
      <c r="AA736" t="s">
        <v>14125</v>
      </c>
      <c r="AB736" t="s">
        <v>14126</v>
      </c>
      <c r="AC736" t="s">
        <v>14127</v>
      </c>
      <c r="AD736" t="s">
        <v>14128</v>
      </c>
      <c r="AE736" t="s">
        <v>14129</v>
      </c>
      <c r="AF736" t="s">
        <v>74</v>
      </c>
      <c r="AG736">
        <v>88</v>
      </c>
      <c r="AH736">
        <v>39</v>
      </c>
      <c r="AI736">
        <v>41</v>
      </c>
      <c r="AJ736">
        <v>0</v>
      </c>
      <c r="AK736">
        <v>41</v>
      </c>
      <c r="AL736" t="s">
        <v>4084</v>
      </c>
      <c r="AM736" t="s">
        <v>4085</v>
      </c>
      <c r="AN736" t="s">
        <v>4086</v>
      </c>
      <c r="AO736" t="s">
        <v>4087</v>
      </c>
      <c r="AP736" t="s">
        <v>74</v>
      </c>
      <c r="AQ736" t="s">
        <v>74</v>
      </c>
      <c r="AR736" t="s">
        <v>4072</v>
      </c>
      <c r="AS736" t="s">
        <v>4088</v>
      </c>
      <c r="AT736" t="s">
        <v>14130</v>
      </c>
      <c r="AU736">
        <v>2013</v>
      </c>
      <c r="AV736">
        <v>8</v>
      </c>
      <c r="AW736">
        <v>9</v>
      </c>
      <c r="AX736" t="s">
        <v>74</v>
      </c>
      <c r="AY736" t="s">
        <v>74</v>
      </c>
      <c r="AZ736" t="s">
        <v>74</v>
      </c>
      <c r="BA736" t="s">
        <v>74</v>
      </c>
      <c r="BB736" t="s">
        <v>74</v>
      </c>
      <c r="BC736" t="s">
        <v>74</v>
      </c>
      <c r="BD736" t="s">
        <v>14131</v>
      </c>
      <c r="BE736" t="s">
        <v>14132</v>
      </c>
      <c r="BF736" t="str">
        <f>HYPERLINK("http://dx.doi.org/10.1371/journal.pone.0074348","http://dx.doi.org/10.1371/journal.pone.0074348")</f>
        <v>http://dx.doi.org/10.1371/journal.pone.0074348</v>
      </c>
      <c r="BG736" t="s">
        <v>74</v>
      </c>
      <c r="BH736" t="s">
        <v>74</v>
      </c>
      <c r="BI736">
        <v>13</v>
      </c>
      <c r="BJ736" t="s">
        <v>2652</v>
      </c>
      <c r="BK736" t="s">
        <v>99</v>
      </c>
      <c r="BL736" t="s">
        <v>2653</v>
      </c>
      <c r="BM736" t="s">
        <v>14133</v>
      </c>
      <c r="BN736">
        <v>24086338</v>
      </c>
      <c r="BO736" t="s">
        <v>3000</v>
      </c>
      <c r="BP736" t="s">
        <v>74</v>
      </c>
      <c r="BQ736" t="s">
        <v>74</v>
      </c>
      <c r="BR736" t="s">
        <v>103</v>
      </c>
      <c r="BS736" t="s">
        <v>14134</v>
      </c>
      <c r="BT736" t="str">
        <f>HYPERLINK("https%3A%2F%2Fwww.webofscience.com%2Fwos%2Fwoscc%2Ffull-record%2FWOS:000325218700023","View Full Record in Web of Science")</f>
        <v>View Full Record in Web of Science</v>
      </c>
    </row>
    <row r="737" spans="1:72" x14ac:dyDescent="0.15">
      <c r="A737" t="s">
        <v>72</v>
      </c>
      <c r="B737" t="s">
        <v>14135</v>
      </c>
      <c r="C737" t="s">
        <v>74</v>
      </c>
      <c r="D737" t="s">
        <v>74</v>
      </c>
      <c r="E737" t="s">
        <v>74</v>
      </c>
      <c r="F737" t="s">
        <v>14136</v>
      </c>
      <c r="G737" t="s">
        <v>74</v>
      </c>
      <c r="H737" t="s">
        <v>74</v>
      </c>
      <c r="I737" t="s">
        <v>14137</v>
      </c>
      <c r="J737" t="s">
        <v>14138</v>
      </c>
      <c r="K737" t="s">
        <v>74</v>
      </c>
      <c r="L737" t="s">
        <v>74</v>
      </c>
      <c r="M737" t="s">
        <v>78</v>
      </c>
      <c r="N737" t="s">
        <v>79</v>
      </c>
      <c r="O737" t="s">
        <v>74</v>
      </c>
      <c r="P737" t="s">
        <v>74</v>
      </c>
      <c r="Q737" t="s">
        <v>74</v>
      </c>
      <c r="R737" t="s">
        <v>74</v>
      </c>
      <c r="S737" t="s">
        <v>74</v>
      </c>
      <c r="T737" t="s">
        <v>74</v>
      </c>
      <c r="U737" t="s">
        <v>14139</v>
      </c>
      <c r="V737" t="s">
        <v>14140</v>
      </c>
      <c r="W737" t="s">
        <v>14141</v>
      </c>
      <c r="X737" t="s">
        <v>14142</v>
      </c>
      <c r="Y737" t="s">
        <v>14143</v>
      </c>
      <c r="Z737" t="s">
        <v>558</v>
      </c>
      <c r="AA737" t="s">
        <v>14144</v>
      </c>
      <c r="AB737" t="s">
        <v>14145</v>
      </c>
      <c r="AC737" t="s">
        <v>14146</v>
      </c>
      <c r="AD737" t="s">
        <v>14147</v>
      </c>
      <c r="AE737" t="s">
        <v>14148</v>
      </c>
      <c r="AF737" t="s">
        <v>74</v>
      </c>
      <c r="AG737">
        <v>26</v>
      </c>
      <c r="AH737">
        <v>52</v>
      </c>
      <c r="AI737">
        <v>52</v>
      </c>
      <c r="AJ737">
        <v>2</v>
      </c>
      <c r="AK737">
        <v>39</v>
      </c>
      <c r="AL737" t="s">
        <v>304</v>
      </c>
      <c r="AM737" t="s">
        <v>305</v>
      </c>
      <c r="AN737" t="s">
        <v>306</v>
      </c>
      <c r="AO737" t="s">
        <v>14149</v>
      </c>
      <c r="AP737" t="s">
        <v>14150</v>
      </c>
      <c r="AQ737" t="s">
        <v>74</v>
      </c>
      <c r="AR737" t="s">
        <v>14151</v>
      </c>
      <c r="AS737" t="s">
        <v>14152</v>
      </c>
      <c r="AT737" t="s">
        <v>14130</v>
      </c>
      <c r="AU737">
        <v>2013</v>
      </c>
      <c r="AV737">
        <v>30</v>
      </c>
      <c r="AW737">
        <v>6</v>
      </c>
      <c r="AX737" t="s">
        <v>74</v>
      </c>
      <c r="AY737" t="s">
        <v>74</v>
      </c>
      <c r="AZ737" t="s">
        <v>283</v>
      </c>
      <c r="BA737" t="s">
        <v>74</v>
      </c>
      <c r="BB737">
        <v>824</v>
      </c>
      <c r="BC737">
        <v>838</v>
      </c>
      <c r="BD737" t="s">
        <v>74</v>
      </c>
      <c r="BE737" t="s">
        <v>14153</v>
      </c>
      <c r="BF737" t="str">
        <f>HYPERLINK("http://dx.doi.org/10.1016/j.nbt.2013.03.011","http://dx.doi.org/10.1016/j.nbt.2013.03.011")</f>
        <v>http://dx.doi.org/10.1016/j.nbt.2013.03.011</v>
      </c>
      <c r="BG737" t="s">
        <v>74</v>
      </c>
      <c r="BH737" t="s">
        <v>74</v>
      </c>
      <c r="BI737">
        <v>15</v>
      </c>
      <c r="BJ737" t="s">
        <v>14154</v>
      </c>
      <c r="BK737" t="s">
        <v>99</v>
      </c>
      <c r="BL737" t="s">
        <v>14155</v>
      </c>
      <c r="BM737" t="s">
        <v>14156</v>
      </c>
      <c r="BN737">
        <v>23619351</v>
      </c>
      <c r="BO737" t="s">
        <v>74</v>
      </c>
      <c r="BP737" t="s">
        <v>74</v>
      </c>
      <c r="BQ737" t="s">
        <v>74</v>
      </c>
      <c r="BR737" t="s">
        <v>103</v>
      </c>
      <c r="BS737" t="s">
        <v>14157</v>
      </c>
      <c r="BT737" t="str">
        <f>HYPERLINK("https%3A%2F%2Fwww.webofscience.com%2Fwos%2Fwoscc%2Ffull-record%2FWOS:000325002300030","View Full Record in Web of Science")</f>
        <v>View Full Record in Web of Science</v>
      </c>
    </row>
    <row r="738" spans="1:72" x14ac:dyDescent="0.15">
      <c r="A738" t="s">
        <v>72</v>
      </c>
      <c r="B738" t="s">
        <v>14158</v>
      </c>
      <c r="C738" t="s">
        <v>74</v>
      </c>
      <c r="D738" t="s">
        <v>74</v>
      </c>
      <c r="E738" t="s">
        <v>74</v>
      </c>
      <c r="F738" t="s">
        <v>14159</v>
      </c>
      <c r="G738" t="s">
        <v>74</v>
      </c>
      <c r="H738" t="s">
        <v>74</v>
      </c>
      <c r="I738" t="s">
        <v>14160</v>
      </c>
      <c r="J738" t="s">
        <v>4072</v>
      </c>
      <c r="K738" t="s">
        <v>74</v>
      </c>
      <c r="L738" t="s">
        <v>74</v>
      </c>
      <c r="M738" t="s">
        <v>78</v>
      </c>
      <c r="N738" t="s">
        <v>79</v>
      </c>
      <c r="O738" t="s">
        <v>74</v>
      </c>
      <c r="P738" t="s">
        <v>74</v>
      </c>
      <c r="Q738" t="s">
        <v>74</v>
      </c>
      <c r="R738" t="s">
        <v>74</v>
      </c>
      <c r="S738" t="s">
        <v>74</v>
      </c>
      <c r="T738" t="s">
        <v>74</v>
      </c>
      <c r="U738" t="s">
        <v>14161</v>
      </c>
      <c r="V738" t="s">
        <v>14162</v>
      </c>
      <c r="W738" t="s">
        <v>14163</v>
      </c>
      <c r="X738" t="s">
        <v>14164</v>
      </c>
      <c r="Y738" t="s">
        <v>14165</v>
      </c>
      <c r="Z738" t="s">
        <v>14166</v>
      </c>
      <c r="AA738" t="s">
        <v>14167</v>
      </c>
      <c r="AB738" t="s">
        <v>14168</v>
      </c>
      <c r="AC738" t="s">
        <v>14169</v>
      </c>
      <c r="AD738" t="s">
        <v>14170</v>
      </c>
      <c r="AE738" t="s">
        <v>14171</v>
      </c>
      <c r="AF738" t="s">
        <v>74</v>
      </c>
      <c r="AG738">
        <v>83</v>
      </c>
      <c r="AH738">
        <v>120</v>
      </c>
      <c r="AI738">
        <v>124</v>
      </c>
      <c r="AJ738">
        <v>1</v>
      </c>
      <c r="AK738">
        <v>25</v>
      </c>
      <c r="AL738" t="s">
        <v>4084</v>
      </c>
      <c r="AM738" t="s">
        <v>4085</v>
      </c>
      <c r="AN738" t="s">
        <v>4086</v>
      </c>
      <c r="AO738" t="s">
        <v>4087</v>
      </c>
      <c r="AP738" t="s">
        <v>74</v>
      </c>
      <c r="AQ738" t="s">
        <v>74</v>
      </c>
      <c r="AR738" t="s">
        <v>4072</v>
      </c>
      <c r="AS738" t="s">
        <v>4088</v>
      </c>
      <c r="AT738" t="s">
        <v>14130</v>
      </c>
      <c r="AU738">
        <v>2013</v>
      </c>
      <c r="AV738">
        <v>8</v>
      </c>
      <c r="AW738">
        <v>9</v>
      </c>
      <c r="AX738" t="s">
        <v>74</v>
      </c>
      <c r="AY738" t="s">
        <v>74</v>
      </c>
      <c r="AZ738" t="s">
        <v>74</v>
      </c>
      <c r="BA738" t="s">
        <v>74</v>
      </c>
      <c r="BB738" t="s">
        <v>74</v>
      </c>
      <c r="BC738" t="s">
        <v>74</v>
      </c>
      <c r="BD738" t="s">
        <v>14172</v>
      </c>
      <c r="BE738" t="s">
        <v>14173</v>
      </c>
      <c r="BF738" t="str">
        <f>HYPERLINK("http://dx.doi.org/10.1371/journal.pone.0074218","http://dx.doi.org/10.1371/journal.pone.0074218")</f>
        <v>http://dx.doi.org/10.1371/journal.pone.0074218</v>
      </c>
      <c r="BG738" t="s">
        <v>74</v>
      </c>
      <c r="BH738" t="s">
        <v>74</v>
      </c>
      <c r="BI738">
        <v>15</v>
      </c>
      <c r="BJ738" t="s">
        <v>2652</v>
      </c>
      <c r="BK738" t="s">
        <v>99</v>
      </c>
      <c r="BL738" t="s">
        <v>2653</v>
      </c>
      <c r="BM738" t="s">
        <v>14133</v>
      </c>
      <c r="BN738">
        <v>24086322</v>
      </c>
      <c r="BO738" t="s">
        <v>699</v>
      </c>
      <c r="BP738" t="s">
        <v>74</v>
      </c>
      <c r="BQ738" t="s">
        <v>74</v>
      </c>
      <c r="BR738" t="s">
        <v>103</v>
      </c>
      <c r="BS738" t="s">
        <v>14174</v>
      </c>
      <c r="BT738" t="str">
        <f>HYPERLINK("https%3A%2F%2Fwww.webofscience.com%2Fwos%2Fwoscc%2Ffull-record%2FWOS:000325218700018","View Full Record in Web of Science")</f>
        <v>View Full Record in Web of Science</v>
      </c>
    </row>
    <row r="739" spans="1:72" x14ac:dyDescent="0.15">
      <c r="A739" t="s">
        <v>72</v>
      </c>
      <c r="B739" t="s">
        <v>14175</v>
      </c>
      <c r="C739" t="s">
        <v>74</v>
      </c>
      <c r="D739" t="s">
        <v>74</v>
      </c>
      <c r="E739" t="s">
        <v>74</v>
      </c>
      <c r="F739" t="s">
        <v>14176</v>
      </c>
      <c r="G739" t="s">
        <v>74</v>
      </c>
      <c r="H739" t="s">
        <v>74</v>
      </c>
      <c r="I739" t="s">
        <v>14177</v>
      </c>
      <c r="J739" t="s">
        <v>4311</v>
      </c>
      <c r="K739" t="s">
        <v>74</v>
      </c>
      <c r="L739" t="s">
        <v>74</v>
      </c>
      <c r="M739" t="s">
        <v>78</v>
      </c>
      <c r="N739" t="s">
        <v>79</v>
      </c>
      <c r="O739" t="s">
        <v>74</v>
      </c>
      <c r="P739" t="s">
        <v>74</v>
      </c>
      <c r="Q739" t="s">
        <v>74</v>
      </c>
      <c r="R739" t="s">
        <v>74</v>
      </c>
      <c r="S739" t="s">
        <v>74</v>
      </c>
      <c r="T739" t="s">
        <v>14178</v>
      </c>
      <c r="U739" t="s">
        <v>14179</v>
      </c>
      <c r="V739" t="s">
        <v>14180</v>
      </c>
      <c r="W739" t="s">
        <v>14181</v>
      </c>
      <c r="X739" t="s">
        <v>14182</v>
      </c>
      <c r="Y739" t="s">
        <v>14183</v>
      </c>
      <c r="Z739" t="s">
        <v>14184</v>
      </c>
      <c r="AA739" t="s">
        <v>74</v>
      </c>
      <c r="AB739" t="s">
        <v>74</v>
      </c>
      <c r="AC739" t="s">
        <v>14185</v>
      </c>
      <c r="AD739" t="s">
        <v>14186</v>
      </c>
      <c r="AE739" t="s">
        <v>14187</v>
      </c>
      <c r="AF739" t="s">
        <v>74</v>
      </c>
      <c r="AG739">
        <v>49</v>
      </c>
      <c r="AH739">
        <v>22</v>
      </c>
      <c r="AI739">
        <v>24</v>
      </c>
      <c r="AJ739">
        <v>1</v>
      </c>
      <c r="AK739">
        <v>34</v>
      </c>
      <c r="AL739" t="s">
        <v>4318</v>
      </c>
      <c r="AM739" t="s">
        <v>808</v>
      </c>
      <c r="AN739" t="s">
        <v>4319</v>
      </c>
      <c r="AO739" t="s">
        <v>4320</v>
      </c>
      <c r="AP739" t="s">
        <v>74</v>
      </c>
      <c r="AQ739" t="s">
        <v>74</v>
      </c>
      <c r="AR739" t="s">
        <v>4321</v>
      </c>
      <c r="AS739" t="s">
        <v>4322</v>
      </c>
      <c r="AT739" t="s">
        <v>14188</v>
      </c>
      <c r="AU739">
        <v>2013</v>
      </c>
      <c r="AV739">
        <v>110</v>
      </c>
      <c r="AW739">
        <v>39</v>
      </c>
      <c r="AX739" t="s">
        <v>74</v>
      </c>
      <c r="AY739" t="s">
        <v>74</v>
      </c>
      <c r="AZ739" t="s">
        <v>74</v>
      </c>
      <c r="BA739" t="s">
        <v>74</v>
      </c>
      <c r="BB739">
        <v>15608</v>
      </c>
      <c r="BC739">
        <v>15613</v>
      </c>
      <c r="BD739" t="s">
        <v>74</v>
      </c>
      <c r="BE739" t="s">
        <v>14189</v>
      </c>
      <c r="BF739" t="str">
        <f>HYPERLINK("http://dx.doi.org/10.1073/pnas.1313014110","http://dx.doi.org/10.1073/pnas.1313014110")</f>
        <v>http://dx.doi.org/10.1073/pnas.1313014110</v>
      </c>
      <c r="BG739" t="s">
        <v>74</v>
      </c>
      <c r="BH739" t="s">
        <v>74</v>
      </c>
      <c r="BI739">
        <v>6</v>
      </c>
      <c r="BJ739" t="s">
        <v>2652</v>
      </c>
      <c r="BK739" t="s">
        <v>99</v>
      </c>
      <c r="BL739" t="s">
        <v>2653</v>
      </c>
      <c r="BM739" t="s">
        <v>14190</v>
      </c>
      <c r="BN739">
        <v>24009339</v>
      </c>
      <c r="BO739" t="s">
        <v>1381</v>
      </c>
      <c r="BP739" t="s">
        <v>74</v>
      </c>
      <c r="BQ739" t="s">
        <v>74</v>
      </c>
      <c r="BR739" t="s">
        <v>103</v>
      </c>
      <c r="BS739" t="s">
        <v>14191</v>
      </c>
      <c r="BT739" t="str">
        <f>HYPERLINK("https%3A%2F%2Fwww.webofscience.com%2Fwos%2Fwoscc%2Ffull-record%2FWOS:000324765100032","View Full Record in Web of Science")</f>
        <v>View Full Record in Web of Science</v>
      </c>
    </row>
    <row r="740" spans="1:72" x14ac:dyDescent="0.15">
      <c r="A740" t="s">
        <v>72</v>
      </c>
      <c r="B740" t="s">
        <v>14192</v>
      </c>
      <c r="C740" t="s">
        <v>74</v>
      </c>
      <c r="D740" t="s">
        <v>74</v>
      </c>
      <c r="E740" t="s">
        <v>74</v>
      </c>
      <c r="F740" t="s">
        <v>14193</v>
      </c>
      <c r="G740" t="s">
        <v>74</v>
      </c>
      <c r="H740" t="s">
        <v>74</v>
      </c>
      <c r="I740" t="s">
        <v>14194</v>
      </c>
      <c r="J740" t="s">
        <v>4311</v>
      </c>
      <c r="K740" t="s">
        <v>74</v>
      </c>
      <c r="L740" t="s">
        <v>74</v>
      </c>
      <c r="M740" t="s">
        <v>78</v>
      </c>
      <c r="N740" t="s">
        <v>79</v>
      </c>
      <c r="O740" t="s">
        <v>74</v>
      </c>
      <c r="P740" t="s">
        <v>74</v>
      </c>
      <c r="Q740" t="s">
        <v>74</v>
      </c>
      <c r="R740" t="s">
        <v>74</v>
      </c>
      <c r="S740" t="s">
        <v>74</v>
      </c>
      <c r="T740" t="s">
        <v>14195</v>
      </c>
      <c r="U740" t="s">
        <v>14196</v>
      </c>
      <c r="V740" t="s">
        <v>14197</v>
      </c>
      <c r="W740" t="s">
        <v>14198</v>
      </c>
      <c r="X740" t="s">
        <v>14199</v>
      </c>
      <c r="Y740" t="s">
        <v>14200</v>
      </c>
      <c r="Z740" t="s">
        <v>14201</v>
      </c>
      <c r="AA740" t="s">
        <v>14202</v>
      </c>
      <c r="AB740" t="s">
        <v>14203</v>
      </c>
      <c r="AC740" t="s">
        <v>14204</v>
      </c>
      <c r="AD740" t="s">
        <v>14205</v>
      </c>
      <c r="AE740" t="s">
        <v>14206</v>
      </c>
      <c r="AF740" t="s">
        <v>74</v>
      </c>
      <c r="AG740">
        <v>53</v>
      </c>
      <c r="AH740">
        <v>42</v>
      </c>
      <c r="AI740">
        <v>45</v>
      </c>
      <c r="AJ740">
        <v>0</v>
      </c>
      <c r="AK740">
        <v>48</v>
      </c>
      <c r="AL740" t="s">
        <v>4318</v>
      </c>
      <c r="AM740" t="s">
        <v>808</v>
      </c>
      <c r="AN740" t="s">
        <v>4319</v>
      </c>
      <c r="AO740" t="s">
        <v>4320</v>
      </c>
      <c r="AP740" t="s">
        <v>74</v>
      </c>
      <c r="AQ740" t="s">
        <v>74</v>
      </c>
      <c r="AR740" t="s">
        <v>4321</v>
      </c>
      <c r="AS740" t="s">
        <v>4322</v>
      </c>
      <c r="AT740" t="s">
        <v>14188</v>
      </c>
      <c r="AU740">
        <v>2013</v>
      </c>
      <c r="AV740">
        <v>110</v>
      </c>
      <c r="AW740">
        <v>39</v>
      </c>
      <c r="AX740" t="s">
        <v>74</v>
      </c>
      <c r="AY740" t="s">
        <v>74</v>
      </c>
      <c r="AZ740" t="s">
        <v>74</v>
      </c>
      <c r="BA740" t="s">
        <v>74</v>
      </c>
      <c r="BB740">
        <v>15734</v>
      </c>
      <c r="BC740">
        <v>15739</v>
      </c>
      <c r="BD740" t="s">
        <v>74</v>
      </c>
      <c r="BE740" t="s">
        <v>14207</v>
      </c>
      <c r="BF740" t="str">
        <f>HYPERLINK("http://dx.doi.org/10.1073/pnas.1302870110","http://dx.doi.org/10.1073/pnas.1302870110")</f>
        <v>http://dx.doi.org/10.1073/pnas.1302870110</v>
      </c>
      <c r="BG740" t="s">
        <v>74</v>
      </c>
      <c r="BH740" t="s">
        <v>74</v>
      </c>
      <c r="BI740">
        <v>6</v>
      </c>
      <c r="BJ740" t="s">
        <v>2652</v>
      </c>
      <c r="BK740" t="s">
        <v>99</v>
      </c>
      <c r="BL740" t="s">
        <v>2653</v>
      </c>
      <c r="BM740" t="s">
        <v>14190</v>
      </c>
      <c r="BN740">
        <v>24019487</v>
      </c>
      <c r="BO740" t="s">
        <v>1648</v>
      </c>
      <c r="BP740" t="s">
        <v>74</v>
      </c>
      <c r="BQ740" t="s">
        <v>74</v>
      </c>
      <c r="BR740" t="s">
        <v>103</v>
      </c>
      <c r="BS740" t="s">
        <v>14208</v>
      </c>
      <c r="BT740" t="str">
        <f>HYPERLINK("https%3A%2F%2Fwww.webofscience.com%2Fwos%2Fwoscc%2Ffull-record%2FWOS:000324765100053","View Full Record in Web of Science")</f>
        <v>View Full Record in Web of Science</v>
      </c>
    </row>
    <row r="741" spans="1:72" x14ac:dyDescent="0.15">
      <c r="A741" t="s">
        <v>72</v>
      </c>
      <c r="B741" t="s">
        <v>14209</v>
      </c>
      <c r="C741" t="s">
        <v>74</v>
      </c>
      <c r="D741" t="s">
        <v>74</v>
      </c>
      <c r="E741" t="s">
        <v>74</v>
      </c>
      <c r="F741" t="s">
        <v>14210</v>
      </c>
      <c r="G741" t="s">
        <v>74</v>
      </c>
      <c r="H741" t="s">
        <v>74</v>
      </c>
      <c r="I741" t="s">
        <v>14211</v>
      </c>
      <c r="J741" t="s">
        <v>14212</v>
      </c>
      <c r="K741" t="s">
        <v>74</v>
      </c>
      <c r="L741" t="s">
        <v>74</v>
      </c>
      <c r="M741" t="s">
        <v>78</v>
      </c>
      <c r="N741" t="s">
        <v>79</v>
      </c>
      <c r="O741" t="s">
        <v>74</v>
      </c>
      <c r="P741" t="s">
        <v>74</v>
      </c>
      <c r="Q741" t="s">
        <v>74</v>
      </c>
      <c r="R741" t="s">
        <v>74</v>
      </c>
      <c r="S741" t="s">
        <v>74</v>
      </c>
      <c r="T741" t="s">
        <v>74</v>
      </c>
      <c r="U741" t="s">
        <v>14213</v>
      </c>
      <c r="V741" t="s">
        <v>14214</v>
      </c>
      <c r="W741" t="s">
        <v>14215</v>
      </c>
      <c r="X741" t="s">
        <v>14216</v>
      </c>
      <c r="Y741" t="s">
        <v>14217</v>
      </c>
      <c r="Z741" t="s">
        <v>74</v>
      </c>
      <c r="AA741" t="s">
        <v>11116</v>
      </c>
      <c r="AB741" t="s">
        <v>11117</v>
      </c>
      <c r="AC741" t="s">
        <v>14218</v>
      </c>
      <c r="AD741" t="s">
        <v>14219</v>
      </c>
      <c r="AE741" t="s">
        <v>14220</v>
      </c>
      <c r="AF741" t="s">
        <v>74</v>
      </c>
      <c r="AG741">
        <v>36</v>
      </c>
      <c r="AH741">
        <v>73</v>
      </c>
      <c r="AI741">
        <v>80</v>
      </c>
      <c r="AJ741">
        <v>0</v>
      </c>
      <c r="AK741">
        <v>5</v>
      </c>
      <c r="AL741" t="s">
        <v>14221</v>
      </c>
      <c r="AM741" t="s">
        <v>14222</v>
      </c>
      <c r="AN741" t="s">
        <v>14223</v>
      </c>
      <c r="AO741" t="s">
        <v>14224</v>
      </c>
      <c r="AP741" t="s">
        <v>14225</v>
      </c>
      <c r="AQ741" t="s">
        <v>74</v>
      </c>
      <c r="AR741" t="s">
        <v>14226</v>
      </c>
      <c r="AS741" t="s">
        <v>14227</v>
      </c>
      <c r="AT741" t="s">
        <v>14228</v>
      </c>
      <c r="AU741">
        <v>2013</v>
      </c>
      <c r="AV741">
        <v>88</v>
      </c>
      <c r="AW741">
        <v>6</v>
      </c>
      <c r="AX741" t="s">
        <v>74</v>
      </c>
      <c r="AY741" t="s">
        <v>74</v>
      </c>
      <c r="AZ741" t="s">
        <v>74</v>
      </c>
      <c r="BA741" t="s">
        <v>74</v>
      </c>
      <c r="BB741" t="s">
        <v>74</v>
      </c>
      <c r="BC741" t="s">
        <v>74</v>
      </c>
      <c r="BD741">
        <v>67304</v>
      </c>
      <c r="BE741" t="s">
        <v>14229</v>
      </c>
      <c r="BF741" t="str">
        <f>HYPERLINK("http://dx.doi.org/10.1103/PhysRevD.88.067304","http://dx.doi.org/10.1103/PhysRevD.88.067304")</f>
        <v>http://dx.doi.org/10.1103/PhysRevD.88.067304</v>
      </c>
      <c r="BG741" t="s">
        <v>74</v>
      </c>
      <c r="BH741" t="s">
        <v>74</v>
      </c>
      <c r="BI741">
        <v>4</v>
      </c>
      <c r="BJ741" t="s">
        <v>14230</v>
      </c>
      <c r="BK741" t="s">
        <v>99</v>
      </c>
      <c r="BL741" t="s">
        <v>14231</v>
      </c>
      <c r="BM741" t="s">
        <v>14232</v>
      </c>
      <c r="BN741" t="s">
        <v>74</v>
      </c>
      <c r="BO741" t="s">
        <v>1145</v>
      </c>
      <c r="BP741" t="s">
        <v>74</v>
      </c>
      <c r="BQ741" t="s">
        <v>74</v>
      </c>
      <c r="BR741" t="s">
        <v>103</v>
      </c>
      <c r="BS741" t="s">
        <v>14233</v>
      </c>
      <c r="BT741" t="str">
        <f>HYPERLINK("https%3A%2F%2Fwww.webofscience.com%2Fwos%2Fwoscc%2Ffull-record%2FWOS:000324691500017","View Full Record in Web of Science")</f>
        <v>View Full Record in Web of Science</v>
      </c>
    </row>
    <row r="742" spans="1:72" x14ac:dyDescent="0.15">
      <c r="A742" t="s">
        <v>72</v>
      </c>
      <c r="B742" t="s">
        <v>14234</v>
      </c>
      <c r="C742" t="s">
        <v>74</v>
      </c>
      <c r="D742" t="s">
        <v>74</v>
      </c>
      <c r="E742" t="s">
        <v>74</v>
      </c>
      <c r="F742" t="s">
        <v>14235</v>
      </c>
      <c r="G742" t="s">
        <v>74</v>
      </c>
      <c r="H742" t="s">
        <v>74</v>
      </c>
      <c r="I742" t="s">
        <v>14236</v>
      </c>
      <c r="J742" t="s">
        <v>8086</v>
      </c>
      <c r="K742" t="s">
        <v>74</v>
      </c>
      <c r="L742" t="s">
        <v>74</v>
      </c>
      <c r="M742" t="s">
        <v>78</v>
      </c>
      <c r="N742" t="s">
        <v>79</v>
      </c>
      <c r="O742" t="s">
        <v>74</v>
      </c>
      <c r="P742" t="s">
        <v>74</v>
      </c>
      <c r="Q742" t="s">
        <v>74</v>
      </c>
      <c r="R742" t="s">
        <v>74</v>
      </c>
      <c r="S742" t="s">
        <v>74</v>
      </c>
      <c r="T742" t="s">
        <v>14237</v>
      </c>
      <c r="U742" t="s">
        <v>14238</v>
      </c>
      <c r="V742" t="s">
        <v>14239</v>
      </c>
      <c r="W742" t="s">
        <v>14240</v>
      </c>
      <c r="X742" t="s">
        <v>14241</v>
      </c>
      <c r="Y742" t="s">
        <v>14242</v>
      </c>
      <c r="Z742" t="s">
        <v>14243</v>
      </c>
      <c r="AA742" t="s">
        <v>74</v>
      </c>
      <c r="AB742" t="s">
        <v>14244</v>
      </c>
      <c r="AC742" t="s">
        <v>14245</v>
      </c>
      <c r="AD742" t="s">
        <v>14246</v>
      </c>
      <c r="AE742" t="s">
        <v>14247</v>
      </c>
      <c r="AF742" t="s">
        <v>74</v>
      </c>
      <c r="AG742">
        <v>30</v>
      </c>
      <c r="AH742">
        <v>42</v>
      </c>
      <c r="AI742">
        <v>47</v>
      </c>
      <c r="AJ742">
        <v>1</v>
      </c>
      <c r="AK742">
        <v>70</v>
      </c>
      <c r="AL742" t="s">
        <v>848</v>
      </c>
      <c r="AM742" t="s">
        <v>849</v>
      </c>
      <c r="AN742" t="s">
        <v>850</v>
      </c>
      <c r="AO742" t="s">
        <v>8096</v>
      </c>
      <c r="AP742" t="s">
        <v>74</v>
      </c>
      <c r="AQ742" t="s">
        <v>74</v>
      </c>
      <c r="AR742" t="s">
        <v>8086</v>
      </c>
      <c r="AS742" t="s">
        <v>8097</v>
      </c>
      <c r="AT742" t="s">
        <v>14248</v>
      </c>
      <c r="AU742">
        <v>2013</v>
      </c>
      <c r="AV742">
        <v>14</v>
      </c>
      <c r="AW742" t="s">
        <v>74</v>
      </c>
      <c r="AX742" t="s">
        <v>74</v>
      </c>
      <c r="AY742" t="s">
        <v>74</v>
      </c>
      <c r="AZ742" t="s">
        <v>74</v>
      </c>
      <c r="BA742" t="s">
        <v>74</v>
      </c>
      <c r="BB742" t="s">
        <v>74</v>
      </c>
      <c r="BC742" t="s">
        <v>74</v>
      </c>
      <c r="BD742">
        <v>634</v>
      </c>
      <c r="BE742" t="s">
        <v>14249</v>
      </c>
      <c r="BF742" t="str">
        <f>HYPERLINK("http://dx.doi.org/10.1186/1471-2164-14-634","http://dx.doi.org/10.1186/1471-2164-14-634")</f>
        <v>http://dx.doi.org/10.1186/1471-2164-14-634</v>
      </c>
      <c r="BG742" t="s">
        <v>74</v>
      </c>
      <c r="BH742" t="s">
        <v>74</v>
      </c>
      <c r="BI742">
        <v>16</v>
      </c>
      <c r="BJ742" t="s">
        <v>855</v>
      </c>
      <c r="BK742" t="s">
        <v>99</v>
      </c>
      <c r="BL742" t="s">
        <v>855</v>
      </c>
      <c r="BM742" t="s">
        <v>14250</v>
      </c>
      <c r="BN742">
        <v>24053439</v>
      </c>
      <c r="BO742" t="s">
        <v>616</v>
      </c>
      <c r="BP742" t="s">
        <v>74</v>
      </c>
      <c r="BQ742" t="s">
        <v>74</v>
      </c>
      <c r="BR742" t="s">
        <v>103</v>
      </c>
      <c r="BS742" t="s">
        <v>14251</v>
      </c>
      <c r="BT742" t="str">
        <f>HYPERLINK("https%3A%2F%2Fwww.webofscience.com%2Fwos%2Fwoscc%2Ffull-record%2FWOS:000325082400001","View Full Record in Web of Science")</f>
        <v>View Full Record in Web of Science</v>
      </c>
    </row>
    <row r="743" spans="1:72" x14ac:dyDescent="0.15">
      <c r="A743" t="s">
        <v>72</v>
      </c>
      <c r="B743" t="s">
        <v>14252</v>
      </c>
      <c r="C743" t="s">
        <v>74</v>
      </c>
      <c r="D743" t="s">
        <v>74</v>
      </c>
      <c r="E743" t="s">
        <v>74</v>
      </c>
      <c r="F743" t="s">
        <v>14253</v>
      </c>
      <c r="G743" t="s">
        <v>74</v>
      </c>
      <c r="H743" t="s">
        <v>74</v>
      </c>
      <c r="I743" t="s">
        <v>14254</v>
      </c>
      <c r="J743" t="s">
        <v>4193</v>
      </c>
      <c r="K743" t="s">
        <v>74</v>
      </c>
      <c r="L743" t="s">
        <v>74</v>
      </c>
      <c r="M743" t="s">
        <v>78</v>
      </c>
      <c r="N743" t="s">
        <v>79</v>
      </c>
      <c r="O743" t="s">
        <v>74</v>
      </c>
      <c r="P743" t="s">
        <v>74</v>
      </c>
      <c r="Q743" t="s">
        <v>74</v>
      </c>
      <c r="R743" t="s">
        <v>74</v>
      </c>
      <c r="S743" t="s">
        <v>74</v>
      </c>
      <c r="T743" t="s">
        <v>11109</v>
      </c>
      <c r="U743" t="s">
        <v>14255</v>
      </c>
      <c r="V743" t="s">
        <v>14256</v>
      </c>
      <c r="W743" t="s">
        <v>14257</v>
      </c>
      <c r="X743" t="s">
        <v>14258</v>
      </c>
      <c r="Y743" t="s">
        <v>14259</v>
      </c>
      <c r="Z743" t="s">
        <v>14260</v>
      </c>
      <c r="AA743" t="s">
        <v>11116</v>
      </c>
      <c r="AB743" t="s">
        <v>14261</v>
      </c>
      <c r="AC743" t="s">
        <v>14262</v>
      </c>
      <c r="AD743" t="s">
        <v>14263</v>
      </c>
      <c r="AE743" t="s">
        <v>14264</v>
      </c>
      <c r="AF743" t="s">
        <v>74</v>
      </c>
      <c r="AG743">
        <v>36</v>
      </c>
      <c r="AH743">
        <v>15</v>
      </c>
      <c r="AI743">
        <v>16</v>
      </c>
      <c r="AJ743">
        <v>0</v>
      </c>
      <c r="AK743">
        <v>3</v>
      </c>
      <c r="AL743" t="s">
        <v>4206</v>
      </c>
      <c r="AM743" t="s">
        <v>4207</v>
      </c>
      <c r="AN743" t="s">
        <v>4208</v>
      </c>
      <c r="AO743" t="s">
        <v>4209</v>
      </c>
      <c r="AP743" t="s">
        <v>74</v>
      </c>
      <c r="AQ743" t="s">
        <v>74</v>
      </c>
      <c r="AR743" t="s">
        <v>4211</v>
      </c>
      <c r="AS743" t="s">
        <v>4212</v>
      </c>
      <c r="AT743" t="s">
        <v>14265</v>
      </c>
      <c r="AU743">
        <v>2013</v>
      </c>
      <c r="AV743">
        <v>775</v>
      </c>
      <c r="AW743">
        <v>1</v>
      </c>
      <c r="AX743" t="s">
        <v>74</v>
      </c>
      <c r="AY743" t="s">
        <v>74</v>
      </c>
      <c r="AZ743" t="s">
        <v>74</v>
      </c>
      <c r="BA743" t="s">
        <v>74</v>
      </c>
      <c r="BB743" t="s">
        <v>74</v>
      </c>
      <c r="BC743" t="s">
        <v>74</v>
      </c>
      <c r="BD743" t="s">
        <v>14266</v>
      </c>
      <c r="BE743" t="s">
        <v>14267</v>
      </c>
      <c r="BF743" t="str">
        <f>HYPERLINK("http://dx.doi.org/10.1088/2041-8205/775/1/L19","http://dx.doi.org/10.1088/2041-8205/775/1/L19")</f>
        <v>http://dx.doi.org/10.1088/2041-8205/775/1/L19</v>
      </c>
      <c r="BG743" t="s">
        <v>74</v>
      </c>
      <c r="BH743" t="s">
        <v>74</v>
      </c>
      <c r="BI743">
        <v>4</v>
      </c>
      <c r="BJ743" t="s">
        <v>1705</v>
      </c>
      <c r="BK743" t="s">
        <v>99</v>
      </c>
      <c r="BL743" t="s">
        <v>1705</v>
      </c>
      <c r="BM743" t="s">
        <v>14268</v>
      </c>
      <c r="BN743" t="s">
        <v>74</v>
      </c>
      <c r="BO743" t="s">
        <v>1733</v>
      </c>
      <c r="BP743" t="s">
        <v>74</v>
      </c>
      <c r="BQ743" t="s">
        <v>74</v>
      </c>
      <c r="BR743" t="s">
        <v>103</v>
      </c>
      <c r="BS743" t="s">
        <v>14269</v>
      </c>
      <c r="BT743" t="str">
        <f>HYPERLINK("https%3A%2F%2Fwww.webofscience.com%2Fwos%2Fwoscc%2Ffull-record%2FWOS:000324340500019","View Full Record in Web of Science")</f>
        <v>View Full Record in Web of Science</v>
      </c>
    </row>
    <row r="744" spans="1:72" x14ac:dyDescent="0.15">
      <c r="A744" t="s">
        <v>72</v>
      </c>
      <c r="B744" t="s">
        <v>14270</v>
      </c>
      <c r="C744" t="s">
        <v>74</v>
      </c>
      <c r="D744" t="s">
        <v>74</v>
      </c>
      <c r="E744" t="s">
        <v>74</v>
      </c>
      <c r="F744" t="s">
        <v>14271</v>
      </c>
      <c r="G744" t="s">
        <v>74</v>
      </c>
      <c r="H744" t="s">
        <v>74</v>
      </c>
      <c r="I744" t="s">
        <v>14272</v>
      </c>
      <c r="J744" t="s">
        <v>4072</v>
      </c>
      <c r="K744" t="s">
        <v>74</v>
      </c>
      <c r="L744" t="s">
        <v>74</v>
      </c>
      <c r="M744" t="s">
        <v>78</v>
      </c>
      <c r="N744" t="s">
        <v>79</v>
      </c>
      <c r="O744" t="s">
        <v>74</v>
      </c>
      <c r="P744" t="s">
        <v>74</v>
      </c>
      <c r="Q744" t="s">
        <v>74</v>
      </c>
      <c r="R744" t="s">
        <v>74</v>
      </c>
      <c r="S744" t="s">
        <v>74</v>
      </c>
      <c r="T744" t="s">
        <v>74</v>
      </c>
      <c r="U744" t="s">
        <v>14273</v>
      </c>
      <c r="V744" t="s">
        <v>14274</v>
      </c>
      <c r="W744" t="s">
        <v>14275</v>
      </c>
      <c r="X744" t="s">
        <v>14276</v>
      </c>
      <c r="Y744" t="s">
        <v>14277</v>
      </c>
      <c r="Z744" t="s">
        <v>14278</v>
      </c>
      <c r="AA744" t="s">
        <v>14279</v>
      </c>
      <c r="AB744" t="s">
        <v>14280</v>
      </c>
      <c r="AC744" t="s">
        <v>14281</v>
      </c>
      <c r="AD744" t="s">
        <v>14282</v>
      </c>
      <c r="AE744" t="s">
        <v>14283</v>
      </c>
      <c r="AF744" t="s">
        <v>74</v>
      </c>
      <c r="AG744">
        <v>37</v>
      </c>
      <c r="AH744">
        <v>6</v>
      </c>
      <c r="AI744">
        <v>7</v>
      </c>
      <c r="AJ744">
        <v>1</v>
      </c>
      <c r="AK744">
        <v>60</v>
      </c>
      <c r="AL744" t="s">
        <v>4084</v>
      </c>
      <c r="AM744" t="s">
        <v>4085</v>
      </c>
      <c r="AN744" t="s">
        <v>4086</v>
      </c>
      <c r="AO744" t="s">
        <v>4087</v>
      </c>
      <c r="AP744" t="s">
        <v>74</v>
      </c>
      <c r="AQ744" t="s">
        <v>74</v>
      </c>
      <c r="AR744" t="s">
        <v>4072</v>
      </c>
      <c r="AS744" t="s">
        <v>4088</v>
      </c>
      <c r="AT744" t="s">
        <v>14265</v>
      </c>
      <c r="AU744">
        <v>2013</v>
      </c>
      <c r="AV744">
        <v>8</v>
      </c>
      <c r="AW744">
        <v>9</v>
      </c>
      <c r="AX744" t="s">
        <v>74</v>
      </c>
      <c r="AY744" t="s">
        <v>74</v>
      </c>
      <c r="AZ744" t="s">
        <v>74</v>
      </c>
      <c r="BA744" t="s">
        <v>74</v>
      </c>
      <c r="BB744" t="s">
        <v>74</v>
      </c>
      <c r="BC744" t="s">
        <v>74</v>
      </c>
      <c r="BD744" t="s">
        <v>14284</v>
      </c>
      <c r="BE744" t="s">
        <v>14285</v>
      </c>
      <c r="BF744" t="str">
        <f>HYPERLINK("http://dx.doi.org/10.1371/journal.pone.0073477","http://dx.doi.org/10.1371/journal.pone.0073477")</f>
        <v>http://dx.doi.org/10.1371/journal.pone.0073477</v>
      </c>
      <c r="BG744" t="s">
        <v>74</v>
      </c>
      <c r="BH744" t="s">
        <v>74</v>
      </c>
      <c r="BI744">
        <v>12</v>
      </c>
      <c r="BJ744" t="s">
        <v>2652</v>
      </c>
      <c r="BK744" t="s">
        <v>99</v>
      </c>
      <c r="BL744" t="s">
        <v>2653</v>
      </c>
      <c r="BM744" t="s">
        <v>14286</v>
      </c>
      <c r="BN744">
        <v>24073195</v>
      </c>
      <c r="BO744" t="s">
        <v>14287</v>
      </c>
      <c r="BP744" t="s">
        <v>74</v>
      </c>
      <c r="BQ744" t="s">
        <v>74</v>
      </c>
      <c r="BR744" t="s">
        <v>103</v>
      </c>
      <c r="BS744" t="s">
        <v>14288</v>
      </c>
      <c r="BT744" t="str">
        <f>HYPERLINK("https%3A%2F%2Fwww.webofscience.com%2Fwos%2Fwoscc%2Ffull-record%2FWOS:000324768000004","View Full Record in Web of Science")</f>
        <v>View Full Record in Web of Science</v>
      </c>
    </row>
    <row r="745" spans="1:72" x14ac:dyDescent="0.15">
      <c r="A745" t="s">
        <v>72</v>
      </c>
      <c r="B745" t="s">
        <v>14289</v>
      </c>
      <c r="C745" t="s">
        <v>74</v>
      </c>
      <c r="D745" t="s">
        <v>74</v>
      </c>
      <c r="E745" t="s">
        <v>74</v>
      </c>
      <c r="F745" t="s">
        <v>14290</v>
      </c>
      <c r="G745" t="s">
        <v>74</v>
      </c>
      <c r="H745" t="s">
        <v>74</v>
      </c>
      <c r="I745" t="s">
        <v>14291</v>
      </c>
      <c r="J745" t="s">
        <v>4220</v>
      </c>
      <c r="K745" t="s">
        <v>74</v>
      </c>
      <c r="L745" t="s">
        <v>74</v>
      </c>
      <c r="M745" t="s">
        <v>78</v>
      </c>
      <c r="N745" t="s">
        <v>79</v>
      </c>
      <c r="O745" t="s">
        <v>74</v>
      </c>
      <c r="P745" t="s">
        <v>74</v>
      </c>
      <c r="Q745" t="s">
        <v>74</v>
      </c>
      <c r="R745" t="s">
        <v>74</v>
      </c>
      <c r="S745" t="s">
        <v>74</v>
      </c>
      <c r="T745" t="s">
        <v>14292</v>
      </c>
      <c r="U745" t="s">
        <v>14293</v>
      </c>
      <c r="V745" t="s">
        <v>14294</v>
      </c>
      <c r="W745" t="s">
        <v>14295</v>
      </c>
      <c r="X745" t="s">
        <v>14296</v>
      </c>
      <c r="Y745" t="s">
        <v>14297</v>
      </c>
      <c r="Z745" t="s">
        <v>14298</v>
      </c>
      <c r="AA745" t="s">
        <v>14299</v>
      </c>
      <c r="AB745" t="s">
        <v>14300</v>
      </c>
      <c r="AC745" t="s">
        <v>14301</v>
      </c>
      <c r="AD745" t="s">
        <v>14302</v>
      </c>
      <c r="AE745" t="s">
        <v>14303</v>
      </c>
      <c r="AF745" t="s">
        <v>74</v>
      </c>
      <c r="AG745">
        <v>70</v>
      </c>
      <c r="AH745">
        <v>55</v>
      </c>
      <c r="AI745">
        <v>62</v>
      </c>
      <c r="AJ745">
        <v>0</v>
      </c>
      <c r="AK745">
        <v>44</v>
      </c>
      <c r="AL745" t="s">
        <v>304</v>
      </c>
      <c r="AM745" t="s">
        <v>305</v>
      </c>
      <c r="AN745" t="s">
        <v>306</v>
      </c>
      <c r="AO745" t="s">
        <v>4233</v>
      </c>
      <c r="AP745" t="s">
        <v>4234</v>
      </c>
      <c r="AQ745" t="s">
        <v>74</v>
      </c>
      <c r="AR745" t="s">
        <v>4235</v>
      </c>
      <c r="AS745" t="s">
        <v>4236</v>
      </c>
      <c r="AT745" t="s">
        <v>14265</v>
      </c>
      <c r="AU745">
        <v>2013</v>
      </c>
      <c r="AV745">
        <v>155</v>
      </c>
      <c r="AW745" t="s">
        <v>74</v>
      </c>
      <c r="AX745" t="s">
        <v>74</v>
      </c>
      <c r="AY745" t="s">
        <v>74</v>
      </c>
      <c r="AZ745" t="s">
        <v>74</v>
      </c>
      <c r="BA745" t="s">
        <v>74</v>
      </c>
      <c r="BB745">
        <v>135</v>
      </c>
      <c r="BC745">
        <v>147</v>
      </c>
      <c r="BD745" t="s">
        <v>74</v>
      </c>
      <c r="BE745" t="s">
        <v>14304</v>
      </c>
      <c r="BF745" t="str">
        <f>HYPERLINK("http://dx.doi.org/10.1016/j.marchem.2013.06.006","http://dx.doi.org/10.1016/j.marchem.2013.06.006")</f>
        <v>http://dx.doi.org/10.1016/j.marchem.2013.06.006</v>
      </c>
      <c r="BG745" t="s">
        <v>74</v>
      </c>
      <c r="BH745" t="s">
        <v>74</v>
      </c>
      <c r="BI745">
        <v>13</v>
      </c>
      <c r="BJ745" t="s">
        <v>4238</v>
      </c>
      <c r="BK745" t="s">
        <v>99</v>
      </c>
      <c r="BL745" t="s">
        <v>4239</v>
      </c>
      <c r="BM745" t="s">
        <v>14305</v>
      </c>
      <c r="BN745" t="s">
        <v>74</v>
      </c>
      <c r="BO745" t="s">
        <v>74</v>
      </c>
      <c r="BP745" t="s">
        <v>74</v>
      </c>
      <c r="BQ745" t="s">
        <v>74</v>
      </c>
      <c r="BR745" t="s">
        <v>103</v>
      </c>
      <c r="BS745" t="s">
        <v>14306</v>
      </c>
      <c r="BT745" t="str">
        <f>HYPERLINK("https%3A%2F%2Fwww.webofscience.com%2Fwos%2Fwoscc%2Ffull-record%2FWOS:000324362600013","View Full Record in Web of Science")</f>
        <v>View Full Record in Web of Science</v>
      </c>
    </row>
    <row r="746" spans="1:72" x14ac:dyDescent="0.15">
      <c r="A746" t="s">
        <v>72</v>
      </c>
      <c r="B746" t="s">
        <v>14307</v>
      </c>
      <c r="C746" t="s">
        <v>74</v>
      </c>
      <c r="D746" t="s">
        <v>74</v>
      </c>
      <c r="E746" t="s">
        <v>74</v>
      </c>
      <c r="F746" t="s">
        <v>14308</v>
      </c>
      <c r="G746" t="s">
        <v>74</v>
      </c>
      <c r="H746" t="s">
        <v>74</v>
      </c>
      <c r="I746" t="s">
        <v>14309</v>
      </c>
      <c r="J746" t="s">
        <v>11078</v>
      </c>
      <c r="K746" t="s">
        <v>74</v>
      </c>
      <c r="L746" t="s">
        <v>74</v>
      </c>
      <c r="M746" t="s">
        <v>78</v>
      </c>
      <c r="N746" t="s">
        <v>79</v>
      </c>
      <c r="O746" t="s">
        <v>74</v>
      </c>
      <c r="P746" t="s">
        <v>74</v>
      </c>
      <c r="Q746" t="s">
        <v>74</v>
      </c>
      <c r="R746" t="s">
        <v>74</v>
      </c>
      <c r="S746" t="s">
        <v>74</v>
      </c>
      <c r="T746" t="s">
        <v>74</v>
      </c>
      <c r="U746" t="s">
        <v>14310</v>
      </c>
      <c r="V746" t="s">
        <v>14311</v>
      </c>
      <c r="W746" t="s">
        <v>14312</v>
      </c>
      <c r="X746" t="s">
        <v>14313</v>
      </c>
      <c r="Y746" t="s">
        <v>14314</v>
      </c>
      <c r="Z746" t="s">
        <v>14315</v>
      </c>
      <c r="AA746" t="s">
        <v>14316</v>
      </c>
      <c r="AB746" t="s">
        <v>14317</v>
      </c>
      <c r="AC746" t="s">
        <v>14318</v>
      </c>
      <c r="AD746" t="s">
        <v>14319</v>
      </c>
      <c r="AE746" t="s">
        <v>14320</v>
      </c>
      <c r="AF746" t="s">
        <v>74</v>
      </c>
      <c r="AG746">
        <v>34</v>
      </c>
      <c r="AH746">
        <v>57</v>
      </c>
      <c r="AI746">
        <v>59</v>
      </c>
      <c r="AJ746">
        <v>1</v>
      </c>
      <c r="AK746">
        <v>53</v>
      </c>
      <c r="AL746" t="s">
        <v>1371</v>
      </c>
      <c r="AM746" t="s">
        <v>849</v>
      </c>
      <c r="AN746" t="s">
        <v>1372</v>
      </c>
      <c r="AO746" t="s">
        <v>11081</v>
      </c>
      <c r="AP746" t="s">
        <v>11082</v>
      </c>
      <c r="AQ746" t="s">
        <v>74</v>
      </c>
      <c r="AR746" t="s">
        <v>11078</v>
      </c>
      <c r="AS746" t="s">
        <v>11083</v>
      </c>
      <c r="AT746" t="s">
        <v>14321</v>
      </c>
      <c r="AU746">
        <v>2013</v>
      </c>
      <c r="AV746">
        <v>501</v>
      </c>
      <c r="AW746">
        <v>7467</v>
      </c>
      <c r="AX746" t="s">
        <v>74</v>
      </c>
      <c r="AY746" t="s">
        <v>74</v>
      </c>
      <c r="AZ746" t="s">
        <v>74</v>
      </c>
      <c r="BA746" t="s">
        <v>74</v>
      </c>
      <c r="BB746">
        <v>408</v>
      </c>
      <c r="BC746" t="s">
        <v>629</v>
      </c>
      <c r="BD746" t="s">
        <v>74</v>
      </c>
      <c r="BE746" t="s">
        <v>14322</v>
      </c>
      <c r="BF746" t="str">
        <f>HYPERLINK("http://dx.doi.org/10.1038/nature12432","http://dx.doi.org/10.1038/nature12432")</f>
        <v>http://dx.doi.org/10.1038/nature12432</v>
      </c>
      <c r="BG746" t="s">
        <v>74</v>
      </c>
      <c r="BH746" t="s">
        <v>74</v>
      </c>
      <c r="BI746">
        <v>6</v>
      </c>
      <c r="BJ746" t="s">
        <v>2652</v>
      </c>
      <c r="BK746" t="s">
        <v>99</v>
      </c>
      <c r="BL746" t="s">
        <v>2653</v>
      </c>
      <c r="BM746" t="s">
        <v>14323</v>
      </c>
      <c r="BN746">
        <v>24048070</v>
      </c>
      <c r="BO746" t="s">
        <v>450</v>
      </c>
      <c r="BP746" t="s">
        <v>74</v>
      </c>
      <c r="BQ746" t="s">
        <v>74</v>
      </c>
      <c r="BR746" t="s">
        <v>103</v>
      </c>
      <c r="BS746" t="s">
        <v>14324</v>
      </c>
      <c r="BT746" t="str">
        <f>HYPERLINK("https%3A%2F%2Fwww.webofscience.com%2Fwos%2Fwoscc%2Ffull-record%2FWOS:000324545700043","View Full Record in Web of Science")</f>
        <v>View Full Record in Web of Science</v>
      </c>
    </row>
    <row r="747" spans="1:72" x14ac:dyDescent="0.15">
      <c r="A747" t="s">
        <v>72</v>
      </c>
      <c r="B747" t="s">
        <v>14325</v>
      </c>
      <c r="C747" t="s">
        <v>74</v>
      </c>
      <c r="D747" t="s">
        <v>74</v>
      </c>
      <c r="E747" t="s">
        <v>74</v>
      </c>
      <c r="F747" t="s">
        <v>14326</v>
      </c>
      <c r="G747" t="s">
        <v>74</v>
      </c>
      <c r="H747" t="s">
        <v>74</v>
      </c>
      <c r="I747" t="s">
        <v>14327</v>
      </c>
      <c r="J747" t="s">
        <v>4346</v>
      </c>
      <c r="K747" t="s">
        <v>74</v>
      </c>
      <c r="L747" t="s">
        <v>74</v>
      </c>
      <c r="M747" t="s">
        <v>78</v>
      </c>
      <c r="N747" t="s">
        <v>79</v>
      </c>
      <c r="O747" t="s">
        <v>74</v>
      </c>
      <c r="P747" t="s">
        <v>74</v>
      </c>
      <c r="Q747" t="s">
        <v>74</v>
      </c>
      <c r="R747" t="s">
        <v>74</v>
      </c>
      <c r="S747" t="s">
        <v>74</v>
      </c>
      <c r="T747" t="s">
        <v>14328</v>
      </c>
      <c r="U747" t="s">
        <v>14329</v>
      </c>
      <c r="V747" t="s">
        <v>14330</v>
      </c>
      <c r="W747" t="s">
        <v>14331</v>
      </c>
      <c r="X747" t="s">
        <v>14332</v>
      </c>
      <c r="Y747" t="s">
        <v>14333</v>
      </c>
      <c r="Z747" t="s">
        <v>14334</v>
      </c>
      <c r="AA747" t="s">
        <v>14335</v>
      </c>
      <c r="AB747" t="s">
        <v>14336</v>
      </c>
      <c r="AC747" t="s">
        <v>14337</v>
      </c>
      <c r="AD747" t="s">
        <v>14338</v>
      </c>
      <c r="AE747" t="s">
        <v>14339</v>
      </c>
      <c r="AF747" t="s">
        <v>74</v>
      </c>
      <c r="AG747">
        <v>43</v>
      </c>
      <c r="AH747">
        <v>26</v>
      </c>
      <c r="AI747">
        <v>31</v>
      </c>
      <c r="AJ747">
        <v>1</v>
      </c>
      <c r="AK747">
        <v>20</v>
      </c>
      <c r="AL747" t="s">
        <v>1606</v>
      </c>
      <c r="AM747" t="s">
        <v>808</v>
      </c>
      <c r="AN747" t="s">
        <v>1607</v>
      </c>
      <c r="AO747" t="s">
        <v>4357</v>
      </c>
      <c r="AP747" t="s">
        <v>4358</v>
      </c>
      <c r="AQ747" t="s">
        <v>74</v>
      </c>
      <c r="AR747" t="s">
        <v>4359</v>
      </c>
      <c r="AS747" t="s">
        <v>4360</v>
      </c>
      <c r="AT747" t="s">
        <v>14340</v>
      </c>
      <c r="AU747">
        <v>2013</v>
      </c>
      <c r="AV747">
        <v>118</v>
      </c>
      <c r="AW747">
        <v>17</v>
      </c>
      <c r="AX747" t="s">
        <v>74</v>
      </c>
      <c r="AY747" t="s">
        <v>74</v>
      </c>
      <c r="AZ747" t="s">
        <v>74</v>
      </c>
      <c r="BA747" t="s">
        <v>74</v>
      </c>
      <c r="BB747">
        <v>9565</v>
      </c>
      <c r="BC747">
        <v>9578</v>
      </c>
      <c r="BD747" t="s">
        <v>74</v>
      </c>
      <c r="BE747" t="s">
        <v>14341</v>
      </c>
      <c r="BF747" t="str">
        <f>HYPERLINK("http://dx.doi.org/10.1002/jgrd.50717","http://dx.doi.org/10.1002/jgrd.50717")</f>
        <v>http://dx.doi.org/10.1002/jgrd.50717</v>
      </c>
      <c r="BG747" t="s">
        <v>74</v>
      </c>
      <c r="BH747" t="s">
        <v>74</v>
      </c>
      <c r="BI747">
        <v>14</v>
      </c>
      <c r="BJ747" t="s">
        <v>1503</v>
      </c>
      <c r="BK747" t="s">
        <v>99</v>
      </c>
      <c r="BL747" t="s">
        <v>1503</v>
      </c>
      <c r="BM747" t="s">
        <v>14342</v>
      </c>
      <c r="BN747" t="s">
        <v>74</v>
      </c>
      <c r="BO747" t="s">
        <v>475</v>
      </c>
      <c r="BP747" t="s">
        <v>74</v>
      </c>
      <c r="BQ747" t="s">
        <v>74</v>
      </c>
      <c r="BR747" t="s">
        <v>103</v>
      </c>
      <c r="BS747" t="s">
        <v>14343</v>
      </c>
      <c r="BT747" t="str">
        <f>HYPERLINK("https%3A%2F%2Fwww.webofscience.com%2Fwos%2Fwoscc%2Ffull-record%2FWOS:000325489300020","View Full Record in Web of Science")</f>
        <v>View Full Record in Web of Science</v>
      </c>
    </row>
    <row r="748" spans="1:72" x14ac:dyDescent="0.15">
      <c r="A748" t="s">
        <v>72</v>
      </c>
      <c r="B748" t="s">
        <v>14344</v>
      </c>
      <c r="C748" t="s">
        <v>74</v>
      </c>
      <c r="D748" t="s">
        <v>74</v>
      </c>
      <c r="E748" t="s">
        <v>74</v>
      </c>
      <c r="F748" t="s">
        <v>14345</v>
      </c>
      <c r="G748" t="s">
        <v>74</v>
      </c>
      <c r="H748" t="s">
        <v>74</v>
      </c>
      <c r="I748" t="s">
        <v>14346</v>
      </c>
      <c r="J748" t="s">
        <v>4346</v>
      </c>
      <c r="K748" t="s">
        <v>74</v>
      </c>
      <c r="L748" t="s">
        <v>74</v>
      </c>
      <c r="M748" t="s">
        <v>78</v>
      </c>
      <c r="N748" t="s">
        <v>79</v>
      </c>
      <c r="O748" t="s">
        <v>74</v>
      </c>
      <c r="P748" t="s">
        <v>74</v>
      </c>
      <c r="Q748" t="s">
        <v>74</v>
      </c>
      <c r="R748" t="s">
        <v>74</v>
      </c>
      <c r="S748" t="s">
        <v>74</v>
      </c>
      <c r="T748" t="s">
        <v>14347</v>
      </c>
      <c r="U748" t="s">
        <v>14348</v>
      </c>
      <c r="V748" t="s">
        <v>14349</v>
      </c>
      <c r="W748" t="s">
        <v>14350</v>
      </c>
      <c r="X748" t="s">
        <v>14351</v>
      </c>
      <c r="Y748" t="s">
        <v>14352</v>
      </c>
      <c r="Z748" t="s">
        <v>14353</v>
      </c>
      <c r="AA748" t="s">
        <v>74</v>
      </c>
      <c r="AB748" t="s">
        <v>14354</v>
      </c>
      <c r="AC748" t="s">
        <v>14355</v>
      </c>
      <c r="AD748" t="s">
        <v>14356</v>
      </c>
      <c r="AE748" t="s">
        <v>14357</v>
      </c>
      <c r="AF748" t="s">
        <v>74</v>
      </c>
      <c r="AG748">
        <v>52</v>
      </c>
      <c r="AH748">
        <v>47</v>
      </c>
      <c r="AI748">
        <v>51</v>
      </c>
      <c r="AJ748">
        <v>2</v>
      </c>
      <c r="AK748">
        <v>16</v>
      </c>
      <c r="AL748" t="s">
        <v>1606</v>
      </c>
      <c r="AM748" t="s">
        <v>808</v>
      </c>
      <c r="AN748" t="s">
        <v>1607</v>
      </c>
      <c r="AO748" t="s">
        <v>4357</v>
      </c>
      <c r="AP748" t="s">
        <v>4358</v>
      </c>
      <c r="AQ748" t="s">
        <v>74</v>
      </c>
      <c r="AR748" t="s">
        <v>4359</v>
      </c>
      <c r="AS748" t="s">
        <v>4360</v>
      </c>
      <c r="AT748" t="s">
        <v>14340</v>
      </c>
      <c r="AU748">
        <v>2013</v>
      </c>
      <c r="AV748">
        <v>118</v>
      </c>
      <c r="AW748">
        <v>17</v>
      </c>
      <c r="AX748" t="s">
        <v>74</v>
      </c>
      <c r="AY748" t="s">
        <v>74</v>
      </c>
      <c r="AZ748" t="s">
        <v>74</v>
      </c>
      <c r="BA748" t="s">
        <v>74</v>
      </c>
      <c r="BB748">
        <v>9690</v>
      </c>
      <c r="BC748">
        <v>9707</v>
      </c>
      <c r="BD748" t="s">
        <v>74</v>
      </c>
      <c r="BE748" t="s">
        <v>14358</v>
      </c>
      <c r="BF748" t="str">
        <f>HYPERLINK("http://dx.doi.org/10.1002/jgrd.50781","http://dx.doi.org/10.1002/jgrd.50781")</f>
        <v>http://dx.doi.org/10.1002/jgrd.50781</v>
      </c>
      <c r="BG748" t="s">
        <v>74</v>
      </c>
      <c r="BH748" t="s">
        <v>74</v>
      </c>
      <c r="BI748">
        <v>18</v>
      </c>
      <c r="BJ748" t="s">
        <v>1503</v>
      </c>
      <c r="BK748" t="s">
        <v>99</v>
      </c>
      <c r="BL748" t="s">
        <v>1503</v>
      </c>
      <c r="BM748" t="s">
        <v>14342</v>
      </c>
      <c r="BN748" t="s">
        <v>74</v>
      </c>
      <c r="BO748" t="s">
        <v>1381</v>
      </c>
      <c r="BP748" t="s">
        <v>74</v>
      </c>
      <c r="BQ748" t="s">
        <v>74</v>
      </c>
      <c r="BR748" t="s">
        <v>103</v>
      </c>
      <c r="BS748" t="s">
        <v>14359</v>
      </c>
      <c r="BT748" t="str">
        <f>HYPERLINK("https%3A%2F%2Fwww.webofscience.com%2Fwos%2Fwoscc%2Ffull-record%2FWOS:000325489300029","View Full Record in Web of Science")</f>
        <v>View Full Record in Web of Science</v>
      </c>
    </row>
    <row r="749" spans="1:72" x14ac:dyDescent="0.15">
      <c r="A749" t="s">
        <v>72</v>
      </c>
      <c r="B749" t="s">
        <v>14360</v>
      </c>
      <c r="C749" t="s">
        <v>74</v>
      </c>
      <c r="D749" t="s">
        <v>74</v>
      </c>
      <c r="E749" t="s">
        <v>74</v>
      </c>
      <c r="F749" t="s">
        <v>14361</v>
      </c>
      <c r="G749" t="s">
        <v>74</v>
      </c>
      <c r="H749" t="s">
        <v>74</v>
      </c>
      <c r="I749" t="s">
        <v>14362</v>
      </c>
      <c r="J749" t="s">
        <v>4368</v>
      </c>
      <c r="K749" t="s">
        <v>74</v>
      </c>
      <c r="L749" t="s">
        <v>74</v>
      </c>
      <c r="M749" t="s">
        <v>78</v>
      </c>
      <c r="N749" t="s">
        <v>4716</v>
      </c>
      <c r="O749" t="s">
        <v>74</v>
      </c>
      <c r="P749" t="s">
        <v>74</v>
      </c>
      <c r="Q749" t="s">
        <v>74</v>
      </c>
      <c r="R749" t="s">
        <v>74</v>
      </c>
      <c r="S749" t="s">
        <v>74</v>
      </c>
      <c r="T749" t="s">
        <v>74</v>
      </c>
      <c r="U749" t="s">
        <v>74</v>
      </c>
      <c r="V749" t="s">
        <v>74</v>
      </c>
      <c r="W749" t="s">
        <v>74</v>
      </c>
      <c r="X749" t="s">
        <v>74</v>
      </c>
      <c r="Y749" t="s">
        <v>74</v>
      </c>
      <c r="Z749" t="s">
        <v>74</v>
      </c>
      <c r="AA749" t="s">
        <v>14363</v>
      </c>
      <c r="AB749" t="s">
        <v>14364</v>
      </c>
      <c r="AC749" t="s">
        <v>74</v>
      </c>
      <c r="AD749" t="s">
        <v>74</v>
      </c>
      <c r="AE749" t="s">
        <v>74</v>
      </c>
      <c r="AF749" t="s">
        <v>74</v>
      </c>
      <c r="AG749">
        <v>1</v>
      </c>
      <c r="AH749">
        <v>1</v>
      </c>
      <c r="AI749">
        <v>1</v>
      </c>
      <c r="AJ749">
        <v>0</v>
      </c>
      <c r="AK749">
        <v>5</v>
      </c>
      <c r="AL749" t="s">
        <v>1606</v>
      </c>
      <c r="AM749" t="s">
        <v>808</v>
      </c>
      <c r="AN749" t="s">
        <v>1607</v>
      </c>
      <c r="AO749" t="s">
        <v>4379</v>
      </c>
      <c r="AP749" t="s">
        <v>4380</v>
      </c>
      <c r="AQ749" t="s">
        <v>74</v>
      </c>
      <c r="AR749" t="s">
        <v>4381</v>
      </c>
      <c r="AS749" t="s">
        <v>4382</v>
      </c>
      <c r="AT749" t="s">
        <v>14340</v>
      </c>
      <c r="AU749">
        <v>2013</v>
      </c>
      <c r="AV749">
        <v>40</v>
      </c>
      <c r="AW749">
        <v>17</v>
      </c>
      <c r="AX749" t="s">
        <v>74</v>
      </c>
      <c r="AY749" t="s">
        <v>74</v>
      </c>
      <c r="AZ749" t="s">
        <v>74</v>
      </c>
      <c r="BA749" t="s">
        <v>74</v>
      </c>
      <c r="BB749">
        <v>4625</v>
      </c>
      <c r="BC749">
        <v>4625</v>
      </c>
      <c r="BD749" t="s">
        <v>74</v>
      </c>
      <c r="BE749" t="s">
        <v>14365</v>
      </c>
      <c r="BF749" t="str">
        <f>HYPERLINK("http://dx.doi.org/10.1002/grl.50727","http://dx.doi.org/10.1002/grl.50727")</f>
        <v>http://dx.doi.org/10.1002/grl.50727</v>
      </c>
      <c r="BG749" t="s">
        <v>74</v>
      </c>
      <c r="BH749" t="s">
        <v>74</v>
      </c>
      <c r="BI749">
        <v>1</v>
      </c>
      <c r="BJ749" t="s">
        <v>337</v>
      </c>
      <c r="BK749" t="s">
        <v>99</v>
      </c>
      <c r="BL749" t="s">
        <v>338</v>
      </c>
      <c r="BM749" t="s">
        <v>14366</v>
      </c>
      <c r="BN749" t="s">
        <v>74</v>
      </c>
      <c r="BO749" t="s">
        <v>475</v>
      </c>
      <c r="BP749" t="s">
        <v>74</v>
      </c>
      <c r="BQ749" t="s">
        <v>74</v>
      </c>
      <c r="BR749" t="s">
        <v>103</v>
      </c>
      <c r="BS749" t="s">
        <v>14367</v>
      </c>
      <c r="BT749" t="str">
        <f>HYPERLINK("https%3A%2F%2Fwww.webofscience.com%2Fwos%2Fwoscc%2Ffull-record%2FWOS:000325490300029","View Full Record in Web of Science")</f>
        <v>View Full Record in Web of Science</v>
      </c>
    </row>
    <row r="750" spans="1:72" x14ac:dyDescent="0.15">
      <c r="A750" t="s">
        <v>72</v>
      </c>
      <c r="B750" t="s">
        <v>14368</v>
      </c>
      <c r="C750" t="s">
        <v>74</v>
      </c>
      <c r="D750" t="s">
        <v>74</v>
      </c>
      <c r="E750" t="s">
        <v>74</v>
      </c>
      <c r="F750" t="s">
        <v>14369</v>
      </c>
      <c r="G750" t="s">
        <v>74</v>
      </c>
      <c r="H750" t="s">
        <v>74</v>
      </c>
      <c r="I750" t="s">
        <v>14370</v>
      </c>
      <c r="J750" t="s">
        <v>4368</v>
      </c>
      <c r="K750" t="s">
        <v>74</v>
      </c>
      <c r="L750" t="s">
        <v>74</v>
      </c>
      <c r="M750" t="s">
        <v>78</v>
      </c>
      <c r="N750" t="s">
        <v>79</v>
      </c>
      <c r="O750" t="s">
        <v>74</v>
      </c>
      <c r="P750" t="s">
        <v>74</v>
      </c>
      <c r="Q750" t="s">
        <v>74</v>
      </c>
      <c r="R750" t="s">
        <v>74</v>
      </c>
      <c r="S750" t="s">
        <v>74</v>
      </c>
      <c r="T750" t="s">
        <v>14371</v>
      </c>
      <c r="U750" t="s">
        <v>14372</v>
      </c>
      <c r="V750" t="s">
        <v>14373</v>
      </c>
      <c r="W750" t="s">
        <v>14374</v>
      </c>
      <c r="X750" t="s">
        <v>14375</v>
      </c>
      <c r="Y750" t="s">
        <v>14376</v>
      </c>
      <c r="Z750" t="s">
        <v>14377</v>
      </c>
      <c r="AA750" t="s">
        <v>14378</v>
      </c>
      <c r="AB750" t="s">
        <v>14379</v>
      </c>
      <c r="AC750" t="s">
        <v>74</v>
      </c>
      <c r="AD750" t="s">
        <v>74</v>
      </c>
      <c r="AE750" t="s">
        <v>74</v>
      </c>
      <c r="AF750" t="s">
        <v>74</v>
      </c>
      <c r="AG750">
        <v>15</v>
      </c>
      <c r="AH750">
        <v>14</v>
      </c>
      <c r="AI750">
        <v>16</v>
      </c>
      <c r="AJ750">
        <v>0</v>
      </c>
      <c r="AK750">
        <v>13</v>
      </c>
      <c r="AL750" t="s">
        <v>1606</v>
      </c>
      <c r="AM750" t="s">
        <v>808</v>
      </c>
      <c r="AN750" t="s">
        <v>1607</v>
      </c>
      <c r="AO750" t="s">
        <v>4379</v>
      </c>
      <c r="AP750" t="s">
        <v>4380</v>
      </c>
      <c r="AQ750" t="s">
        <v>74</v>
      </c>
      <c r="AR750" t="s">
        <v>4381</v>
      </c>
      <c r="AS750" t="s">
        <v>4382</v>
      </c>
      <c r="AT750" t="s">
        <v>14340</v>
      </c>
      <c r="AU750">
        <v>2013</v>
      </c>
      <c r="AV750">
        <v>40</v>
      </c>
      <c r="AW750">
        <v>17</v>
      </c>
      <c r="AX750" t="s">
        <v>74</v>
      </c>
      <c r="AY750" t="s">
        <v>74</v>
      </c>
      <c r="AZ750" t="s">
        <v>74</v>
      </c>
      <c r="BA750" t="s">
        <v>74</v>
      </c>
      <c r="BB750">
        <v>4694</v>
      </c>
      <c r="BC750">
        <v>4699</v>
      </c>
      <c r="BD750" t="s">
        <v>74</v>
      </c>
      <c r="BE750" t="s">
        <v>14380</v>
      </c>
      <c r="BF750" t="str">
        <f>HYPERLINK("http://dx.doi.org/10.1002/grl.50914","http://dx.doi.org/10.1002/grl.50914")</f>
        <v>http://dx.doi.org/10.1002/grl.50914</v>
      </c>
      <c r="BG750" t="s">
        <v>74</v>
      </c>
      <c r="BH750" t="s">
        <v>74</v>
      </c>
      <c r="BI750">
        <v>6</v>
      </c>
      <c r="BJ750" t="s">
        <v>337</v>
      </c>
      <c r="BK750" t="s">
        <v>99</v>
      </c>
      <c r="BL750" t="s">
        <v>338</v>
      </c>
      <c r="BM750" t="s">
        <v>14366</v>
      </c>
      <c r="BN750" t="s">
        <v>74</v>
      </c>
      <c r="BO750" t="s">
        <v>13332</v>
      </c>
      <c r="BP750" t="s">
        <v>74</v>
      </c>
      <c r="BQ750" t="s">
        <v>74</v>
      </c>
      <c r="BR750" t="s">
        <v>103</v>
      </c>
      <c r="BS750" t="s">
        <v>14381</v>
      </c>
      <c r="BT750" t="str">
        <f>HYPERLINK("https%3A%2F%2Fwww.webofscience.com%2Fwos%2Fwoscc%2Ffull-record%2FWOS:000325490300042","View Full Record in Web of Science")</f>
        <v>View Full Record in Web of Science</v>
      </c>
    </row>
    <row r="751" spans="1:72" x14ac:dyDescent="0.15">
      <c r="A751" t="s">
        <v>72</v>
      </c>
      <c r="B751" t="s">
        <v>14382</v>
      </c>
      <c r="C751" t="s">
        <v>74</v>
      </c>
      <c r="D751" t="s">
        <v>74</v>
      </c>
      <c r="E751" t="s">
        <v>74</v>
      </c>
      <c r="F751" t="s">
        <v>14383</v>
      </c>
      <c r="G751" t="s">
        <v>74</v>
      </c>
      <c r="H751" t="s">
        <v>74</v>
      </c>
      <c r="I751" t="s">
        <v>14384</v>
      </c>
      <c r="J751" t="s">
        <v>4368</v>
      </c>
      <c r="K751" t="s">
        <v>74</v>
      </c>
      <c r="L751" t="s">
        <v>74</v>
      </c>
      <c r="M751" t="s">
        <v>78</v>
      </c>
      <c r="N751" t="s">
        <v>79</v>
      </c>
      <c r="O751" t="s">
        <v>74</v>
      </c>
      <c r="P751" t="s">
        <v>74</v>
      </c>
      <c r="Q751" t="s">
        <v>74</v>
      </c>
      <c r="R751" t="s">
        <v>74</v>
      </c>
      <c r="S751" t="s">
        <v>74</v>
      </c>
      <c r="T751" t="s">
        <v>14385</v>
      </c>
      <c r="U751" t="s">
        <v>14386</v>
      </c>
      <c r="V751" t="s">
        <v>14387</v>
      </c>
      <c r="W751" t="s">
        <v>14388</v>
      </c>
      <c r="X751" t="s">
        <v>14389</v>
      </c>
      <c r="Y751" t="s">
        <v>14390</v>
      </c>
      <c r="Z751" t="s">
        <v>14391</v>
      </c>
      <c r="AA751" t="s">
        <v>14392</v>
      </c>
      <c r="AB751" t="s">
        <v>14393</v>
      </c>
      <c r="AC751" t="s">
        <v>14394</v>
      </c>
      <c r="AD751" t="s">
        <v>14395</v>
      </c>
      <c r="AE751" t="s">
        <v>14396</v>
      </c>
      <c r="AF751" t="s">
        <v>74</v>
      </c>
      <c r="AG751">
        <v>50</v>
      </c>
      <c r="AH751">
        <v>15</v>
      </c>
      <c r="AI751">
        <v>18</v>
      </c>
      <c r="AJ751">
        <v>2</v>
      </c>
      <c r="AK751">
        <v>31</v>
      </c>
      <c r="AL751" t="s">
        <v>1606</v>
      </c>
      <c r="AM751" t="s">
        <v>808</v>
      </c>
      <c r="AN751" t="s">
        <v>1607</v>
      </c>
      <c r="AO751" t="s">
        <v>4379</v>
      </c>
      <c r="AP751" t="s">
        <v>4380</v>
      </c>
      <c r="AQ751" t="s">
        <v>74</v>
      </c>
      <c r="AR751" t="s">
        <v>4381</v>
      </c>
      <c r="AS751" t="s">
        <v>4382</v>
      </c>
      <c r="AT751" t="s">
        <v>14340</v>
      </c>
      <c r="AU751">
        <v>2013</v>
      </c>
      <c r="AV751">
        <v>40</v>
      </c>
      <c r="AW751">
        <v>17</v>
      </c>
      <c r="AX751" t="s">
        <v>74</v>
      </c>
      <c r="AY751" t="s">
        <v>74</v>
      </c>
      <c r="AZ751" t="s">
        <v>74</v>
      </c>
      <c r="BA751" t="s">
        <v>74</v>
      </c>
      <c r="BB751">
        <v>4712</v>
      </c>
      <c r="BC751">
        <v>4716</v>
      </c>
      <c r="BD751" t="s">
        <v>74</v>
      </c>
      <c r="BE751" t="s">
        <v>14397</v>
      </c>
      <c r="BF751" t="str">
        <f>HYPERLINK("http://dx.doi.org/10.1002/grl.50822","http://dx.doi.org/10.1002/grl.50822")</f>
        <v>http://dx.doi.org/10.1002/grl.50822</v>
      </c>
      <c r="BG751" t="s">
        <v>74</v>
      </c>
      <c r="BH751" t="s">
        <v>74</v>
      </c>
      <c r="BI751">
        <v>5</v>
      </c>
      <c r="BJ751" t="s">
        <v>337</v>
      </c>
      <c r="BK751" t="s">
        <v>99</v>
      </c>
      <c r="BL751" t="s">
        <v>338</v>
      </c>
      <c r="BM751" t="s">
        <v>14366</v>
      </c>
      <c r="BN751" t="s">
        <v>74</v>
      </c>
      <c r="BO751" t="s">
        <v>475</v>
      </c>
      <c r="BP751" t="s">
        <v>74</v>
      </c>
      <c r="BQ751" t="s">
        <v>74</v>
      </c>
      <c r="BR751" t="s">
        <v>103</v>
      </c>
      <c r="BS751" t="s">
        <v>14398</v>
      </c>
      <c r="BT751" t="str">
        <f>HYPERLINK("https%3A%2F%2Fwww.webofscience.com%2Fwos%2Fwoscc%2Ffull-record%2FWOS:000325490300045","View Full Record in Web of Science")</f>
        <v>View Full Record in Web of Science</v>
      </c>
    </row>
    <row r="752" spans="1:72" x14ac:dyDescent="0.15">
      <c r="A752" t="s">
        <v>72</v>
      </c>
      <c r="B752" t="s">
        <v>14399</v>
      </c>
      <c r="C752" t="s">
        <v>74</v>
      </c>
      <c r="D752" t="s">
        <v>74</v>
      </c>
      <c r="E752" t="s">
        <v>74</v>
      </c>
      <c r="F752" t="s">
        <v>14400</v>
      </c>
      <c r="G752" t="s">
        <v>74</v>
      </c>
      <c r="H752" t="s">
        <v>74</v>
      </c>
      <c r="I752" t="s">
        <v>14401</v>
      </c>
      <c r="J752" t="s">
        <v>8334</v>
      </c>
      <c r="K752" t="s">
        <v>74</v>
      </c>
      <c r="L752" t="s">
        <v>74</v>
      </c>
      <c r="M752" t="s">
        <v>78</v>
      </c>
      <c r="N752" t="s">
        <v>79</v>
      </c>
      <c r="O752" t="s">
        <v>74</v>
      </c>
      <c r="P752" t="s">
        <v>74</v>
      </c>
      <c r="Q752" t="s">
        <v>74</v>
      </c>
      <c r="R752" t="s">
        <v>74</v>
      </c>
      <c r="S752" t="s">
        <v>74</v>
      </c>
      <c r="T752" t="s">
        <v>14402</v>
      </c>
      <c r="U752" t="s">
        <v>14403</v>
      </c>
      <c r="V752" t="s">
        <v>14404</v>
      </c>
      <c r="W752" t="s">
        <v>14405</v>
      </c>
      <c r="X752" t="s">
        <v>14406</v>
      </c>
      <c r="Y752" t="s">
        <v>14407</v>
      </c>
      <c r="Z752" t="s">
        <v>14408</v>
      </c>
      <c r="AA752" t="s">
        <v>2665</v>
      </c>
      <c r="AB752" t="s">
        <v>14409</v>
      </c>
      <c r="AC752" t="s">
        <v>14410</v>
      </c>
      <c r="AD752" t="s">
        <v>14411</v>
      </c>
      <c r="AE752" t="s">
        <v>14412</v>
      </c>
      <c r="AF752" t="s">
        <v>74</v>
      </c>
      <c r="AG752">
        <v>53</v>
      </c>
      <c r="AH752">
        <v>21</v>
      </c>
      <c r="AI752">
        <v>25</v>
      </c>
      <c r="AJ752">
        <v>0</v>
      </c>
      <c r="AK752">
        <v>33</v>
      </c>
      <c r="AL752" t="s">
        <v>582</v>
      </c>
      <c r="AM752" t="s">
        <v>305</v>
      </c>
      <c r="AN752" t="s">
        <v>583</v>
      </c>
      <c r="AO752" t="s">
        <v>8347</v>
      </c>
      <c r="AP752" t="s">
        <v>14413</v>
      </c>
      <c r="AQ752" t="s">
        <v>74</v>
      </c>
      <c r="AR752" t="s">
        <v>8349</v>
      </c>
      <c r="AS752" t="s">
        <v>8350</v>
      </c>
      <c r="AT752" t="s">
        <v>14340</v>
      </c>
      <c r="AU752">
        <v>2013</v>
      </c>
      <c r="AV752">
        <v>354</v>
      </c>
      <c r="AW752" t="s">
        <v>74</v>
      </c>
      <c r="AX752" t="s">
        <v>74</v>
      </c>
      <c r="AY752" t="s">
        <v>74</v>
      </c>
      <c r="AZ752" t="s">
        <v>74</v>
      </c>
      <c r="BA752" t="s">
        <v>74</v>
      </c>
      <c r="BB752">
        <v>33</v>
      </c>
      <c r="BC752">
        <v>41</v>
      </c>
      <c r="BD752" t="s">
        <v>74</v>
      </c>
      <c r="BE752" t="s">
        <v>14414</v>
      </c>
      <c r="BF752" t="str">
        <f>HYPERLINK("http://dx.doi.org/10.1016/j.chemgeo.2013.06.025","http://dx.doi.org/10.1016/j.chemgeo.2013.06.025")</f>
        <v>http://dx.doi.org/10.1016/j.chemgeo.2013.06.025</v>
      </c>
      <c r="BG752" t="s">
        <v>74</v>
      </c>
      <c r="BH752" t="s">
        <v>74</v>
      </c>
      <c r="BI752">
        <v>9</v>
      </c>
      <c r="BJ752" t="s">
        <v>313</v>
      </c>
      <c r="BK752" t="s">
        <v>99</v>
      </c>
      <c r="BL752" t="s">
        <v>313</v>
      </c>
      <c r="BM752" t="s">
        <v>14415</v>
      </c>
      <c r="BN752" t="s">
        <v>74</v>
      </c>
      <c r="BO752" t="s">
        <v>4262</v>
      </c>
      <c r="BP752" t="s">
        <v>74</v>
      </c>
      <c r="BQ752" t="s">
        <v>74</v>
      </c>
      <c r="BR752" t="s">
        <v>103</v>
      </c>
      <c r="BS752" t="s">
        <v>14416</v>
      </c>
      <c r="BT752" t="str">
        <f>HYPERLINK("https%3A%2F%2Fwww.webofscience.com%2Fwos%2Fwoscc%2Ffull-record%2FWOS:000325751200004","View Full Record in Web of Science")</f>
        <v>View Full Record in Web of Science</v>
      </c>
    </row>
    <row r="753" spans="1:72" x14ac:dyDescent="0.15">
      <c r="A753" t="s">
        <v>72</v>
      </c>
      <c r="B753" t="s">
        <v>14417</v>
      </c>
      <c r="C753" t="s">
        <v>74</v>
      </c>
      <c r="D753" t="s">
        <v>74</v>
      </c>
      <c r="E753" t="s">
        <v>74</v>
      </c>
      <c r="F753" t="s">
        <v>14418</v>
      </c>
      <c r="G753" t="s">
        <v>74</v>
      </c>
      <c r="H753" t="s">
        <v>74</v>
      </c>
      <c r="I753" t="s">
        <v>14419</v>
      </c>
      <c r="J753" t="s">
        <v>4346</v>
      </c>
      <c r="K753" t="s">
        <v>74</v>
      </c>
      <c r="L753" t="s">
        <v>74</v>
      </c>
      <c r="M753" t="s">
        <v>78</v>
      </c>
      <c r="N753" t="s">
        <v>79</v>
      </c>
      <c r="O753" t="s">
        <v>74</v>
      </c>
      <c r="P753" t="s">
        <v>74</v>
      </c>
      <c r="Q753" t="s">
        <v>74</v>
      </c>
      <c r="R753" t="s">
        <v>74</v>
      </c>
      <c r="S753" t="s">
        <v>74</v>
      </c>
      <c r="T753" t="s">
        <v>14420</v>
      </c>
      <c r="U753" t="s">
        <v>14421</v>
      </c>
      <c r="V753" t="s">
        <v>14422</v>
      </c>
      <c r="W753" t="s">
        <v>14423</v>
      </c>
      <c r="X753" t="s">
        <v>14424</v>
      </c>
      <c r="Y753" t="s">
        <v>14425</v>
      </c>
      <c r="Z753" t="s">
        <v>14426</v>
      </c>
      <c r="AA753" t="s">
        <v>14427</v>
      </c>
      <c r="AB753" t="s">
        <v>14428</v>
      </c>
      <c r="AC753" t="s">
        <v>14429</v>
      </c>
      <c r="AD753" t="s">
        <v>14430</v>
      </c>
      <c r="AE753" t="s">
        <v>14431</v>
      </c>
      <c r="AF753" t="s">
        <v>74</v>
      </c>
      <c r="AG753">
        <v>22</v>
      </c>
      <c r="AH753">
        <v>123</v>
      </c>
      <c r="AI753">
        <v>134</v>
      </c>
      <c r="AJ753">
        <v>1</v>
      </c>
      <c r="AK753">
        <v>56</v>
      </c>
      <c r="AL753" t="s">
        <v>1606</v>
      </c>
      <c r="AM753" t="s">
        <v>808</v>
      </c>
      <c r="AN753" t="s">
        <v>1607</v>
      </c>
      <c r="AO753" t="s">
        <v>4357</v>
      </c>
      <c r="AP753" t="s">
        <v>4358</v>
      </c>
      <c r="AQ753" t="s">
        <v>74</v>
      </c>
      <c r="AR753" t="s">
        <v>4359</v>
      </c>
      <c r="AS753" t="s">
        <v>4360</v>
      </c>
      <c r="AT753" t="s">
        <v>14340</v>
      </c>
      <c r="AU753">
        <v>2013</v>
      </c>
      <c r="AV753">
        <v>118</v>
      </c>
      <c r="AW753">
        <v>17</v>
      </c>
      <c r="AX753" t="s">
        <v>74</v>
      </c>
      <c r="AY753" t="s">
        <v>74</v>
      </c>
      <c r="AZ753" t="s">
        <v>74</v>
      </c>
      <c r="BA753" t="s">
        <v>74</v>
      </c>
      <c r="BB753">
        <v>9743</v>
      </c>
      <c r="BC753">
        <v>9752</v>
      </c>
      <c r="BD753" t="s">
        <v>74</v>
      </c>
      <c r="BE753" t="s">
        <v>14432</v>
      </c>
      <c r="BF753" t="str">
        <f>HYPERLINK("http://dx.doi.org/10.1002/jgrd.50762","http://dx.doi.org/10.1002/jgrd.50762")</f>
        <v>http://dx.doi.org/10.1002/jgrd.50762</v>
      </c>
      <c r="BG753" t="s">
        <v>74</v>
      </c>
      <c r="BH753" t="s">
        <v>74</v>
      </c>
      <c r="BI753">
        <v>10</v>
      </c>
      <c r="BJ753" t="s">
        <v>1503</v>
      </c>
      <c r="BK753" t="s">
        <v>99</v>
      </c>
      <c r="BL753" t="s">
        <v>1503</v>
      </c>
      <c r="BM753" t="s">
        <v>14342</v>
      </c>
      <c r="BN753" t="s">
        <v>74</v>
      </c>
      <c r="BO753" t="s">
        <v>1381</v>
      </c>
      <c r="BP753" t="s">
        <v>74</v>
      </c>
      <c r="BQ753" t="s">
        <v>74</v>
      </c>
      <c r="BR753" t="s">
        <v>103</v>
      </c>
      <c r="BS753" t="s">
        <v>14433</v>
      </c>
      <c r="BT753" t="str">
        <f>HYPERLINK("https%3A%2F%2Fwww.webofscience.com%2Fwos%2Fwoscc%2Ffull-record%2FWOS:000325489300032","View Full Record in Web of Science")</f>
        <v>View Full Record in Web of Science</v>
      </c>
    </row>
    <row r="754" spans="1:72" x14ac:dyDescent="0.15">
      <c r="A754" t="s">
        <v>72</v>
      </c>
      <c r="B754" t="s">
        <v>1016</v>
      </c>
      <c r="C754" t="s">
        <v>74</v>
      </c>
      <c r="D754" t="s">
        <v>74</v>
      </c>
      <c r="E754" t="s">
        <v>74</v>
      </c>
      <c r="F754" t="s">
        <v>1016</v>
      </c>
      <c r="G754" t="s">
        <v>74</v>
      </c>
      <c r="H754" t="s">
        <v>74</v>
      </c>
      <c r="I754" t="s">
        <v>14434</v>
      </c>
      <c r="J754" t="s">
        <v>4548</v>
      </c>
      <c r="K754" t="s">
        <v>74</v>
      </c>
      <c r="L754" t="s">
        <v>74</v>
      </c>
      <c r="M754" t="s">
        <v>78</v>
      </c>
      <c r="N754" t="s">
        <v>1019</v>
      </c>
      <c r="O754" t="s">
        <v>74</v>
      </c>
      <c r="P754" t="s">
        <v>74</v>
      </c>
      <c r="Q754" t="s">
        <v>74</v>
      </c>
      <c r="R754" t="s">
        <v>74</v>
      </c>
      <c r="S754" t="s">
        <v>74</v>
      </c>
      <c r="T754" t="s">
        <v>74</v>
      </c>
      <c r="U754" t="s">
        <v>74</v>
      </c>
      <c r="V754" t="s">
        <v>74</v>
      </c>
      <c r="W754" t="s">
        <v>74</v>
      </c>
      <c r="X754" t="s">
        <v>74</v>
      </c>
      <c r="Y754" t="s">
        <v>74</v>
      </c>
      <c r="Z754" t="s">
        <v>74</v>
      </c>
      <c r="AA754" t="s">
        <v>74</v>
      </c>
      <c r="AB754" t="s">
        <v>74</v>
      </c>
      <c r="AC754" t="s">
        <v>74</v>
      </c>
      <c r="AD754" t="s">
        <v>74</v>
      </c>
      <c r="AE754" t="s">
        <v>74</v>
      </c>
      <c r="AF754" t="s">
        <v>74</v>
      </c>
      <c r="AG754">
        <v>0</v>
      </c>
      <c r="AH754">
        <v>0</v>
      </c>
      <c r="AI754">
        <v>0</v>
      </c>
      <c r="AJ754">
        <v>0</v>
      </c>
      <c r="AK754">
        <v>0</v>
      </c>
      <c r="AL754" t="s">
        <v>872</v>
      </c>
      <c r="AM754" t="s">
        <v>252</v>
      </c>
      <c r="AN754" t="s">
        <v>873</v>
      </c>
      <c r="AO754" t="s">
        <v>4561</v>
      </c>
      <c r="AP754" t="s">
        <v>4562</v>
      </c>
      <c r="AQ754" t="s">
        <v>74</v>
      </c>
      <c r="AR754" t="s">
        <v>4563</v>
      </c>
      <c r="AS754" t="s">
        <v>4564</v>
      </c>
      <c r="AT754" t="s">
        <v>14435</v>
      </c>
      <c r="AU754">
        <v>2013</v>
      </c>
      <c r="AV754">
        <v>74</v>
      </c>
      <c r="AW754">
        <v>1</v>
      </c>
      <c r="AX754" t="s">
        <v>74</v>
      </c>
      <c r="AY754" t="s">
        <v>74</v>
      </c>
      <c r="AZ754" t="s">
        <v>74</v>
      </c>
      <c r="BA754" t="s">
        <v>74</v>
      </c>
      <c r="BB754">
        <v>8</v>
      </c>
      <c r="BC754">
        <v>8</v>
      </c>
      <c r="BD754" t="s">
        <v>74</v>
      </c>
      <c r="BE754" t="s">
        <v>74</v>
      </c>
      <c r="BF754" t="s">
        <v>74</v>
      </c>
      <c r="BG754" t="s">
        <v>74</v>
      </c>
      <c r="BH754" t="s">
        <v>74</v>
      </c>
      <c r="BI754">
        <v>1</v>
      </c>
      <c r="BJ754" t="s">
        <v>679</v>
      </c>
      <c r="BK754" t="s">
        <v>99</v>
      </c>
      <c r="BL754" t="s">
        <v>680</v>
      </c>
      <c r="BM754" t="s">
        <v>14436</v>
      </c>
      <c r="BN754" t="s">
        <v>74</v>
      </c>
      <c r="BO754" t="s">
        <v>74</v>
      </c>
      <c r="BP754" t="s">
        <v>74</v>
      </c>
      <c r="BQ754" t="s">
        <v>74</v>
      </c>
      <c r="BR754" t="s">
        <v>103</v>
      </c>
      <c r="BS754" t="s">
        <v>14437</v>
      </c>
      <c r="BT754" t="str">
        <f>HYPERLINK("https%3A%2F%2Fwww.webofscience.com%2Fwos%2Fwoscc%2Ffull-record%2FWOS:000326211600010","View Full Record in Web of Science")</f>
        <v>View Full Record in Web of Science</v>
      </c>
    </row>
    <row r="755" spans="1:72" x14ac:dyDescent="0.15">
      <c r="A755" t="s">
        <v>72</v>
      </c>
      <c r="B755" t="s">
        <v>14438</v>
      </c>
      <c r="C755" t="s">
        <v>74</v>
      </c>
      <c r="D755" t="s">
        <v>74</v>
      </c>
      <c r="E755" t="s">
        <v>74</v>
      </c>
      <c r="F755" t="s">
        <v>14439</v>
      </c>
      <c r="G755" t="s">
        <v>74</v>
      </c>
      <c r="H755" t="s">
        <v>74</v>
      </c>
      <c r="I755" t="s">
        <v>14440</v>
      </c>
      <c r="J755" t="s">
        <v>14441</v>
      </c>
      <c r="K755" t="s">
        <v>74</v>
      </c>
      <c r="L755" t="s">
        <v>74</v>
      </c>
      <c r="M755" t="s">
        <v>78</v>
      </c>
      <c r="N755" t="s">
        <v>79</v>
      </c>
      <c r="O755" t="s">
        <v>74</v>
      </c>
      <c r="P755" t="s">
        <v>74</v>
      </c>
      <c r="Q755" t="s">
        <v>74</v>
      </c>
      <c r="R755" t="s">
        <v>74</v>
      </c>
      <c r="S755" t="s">
        <v>74</v>
      </c>
      <c r="T755" t="s">
        <v>14442</v>
      </c>
      <c r="U755" t="s">
        <v>14443</v>
      </c>
      <c r="V755" t="s">
        <v>14444</v>
      </c>
      <c r="W755" t="s">
        <v>14445</v>
      </c>
      <c r="X755" t="s">
        <v>14446</v>
      </c>
      <c r="Y755" t="s">
        <v>14447</v>
      </c>
      <c r="Z755" t="s">
        <v>14448</v>
      </c>
      <c r="AA755" t="s">
        <v>14449</v>
      </c>
      <c r="AB755" t="s">
        <v>14450</v>
      </c>
      <c r="AC755" t="s">
        <v>14451</v>
      </c>
      <c r="AD755" t="s">
        <v>14452</v>
      </c>
      <c r="AE755" t="s">
        <v>14453</v>
      </c>
      <c r="AF755" t="s">
        <v>74</v>
      </c>
      <c r="AG755">
        <v>48</v>
      </c>
      <c r="AH755">
        <v>23</v>
      </c>
      <c r="AI755">
        <v>25</v>
      </c>
      <c r="AJ755">
        <v>0</v>
      </c>
      <c r="AK755">
        <v>7</v>
      </c>
      <c r="AL755" t="s">
        <v>304</v>
      </c>
      <c r="AM755" t="s">
        <v>305</v>
      </c>
      <c r="AN755" t="s">
        <v>306</v>
      </c>
      <c r="AO755" t="s">
        <v>14454</v>
      </c>
      <c r="AP755" t="s">
        <v>14455</v>
      </c>
      <c r="AQ755" t="s">
        <v>74</v>
      </c>
      <c r="AR755" t="s">
        <v>14456</v>
      </c>
      <c r="AS755" t="s">
        <v>14457</v>
      </c>
      <c r="AT755" t="s">
        <v>14435</v>
      </c>
      <c r="AU755">
        <v>2013</v>
      </c>
      <c r="AV755">
        <v>253</v>
      </c>
      <c r="AW755" t="s">
        <v>74</v>
      </c>
      <c r="AX755" t="s">
        <v>74</v>
      </c>
      <c r="AY755" t="s">
        <v>74</v>
      </c>
      <c r="AZ755" t="s">
        <v>74</v>
      </c>
      <c r="BA755" t="s">
        <v>74</v>
      </c>
      <c r="BB755">
        <v>60</v>
      </c>
      <c r="BC755">
        <v>67</v>
      </c>
      <c r="BD755" t="s">
        <v>74</v>
      </c>
      <c r="BE755" t="s">
        <v>14458</v>
      </c>
      <c r="BF755" t="str">
        <f>HYPERLINK("http://dx.doi.org/10.1016/j.bbr.2013.07.015","http://dx.doi.org/10.1016/j.bbr.2013.07.015")</f>
        <v>http://dx.doi.org/10.1016/j.bbr.2013.07.015</v>
      </c>
      <c r="BG755" t="s">
        <v>74</v>
      </c>
      <c r="BH755" t="s">
        <v>74</v>
      </c>
      <c r="BI755">
        <v>8</v>
      </c>
      <c r="BJ755" t="s">
        <v>14459</v>
      </c>
      <c r="BK755" t="s">
        <v>99</v>
      </c>
      <c r="BL755" t="s">
        <v>14460</v>
      </c>
      <c r="BM755" t="s">
        <v>14461</v>
      </c>
      <c r="BN755">
        <v>23860120</v>
      </c>
      <c r="BO755" t="s">
        <v>74</v>
      </c>
      <c r="BP755" t="s">
        <v>74</v>
      </c>
      <c r="BQ755" t="s">
        <v>74</v>
      </c>
      <c r="BR755" t="s">
        <v>103</v>
      </c>
      <c r="BS755" t="s">
        <v>14462</v>
      </c>
      <c r="BT755" t="str">
        <f>HYPERLINK("https%3A%2F%2Fwww.webofscience.com%2Fwos%2Fwoscc%2Ffull-record%2FWOS:000324720500009","View Full Record in Web of Science")</f>
        <v>View Full Record in Web of Science</v>
      </c>
    </row>
    <row r="756" spans="1:72" x14ac:dyDescent="0.15">
      <c r="A756" t="s">
        <v>72</v>
      </c>
      <c r="B756" t="s">
        <v>14463</v>
      </c>
      <c r="C756" t="s">
        <v>74</v>
      </c>
      <c r="D756" t="s">
        <v>74</v>
      </c>
      <c r="E756" t="s">
        <v>74</v>
      </c>
      <c r="F756" t="s">
        <v>14464</v>
      </c>
      <c r="G756" t="s">
        <v>74</v>
      </c>
      <c r="H756" t="s">
        <v>74</v>
      </c>
      <c r="I756" t="s">
        <v>14465</v>
      </c>
      <c r="J756" t="s">
        <v>14466</v>
      </c>
      <c r="K756" t="s">
        <v>74</v>
      </c>
      <c r="L756" t="s">
        <v>74</v>
      </c>
      <c r="M756" t="s">
        <v>78</v>
      </c>
      <c r="N756" t="s">
        <v>79</v>
      </c>
      <c r="O756" t="s">
        <v>74</v>
      </c>
      <c r="P756" t="s">
        <v>74</v>
      </c>
      <c r="Q756" t="s">
        <v>74</v>
      </c>
      <c r="R756" t="s">
        <v>74</v>
      </c>
      <c r="S756" t="s">
        <v>74</v>
      </c>
      <c r="T756" t="s">
        <v>14467</v>
      </c>
      <c r="U756" t="s">
        <v>14468</v>
      </c>
      <c r="V756" t="s">
        <v>14469</v>
      </c>
      <c r="W756" t="s">
        <v>14470</v>
      </c>
      <c r="X756" t="s">
        <v>14471</v>
      </c>
      <c r="Y756" t="s">
        <v>14472</v>
      </c>
      <c r="Z756" t="s">
        <v>14473</v>
      </c>
      <c r="AA756" t="s">
        <v>14474</v>
      </c>
      <c r="AB756" t="s">
        <v>14475</v>
      </c>
      <c r="AC756" t="s">
        <v>14476</v>
      </c>
      <c r="AD756" t="s">
        <v>14477</v>
      </c>
      <c r="AE756" t="s">
        <v>14478</v>
      </c>
      <c r="AF756" t="s">
        <v>74</v>
      </c>
      <c r="AG756">
        <v>64</v>
      </c>
      <c r="AH756">
        <v>35</v>
      </c>
      <c r="AI756">
        <v>37</v>
      </c>
      <c r="AJ756">
        <v>0</v>
      </c>
      <c r="AK756">
        <v>24</v>
      </c>
      <c r="AL756" t="s">
        <v>582</v>
      </c>
      <c r="AM756" t="s">
        <v>305</v>
      </c>
      <c r="AN756" t="s">
        <v>583</v>
      </c>
      <c r="AO756" t="s">
        <v>14479</v>
      </c>
      <c r="AP756" t="s">
        <v>14480</v>
      </c>
      <c r="AQ756" t="s">
        <v>74</v>
      </c>
      <c r="AR756" t="s">
        <v>14481</v>
      </c>
      <c r="AS756" t="s">
        <v>14482</v>
      </c>
      <c r="AT756" t="s">
        <v>14435</v>
      </c>
      <c r="AU756">
        <v>2013</v>
      </c>
      <c r="AV756">
        <v>140</v>
      </c>
      <c r="AW756" t="s">
        <v>74</v>
      </c>
      <c r="AX756" t="s">
        <v>74</v>
      </c>
      <c r="AY756" t="s">
        <v>74</v>
      </c>
      <c r="AZ756" t="s">
        <v>74</v>
      </c>
      <c r="BA756" t="s">
        <v>74</v>
      </c>
      <c r="BB756">
        <v>369</v>
      </c>
      <c r="BC756">
        <v>379</v>
      </c>
      <c r="BD756" t="s">
        <v>74</v>
      </c>
      <c r="BE756" t="s">
        <v>14483</v>
      </c>
      <c r="BF756" t="str">
        <f>HYPERLINK("http://dx.doi.org/10.1016/j.aquatox.2013.06.020","http://dx.doi.org/10.1016/j.aquatox.2013.06.020")</f>
        <v>http://dx.doi.org/10.1016/j.aquatox.2013.06.020</v>
      </c>
      <c r="BG756" t="s">
        <v>74</v>
      </c>
      <c r="BH756" t="s">
        <v>74</v>
      </c>
      <c r="BI756">
        <v>11</v>
      </c>
      <c r="BJ756" t="s">
        <v>14484</v>
      </c>
      <c r="BK756" t="s">
        <v>99</v>
      </c>
      <c r="BL756" t="s">
        <v>14484</v>
      </c>
      <c r="BM756" t="s">
        <v>14485</v>
      </c>
      <c r="BN756">
        <v>23891785</v>
      </c>
      <c r="BO756" t="s">
        <v>831</v>
      </c>
      <c r="BP756" t="s">
        <v>74</v>
      </c>
      <c r="BQ756" t="s">
        <v>74</v>
      </c>
      <c r="BR756" t="s">
        <v>103</v>
      </c>
      <c r="BS756" t="s">
        <v>14486</v>
      </c>
      <c r="BT756" t="str">
        <f>HYPERLINK("https%3A%2F%2Fwww.webofscience.com%2Fwos%2Fwoscc%2Ffull-record%2FWOS:000324900800040","View Full Record in Web of Science")</f>
        <v>View Full Record in Web of Science</v>
      </c>
    </row>
    <row r="757" spans="1:72" x14ac:dyDescent="0.15">
      <c r="A757" t="s">
        <v>72</v>
      </c>
      <c r="B757" t="s">
        <v>14487</v>
      </c>
      <c r="C757" t="s">
        <v>74</v>
      </c>
      <c r="D757" t="s">
        <v>74</v>
      </c>
      <c r="E757" t="s">
        <v>74</v>
      </c>
      <c r="F757" t="s">
        <v>14488</v>
      </c>
      <c r="G757" t="s">
        <v>74</v>
      </c>
      <c r="H757" t="s">
        <v>74</v>
      </c>
      <c r="I757" t="s">
        <v>14489</v>
      </c>
      <c r="J757" t="s">
        <v>9990</v>
      </c>
      <c r="K757" t="s">
        <v>74</v>
      </c>
      <c r="L757" t="s">
        <v>74</v>
      </c>
      <c r="M757" t="s">
        <v>78</v>
      </c>
      <c r="N757" t="s">
        <v>79</v>
      </c>
      <c r="O757" t="s">
        <v>74</v>
      </c>
      <c r="P757" t="s">
        <v>74</v>
      </c>
      <c r="Q757" t="s">
        <v>74</v>
      </c>
      <c r="R757" t="s">
        <v>74</v>
      </c>
      <c r="S757" t="s">
        <v>74</v>
      </c>
      <c r="T757" t="s">
        <v>14490</v>
      </c>
      <c r="U757" t="s">
        <v>14491</v>
      </c>
      <c r="V757" t="s">
        <v>14492</v>
      </c>
      <c r="W757" t="s">
        <v>14493</v>
      </c>
      <c r="X757" t="s">
        <v>14494</v>
      </c>
      <c r="Y757" t="s">
        <v>14495</v>
      </c>
      <c r="Z757" t="s">
        <v>14496</v>
      </c>
      <c r="AA757" t="s">
        <v>14497</v>
      </c>
      <c r="AB757" t="s">
        <v>14498</v>
      </c>
      <c r="AC757" t="s">
        <v>14499</v>
      </c>
      <c r="AD757" t="s">
        <v>14500</v>
      </c>
      <c r="AE757" t="s">
        <v>14501</v>
      </c>
      <c r="AF757" t="s">
        <v>74</v>
      </c>
      <c r="AG757">
        <v>137</v>
      </c>
      <c r="AH757">
        <v>37</v>
      </c>
      <c r="AI757">
        <v>38</v>
      </c>
      <c r="AJ757">
        <v>1</v>
      </c>
      <c r="AK757">
        <v>41</v>
      </c>
      <c r="AL757" t="s">
        <v>2588</v>
      </c>
      <c r="AM757" t="s">
        <v>2470</v>
      </c>
      <c r="AN757" t="s">
        <v>2589</v>
      </c>
      <c r="AO757" t="s">
        <v>10002</v>
      </c>
      <c r="AP757" t="s">
        <v>10003</v>
      </c>
      <c r="AQ757" t="s">
        <v>74</v>
      </c>
      <c r="AR757" t="s">
        <v>10004</v>
      </c>
      <c r="AS757" t="s">
        <v>10005</v>
      </c>
      <c r="AT757" t="s">
        <v>14435</v>
      </c>
      <c r="AU757">
        <v>2013</v>
      </c>
      <c r="AV757">
        <v>191</v>
      </c>
      <c r="AW757" t="s">
        <v>74</v>
      </c>
      <c r="AX757" t="s">
        <v>74</v>
      </c>
      <c r="AY757" t="s">
        <v>74</v>
      </c>
      <c r="AZ757" t="s">
        <v>74</v>
      </c>
      <c r="BA757" t="s">
        <v>74</v>
      </c>
      <c r="BB757">
        <v>45</v>
      </c>
      <c r="BC757">
        <v>58</v>
      </c>
      <c r="BD757" t="s">
        <v>74</v>
      </c>
      <c r="BE757" t="s">
        <v>14502</v>
      </c>
      <c r="BF757" t="str">
        <f>HYPERLINK("http://dx.doi.org/10.1016/j.ygcen.2013.05.025","http://dx.doi.org/10.1016/j.ygcen.2013.05.025")</f>
        <v>http://dx.doi.org/10.1016/j.ygcen.2013.05.025</v>
      </c>
      <c r="BG757" t="s">
        <v>74</v>
      </c>
      <c r="BH757" t="s">
        <v>74</v>
      </c>
      <c r="BI757">
        <v>14</v>
      </c>
      <c r="BJ757" t="s">
        <v>10007</v>
      </c>
      <c r="BK757" t="s">
        <v>99</v>
      </c>
      <c r="BL757" t="s">
        <v>10007</v>
      </c>
      <c r="BM757" t="s">
        <v>14503</v>
      </c>
      <c r="BN757">
        <v>23770218</v>
      </c>
      <c r="BO757" t="s">
        <v>450</v>
      </c>
      <c r="BP757" t="s">
        <v>74</v>
      </c>
      <c r="BQ757" t="s">
        <v>74</v>
      </c>
      <c r="BR757" t="s">
        <v>103</v>
      </c>
      <c r="BS757" t="s">
        <v>14504</v>
      </c>
      <c r="BT757" t="str">
        <f>HYPERLINK("https%3A%2F%2Fwww.webofscience.com%2Fwos%2Fwoscc%2Ffull-record%2FWOS:000323870400006","View Full Record in Web of Science")</f>
        <v>View Full Record in Web of Science</v>
      </c>
    </row>
    <row r="758" spans="1:72" x14ac:dyDescent="0.15">
      <c r="A758" t="s">
        <v>72</v>
      </c>
      <c r="B758" t="s">
        <v>14505</v>
      </c>
      <c r="C758" t="s">
        <v>74</v>
      </c>
      <c r="D758" t="s">
        <v>74</v>
      </c>
      <c r="E758" t="s">
        <v>74</v>
      </c>
      <c r="F758" t="s">
        <v>14506</v>
      </c>
      <c r="G758" t="s">
        <v>74</v>
      </c>
      <c r="H758" t="s">
        <v>74</v>
      </c>
      <c r="I758" t="s">
        <v>14507</v>
      </c>
      <c r="J758" t="s">
        <v>861</v>
      </c>
      <c r="K758" t="s">
        <v>74</v>
      </c>
      <c r="L758" t="s">
        <v>74</v>
      </c>
      <c r="M758" t="s">
        <v>78</v>
      </c>
      <c r="N758" t="s">
        <v>79</v>
      </c>
      <c r="O758" t="s">
        <v>74</v>
      </c>
      <c r="P758" t="s">
        <v>74</v>
      </c>
      <c r="Q758" t="s">
        <v>74</v>
      </c>
      <c r="R758" t="s">
        <v>74</v>
      </c>
      <c r="S758" t="s">
        <v>74</v>
      </c>
      <c r="T758" t="s">
        <v>74</v>
      </c>
      <c r="U758" t="s">
        <v>14508</v>
      </c>
      <c r="V758" t="s">
        <v>14509</v>
      </c>
      <c r="W758" t="s">
        <v>14510</v>
      </c>
      <c r="X758" t="s">
        <v>14511</v>
      </c>
      <c r="Y758" t="s">
        <v>14512</v>
      </c>
      <c r="Z758" t="s">
        <v>14513</v>
      </c>
      <c r="AA758" t="s">
        <v>74</v>
      </c>
      <c r="AB758" t="s">
        <v>74</v>
      </c>
      <c r="AC758" t="s">
        <v>14514</v>
      </c>
      <c r="AD758" t="s">
        <v>14515</v>
      </c>
      <c r="AE758" t="s">
        <v>14516</v>
      </c>
      <c r="AF758" t="s">
        <v>74</v>
      </c>
      <c r="AG758">
        <v>59</v>
      </c>
      <c r="AH758">
        <v>50</v>
      </c>
      <c r="AI758">
        <v>53</v>
      </c>
      <c r="AJ758">
        <v>1</v>
      </c>
      <c r="AK758">
        <v>78</v>
      </c>
      <c r="AL758" t="s">
        <v>872</v>
      </c>
      <c r="AM758" t="s">
        <v>252</v>
      </c>
      <c r="AN758" t="s">
        <v>873</v>
      </c>
      <c r="AO758" t="s">
        <v>874</v>
      </c>
      <c r="AP758" t="s">
        <v>74</v>
      </c>
      <c r="AQ758" t="s">
        <v>74</v>
      </c>
      <c r="AR758" t="s">
        <v>876</v>
      </c>
      <c r="AS758" t="s">
        <v>877</v>
      </c>
      <c r="AT758" t="s">
        <v>14435</v>
      </c>
      <c r="AU758">
        <v>2013</v>
      </c>
      <c r="AV758">
        <v>117</v>
      </c>
      <c r="AW758" t="s">
        <v>74</v>
      </c>
      <c r="AX758" t="s">
        <v>74</v>
      </c>
      <c r="AY758" t="s">
        <v>74</v>
      </c>
      <c r="AZ758" t="s">
        <v>74</v>
      </c>
      <c r="BA758" t="s">
        <v>74</v>
      </c>
      <c r="BB758">
        <v>99</v>
      </c>
      <c r="BC758">
        <v>114</v>
      </c>
      <c r="BD758" t="s">
        <v>74</v>
      </c>
      <c r="BE758" t="s">
        <v>14517</v>
      </c>
      <c r="BF758" t="str">
        <f>HYPERLINK("http://dx.doi.org/10.1016/j.gca.2013.04.013","http://dx.doi.org/10.1016/j.gca.2013.04.013")</f>
        <v>http://dx.doi.org/10.1016/j.gca.2013.04.013</v>
      </c>
      <c r="BG758" t="s">
        <v>74</v>
      </c>
      <c r="BH758" t="s">
        <v>74</v>
      </c>
      <c r="BI758">
        <v>16</v>
      </c>
      <c r="BJ758" t="s">
        <v>313</v>
      </c>
      <c r="BK758" t="s">
        <v>99</v>
      </c>
      <c r="BL758" t="s">
        <v>313</v>
      </c>
      <c r="BM758" t="s">
        <v>14518</v>
      </c>
      <c r="BN758" t="s">
        <v>74</v>
      </c>
      <c r="BO758" t="s">
        <v>74</v>
      </c>
      <c r="BP758" t="s">
        <v>74</v>
      </c>
      <c r="BQ758" t="s">
        <v>74</v>
      </c>
      <c r="BR758" t="s">
        <v>103</v>
      </c>
      <c r="BS758" t="s">
        <v>14519</v>
      </c>
      <c r="BT758" t="str">
        <f>HYPERLINK("https%3A%2F%2Fwww.webofscience.com%2Fwos%2Fwoscc%2Ffull-record%2FWOS:000324035300007","View Full Record in Web of Science")</f>
        <v>View Full Record in Web of Science</v>
      </c>
    </row>
    <row r="759" spans="1:72" x14ac:dyDescent="0.15">
      <c r="A759" t="s">
        <v>72</v>
      </c>
      <c r="B759" t="s">
        <v>14520</v>
      </c>
      <c r="C759" t="s">
        <v>74</v>
      </c>
      <c r="D759" t="s">
        <v>74</v>
      </c>
      <c r="E759" t="s">
        <v>74</v>
      </c>
      <c r="F759" t="s">
        <v>14521</v>
      </c>
      <c r="G759" t="s">
        <v>74</v>
      </c>
      <c r="H759" t="s">
        <v>74</v>
      </c>
      <c r="I759" t="s">
        <v>14522</v>
      </c>
      <c r="J759" t="s">
        <v>4548</v>
      </c>
      <c r="K759" t="s">
        <v>74</v>
      </c>
      <c r="L759" t="s">
        <v>74</v>
      </c>
      <c r="M759" t="s">
        <v>78</v>
      </c>
      <c r="N759" t="s">
        <v>79</v>
      </c>
      <c r="O759" t="s">
        <v>74</v>
      </c>
      <c r="P759" t="s">
        <v>74</v>
      </c>
      <c r="Q759" t="s">
        <v>74</v>
      </c>
      <c r="R759" t="s">
        <v>74</v>
      </c>
      <c r="S759" t="s">
        <v>74</v>
      </c>
      <c r="T759" t="s">
        <v>14523</v>
      </c>
      <c r="U759" t="s">
        <v>14524</v>
      </c>
      <c r="V759" t="s">
        <v>14525</v>
      </c>
      <c r="W759" t="s">
        <v>14526</v>
      </c>
      <c r="X759" t="s">
        <v>709</v>
      </c>
      <c r="Y759" t="s">
        <v>14527</v>
      </c>
      <c r="Z759" t="s">
        <v>14528</v>
      </c>
      <c r="AA759" t="s">
        <v>14529</v>
      </c>
      <c r="AB759" t="s">
        <v>14530</v>
      </c>
      <c r="AC759" t="s">
        <v>2468</v>
      </c>
      <c r="AD759" t="s">
        <v>1747</v>
      </c>
      <c r="AE759" t="s">
        <v>74</v>
      </c>
      <c r="AF759" t="s">
        <v>74</v>
      </c>
      <c r="AG759">
        <v>46</v>
      </c>
      <c r="AH759">
        <v>53</v>
      </c>
      <c r="AI759">
        <v>56</v>
      </c>
      <c r="AJ759">
        <v>3</v>
      </c>
      <c r="AK759">
        <v>69</v>
      </c>
      <c r="AL759" t="s">
        <v>872</v>
      </c>
      <c r="AM759" t="s">
        <v>252</v>
      </c>
      <c r="AN759" t="s">
        <v>873</v>
      </c>
      <c r="AO759" t="s">
        <v>4561</v>
      </c>
      <c r="AP759" t="s">
        <v>4562</v>
      </c>
      <c r="AQ759" t="s">
        <v>74</v>
      </c>
      <c r="AR759" t="s">
        <v>4563</v>
      </c>
      <c r="AS759" t="s">
        <v>4564</v>
      </c>
      <c r="AT759" t="s">
        <v>14435</v>
      </c>
      <c r="AU759">
        <v>2013</v>
      </c>
      <c r="AV759">
        <v>74</v>
      </c>
      <c r="AW759">
        <v>1</v>
      </c>
      <c r="AX759" t="s">
        <v>74</v>
      </c>
      <c r="AY759" t="s">
        <v>74</v>
      </c>
      <c r="AZ759" t="s">
        <v>74</v>
      </c>
      <c r="BA759" t="s">
        <v>74</v>
      </c>
      <c r="BB759">
        <v>244</v>
      </c>
      <c r="BC759">
        <v>252</v>
      </c>
      <c r="BD759" t="s">
        <v>74</v>
      </c>
      <c r="BE759" t="s">
        <v>14531</v>
      </c>
      <c r="BF759" t="str">
        <f>HYPERLINK("http://dx.doi.org/10.1016/j.marpolbul.2013.06.050","http://dx.doi.org/10.1016/j.marpolbul.2013.06.050")</f>
        <v>http://dx.doi.org/10.1016/j.marpolbul.2013.06.050</v>
      </c>
      <c r="BG759" t="s">
        <v>74</v>
      </c>
      <c r="BH759" t="s">
        <v>74</v>
      </c>
      <c r="BI759">
        <v>9</v>
      </c>
      <c r="BJ759" t="s">
        <v>679</v>
      </c>
      <c r="BK759" t="s">
        <v>99</v>
      </c>
      <c r="BL759" t="s">
        <v>680</v>
      </c>
      <c r="BM759" t="s">
        <v>14436</v>
      </c>
      <c r="BN759">
        <v>23915979</v>
      </c>
      <c r="BO759" t="s">
        <v>450</v>
      </c>
      <c r="BP759" t="s">
        <v>74</v>
      </c>
      <c r="BQ759" t="s">
        <v>74</v>
      </c>
      <c r="BR759" t="s">
        <v>103</v>
      </c>
      <c r="BS759" t="s">
        <v>14532</v>
      </c>
      <c r="BT759" t="str">
        <f>HYPERLINK("https%3A%2F%2Fwww.webofscience.com%2Fwos%2Fwoscc%2Ffull-record%2FWOS:000326211600045","View Full Record in Web of Science")</f>
        <v>View Full Record in Web of Science</v>
      </c>
    </row>
    <row r="760" spans="1:72" x14ac:dyDescent="0.15">
      <c r="A760" t="s">
        <v>72</v>
      </c>
      <c r="B760" t="s">
        <v>14533</v>
      </c>
      <c r="C760" t="s">
        <v>74</v>
      </c>
      <c r="D760" t="s">
        <v>74</v>
      </c>
      <c r="E760" t="s">
        <v>74</v>
      </c>
      <c r="F760" t="s">
        <v>14534</v>
      </c>
      <c r="G760" t="s">
        <v>74</v>
      </c>
      <c r="H760" t="s">
        <v>74</v>
      </c>
      <c r="I760" t="s">
        <v>14535</v>
      </c>
      <c r="J760" t="s">
        <v>7794</v>
      </c>
      <c r="K760" t="s">
        <v>74</v>
      </c>
      <c r="L760" t="s">
        <v>74</v>
      </c>
      <c r="M760" t="s">
        <v>78</v>
      </c>
      <c r="N760" t="s">
        <v>79</v>
      </c>
      <c r="O760" t="s">
        <v>74</v>
      </c>
      <c r="P760" t="s">
        <v>74</v>
      </c>
      <c r="Q760" t="s">
        <v>74</v>
      </c>
      <c r="R760" t="s">
        <v>74</v>
      </c>
      <c r="S760" t="s">
        <v>74</v>
      </c>
      <c r="T760" t="s">
        <v>74</v>
      </c>
      <c r="U760" t="s">
        <v>14536</v>
      </c>
      <c r="V760" t="s">
        <v>14537</v>
      </c>
      <c r="W760" t="s">
        <v>14538</v>
      </c>
      <c r="X760" t="s">
        <v>14539</v>
      </c>
      <c r="Y760" t="s">
        <v>14540</v>
      </c>
      <c r="Z760" t="s">
        <v>14541</v>
      </c>
      <c r="AA760" t="s">
        <v>14542</v>
      </c>
      <c r="AB760" t="s">
        <v>74</v>
      </c>
      <c r="AC760" t="s">
        <v>14543</v>
      </c>
      <c r="AD760" t="s">
        <v>14544</v>
      </c>
      <c r="AE760" t="s">
        <v>14545</v>
      </c>
      <c r="AF760" t="s">
        <v>74</v>
      </c>
      <c r="AG760">
        <v>17</v>
      </c>
      <c r="AH760">
        <v>85</v>
      </c>
      <c r="AI760">
        <v>97</v>
      </c>
      <c r="AJ760">
        <v>2</v>
      </c>
      <c r="AK760">
        <v>56</v>
      </c>
      <c r="AL760" t="s">
        <v>7806</v>
      </c>
      <c r="AM760" t="s">
        <v>808</v>
      </c>
      <c r="AN760" t="s">
        <v>7807</v>
      </c>
      <c r="AO760" t="s">
        <v>7808</v>
      </c>
      <c r="AP760" t="s">
        <v>74</v>
      </c>
      <c r="AQ760" t="s">
        <v>74</v>
      </c>
      <c r="AR760" t="s">
        <v>7794</v>
      </c>
      <c r="AS760" t="s">
        <v>7810</v>
      </c>
      <c r="AT760" t="s">
        <v>14546</v>
      </c>
      <c r="AU760">
        <v>2013</v>
      </c>
      <c r="AV760">
        <v>341</v>
      </c>
      <c r="AW760">
        <v>6151</v>
      </c>
      <c r="AX760" t="s">
        <v>74</v>
      </c>
      <c r="AY760" t="s">
        <v>74</v>
      </c>
      <c r="AZ760" t="s">
        <v>74</v>
      </c>
      <c r="BA760" t="s">
        <v>74</v>
      </c>
      <c r="BB760">
        <v>1236</v>
      </c>
      <c r="BC760">
        <v>1239</v>
      </c>
      <c r="BD760" t="s">
        <v>74</v>
      </c>
      <c r="BE760" t="s">
        <v>14547</v>
      </c>
      <c r="BF760" t="str">
        <f>HYPERLINK("http://dx.doi.org/10.1126/science.1239373","http://dx.doi.org/10.1126/science.1239373")</f>
        <v>http://dx.doi.org/10.1126/science.1239373</v>
      </c>
      <c r="BG760" t="s">
        <v>74</v>
      </c>
      <c r="BH760" t="s">
        <v>74</v>
      </c>
      <c r="BI760">
        <v>4</v>
      </c>
      <c r="BJ760" t="s">
        <v>2652</v>
      </c>
      <c r="BK760" t="s">
        <v>99</v>
      </c>
      <c r="BL760" t="s">
        <v>2653</v>
      </c>
      <c r="BM760" t="s">
        <v>14548</v>
      </c>
      <c r="BN760">
        <v>24031016</v>
      </c>
      <c r="BO760" t="s">
        <v>74</v>
      </c>
      <c r="BP760" t="s">
        <v>74</v>
      </c>
      <c r="BQ760" t="s">
        <v>74</v>
      </c>
      <c r="BR760" t="s">
        <v>103</v>
      </c>
      <c r="BS760" t="s">
        <v>14549</v>
      </c>
      <c r="BT760" t="str">
        <f>HYPERLINK("https%3A%2F%2Fwww.webofscience.com%2Fwos%2Fwoscc%2Ffull-record%2FWOS:000324248800042","View Full Record in Web of Science")</f>
        <v>View Full Record in Web of Science</v>
      </c>
    </row>
    <row r="761" spans="1:72" x14ac:dyDescent="0.15">
      <c r="A761" t="s">
        <v>72</v>
      </c>
      <c r="B761" t="s">
        <v>14550</v>
      </c>
      <c r="C761" t="s">
        <v>74</v>
      </c>
      <c r="D761" t="s">
        <v>74</v>
      </c>
      <c r="E761" t="s">
        <v>74</v>
      </c>
      <c r="F761" t="s">
        <v>14551</v>
      </c>
      <c r="G761" t="s">
        <v>74</v>
      </c>
      <c r="H761" t="s">
        <v>74</v>
      </c>
      <c r="I761" t="s">
        <v>14552</v>
      </c>
      <c r="J761" t="s">
        <v>4072</v>
      </c>
      <c r="K761" t="s">
        <v>74</v>
      </c>
      <c r="L761" t="s">
        <v>74</v>
      </c>
      <c r="M761" t="s">
        <v>78</v>
      </c>
      <c r="N761" t="s">
        <v>79</v>
      </c>
      <c r="O761" t="s">
        <v>74</v>
      </c>
      <c r="P761" t="s">
        <v>74</v>
      </c>
      <c r="Q761" t="s">
        <v>74</v>
      </c>
      <c r="R761" t="s">
        <v>74</v>
      </c>
      <c r="S761" t="s">
        <v>74</v>
      </c>
      <c r="T761" t="s">
        <v>74</v>
      </c>
      <c r="U761" t="s">
        <v>14553</v>
      </c>
      <c r="V761" t="s">
        <v>14554</v>
      </c>
      <c r="W761" t="s">
        <v>14555</v>
      </c>
      <c r="X761" t="s">
        <v>14556</v>
      </c>
      <c r="Y761" t="s">
        <v>14557</v>
      </c>
      <c r="Z761" t="s">
        <v>14558</v>
      </c>
      <c r="AA761" t="s">
        <v>14559</v>
      </c>
      <c r="AB761" t="s">
        <v>14560</v>
      </c>
      <c r="AC761" t="s">
        <v>14561</v>
      </c>
      <c r="AD761" t="s">
        <v>14562</v>
      </c>
      <c r="AE761" t="s">
        <v>14563</v>
      </c>
      <c r="AF761" t="s">
        <v>74</v>
      </c>
      <c r="AG761">
        <v>47</v>
      </c>
      <c r="AH761">
        <v>7</v>
      </c>
      <c r="AI761">
        <v>7</v>
      </c>
      <c r="AJ761">
        <v>0</v>
      </c>
      <c r="AK761">
        <v>23</v>
      </c>
      <c r="AL761" t="s">
        <v>4084</v>
      </c>
      <c r="AM761" t="s">
        <v>4085</v>
      </c>
      <c r="AN761" t="s">
        <v>4086</v>
      </c>
      <c r="AO761" t="s">
        <v>4087</v>
      </c>
      <c r="AP761" t="s">
        <v>74</v>
      </c>
      <c r="AQ761" t="s">
        <v>74</v>
      </c>
      <c r="AR761" t="s">
        <v>4072</v>
      </c>
      <c r="AS761" t="s">
        <v>4088</v>
      </c>
      <c r="AT761" t="s">
        <v>14564</v>
      </c>
      <c r="AU761">
        <v>2013</v>
      </c>
      <c r="AV761">
        <v>8</v>
      </c>
      <c r="AW761">
        <v>9</v>
      </c>
      <c r="AX761" t="s">
        <v>74</v>
      </c>
      <c r="AY761" t="s">
        <v>74</v>
      </c>
      <c r="AZ761" t="s">
        <v>74</v>
      </c>
      <c r="BA761" t="s">
        <v>74</v>
      </c>
      <c r="BB761" t="s">
        <v>74</v>
      </c>
      <c r="BC761" t="s">
        <v>74</v>
      </c>
      <c r="BD761" t="s">
        <v>14565</v>
      </c>
      <c r="BE761" t="s">
        <v>14566</v>
      </c>
      <c r="BF761" t="str">
        <f>HYPERLINK("http://dx.doi.org/10.1371/journal.pone.0073297","http://dx.doi.org/10.1371/journal.pone.0073297")</f>
        <v>http://dx.doi.org/10.1371/journal.pone.0073297</v>
      </c>
      <c r="BG761" t="s">
        <v>74</v>
      </c>
      <c r="BH761" t="s">
        <v>74</v>
      </c>
      <c r="BI761">
        <v>15</v>
      </c>
      <c r="BJ761" t="s">
        <v>2652</v>
      </c>
      <c r="BK761" t="s">
        <v>99</v>
      </c>
      <c r="BL761" t="s">
        <v>2653</v>
      </c>
      <c r="BM761" t="s">
        <v>14567</v>
      </c>
      <c r="BN761">
        <v>24039905</v>
      </c>
      <c r="BO761" t="s">
        <v>3000</v>
      </c>
      <c r="BP761" t="s">
        <v>74</v>
      </c>
      <c r="BQ761" t="s">
        <v>74</v>
      </c>
      <c r="BR761" t="s">
        <v>103</v>
      </c>
      <c r="BS761" t="s">
        <v>14568</v>
      </c>
      <c r="BT761" t="str">
        <f>HYPERLINK("https%3A%2F%2Fwww.webofscience.com%2Fwos%2Fwoscc%2Ffull-record%2FWOS:000326405300063","View Full Record in Web of Science")</f>
        <v>View Full Record in Web of Science</v>
      </c>
    </row>
    <row r="762" spans="1:72" x14ac:dyDescent="0.15">
      <c r="A762" t="s">
        <v>72</v>
      </c>
      <c r="B762" t="s">
        <v>14569</v>
      </c>
      <c r="C762" t="s">
        <v>74</v>
      </c>
      <c r="D762" t="s">
        <v>74</v>
      </c>
      <c r="E762" t="s">
        <v>74</v>
      </c>
      <c r="F762" t="s">
        <v>14570</v>
      </c>
      <c r="G762" t="s">
        <v>74</v>
      </c>
      <c r="H762" t="s">
        <v>74</v>
      </c>
      <c r="I762" t="s">
        <v>14571</v>
      </c>
      <c r="J762" t="s">
        <v>14572</v>
      </c>
      <c r="K762" t="s">
        <v>74</v>
      </c>
      <c r="L762" t="s">
        <v>74</v>
      </c>
      <c r="M762" t="s">
        <v>78</v>
      </c>
      <c r="N762" t="s">
        <v>79</v>
      </c>
      <c r="O762" t="s">
        <v>74</v>
      </c>
      <c r="P762" t="s">
        <v>74</v>
      </c>
      <c r="Q762" t="s">
        <v>74</v>
      </c>
      <c r="R762" t="s">
        <v>74</v>
      </c>
      <c r="S762" t="s">
        <v>74</v>
      </c>
      <c r="T762" t="s">
        <v>74</v>
      </c>
      <c r="U762" t="s">
        <v>14573</v>
      </c>
      <c r="V762" t="s">
        <v>14574</v>
      </c>
      <c r="W762" t="s">
        <v>14575</v>
      </c>
      <c r="X762" t="s">
        <v>14576</v>
      </c>
      <c r="Y762" t="s">
        <v>14577</v>
      </c>
      <c r="Z762" t="s">
        <v>14578</v>
      </c>
      <c r="AA762" t="s">
        <v>14579</v>
      </c>
      <c r="AB762" t="s">
        <v>14580</v>
      </c>
      <c r="AC762" t="s">
        <v>14581</v>
      </c>
      <c r="AD762" t="s">
        <v>14582</v>
      </c>
      <c r="AE762" t="s">
        <v>14583</v>
      </c>
      <c r="AF762" t="s">
        <v>74</v>
      </c>
      <c r="AG762">
        <v>28</v>
      </c>
      <c r="AH762">
        <v>59</v>
      </c>
      <c r="AI762">
        <v>67</v>
      </c>
      <c r="AJ762">
        <v>2</v>
      </c>
      <c r="AK762">
        <v>73</v>
      </c>
      <c r="AL762" t="s">
        <v>14584</v>
      </c>
      <c r="AM762" t="s">
        <v>1470</v>
      </c>
      <c r="AN762" t="s">
        <v>14585</v>
      </c>
      <c r="AO762" t="s">
        <v>14586</v>
      </c>
      <c r="AP762" t="s">
        <v>14587</v>
      </c>
      <c r="AQ762" t="s">
        <v>74</v>
      </c>
      <c r="AR762" t="s">
        <v>14588</v>
      </c>
      <c r="AS762" t="s">
        <v>14589</v>
      </c>
      <c r="AT762" t="s">
        <v>14564</v>
      </c>
      <c r="AU762">
        <v>2013</v>
      </c>
      <c r="AV762">
        <v>23</v>
      </c>
      <c r="AW762">
        <v>17</v>
      </c>
      <c r="AX762" t="s">
        <v>74</v>
      </c>
      <c r="AY762" t="s">
        <v>74</v>
      </c>
      <c r="AZ762" t="s">
        <v>74</v>
      </c>
      <c r="BA762" t="s">
        <v>74</v>
      </c>
      <c r="BB762">
        <v>1702</v>
      </c>
      <c r="BC762">
        <v>1706</v>
      </c>
      <c r="BD762" t="s">
        <v>74</v>
      </c>
      <c r="BE762" t="s">
        <v>14590</v>
      </c>
      <c r="BF762" t="str">
        <f>HYPERLINK("http://dx.doi.org/10.1016/j.cub.2013.07.011","http://dx.doi.org/10.1016/j.cub.2013.07.011")</f>
        <v>http://dx.doi.org/10.1016/j.cub.2013.07.011</v>
      </c>
      <c r="BG762" t="s">
        <v>74</v>
      </c>
      <c r="BH762" t="s">
        <v>74</v>
      </c>
      <c r="BI762">
        <v>5</v>
      </c>
      <c r="BJ762" t="s">
        <v>14591</v>
      </c>
      <c r="BK762" t="s">
        <v>99</v>
      </c>
      <c r="BL762" t="s">
        <v>14592</v>
      </c>
      <c r="BM762" t="s">
        <v>14593</v>
      </c>
      <c r="BN762">
        <v>23993839</v>
      </c>
      <c r="BO762" t="s">
        <v>524</v>
      </c>
      <c r="BP762" t="s">
        <v>74</v>
      </c>
      <c r="BQ762" t="s">
        <v>74</v>
      </c>
      <c r="BR762" t="s">
        <v>103</v>
      </c>
      <c r="BS762" t="s">
        <v>14594</v>
      </c>
      <c r="BT762" t="str">
        <f>HYPERLINK("https%3A%2F%2Fwww.webofscience.com%2Fwos%2Fwoscc%2Ffull-record%2FWOS:000330098200042","View Full Record in Web of Science")</f>
        <v>View Full Record in Web of Science</v>
      </c>
    </row>
    <row r="763" spans="1:72" x14ac:dyDescent="0.15">
      <c r="A763" t="s">
        <v>72</v>
      </c>
      <c r="B763" t="s">
        <v>14595</v>
      </c>
      <c r="C763" t="s">
        <v>74</v>
      </c>
      <c r="D763" t="s">
        <v>74</v>
      </c>
      <c r="E763" t="s">
        <v>74</v>
      </c>
      <c r="F763" t="s">
        <v>14596</v>
      </c>
      <c r="G763" t="s">
        <v>74</v>
      </c>
      <c r="H763" t="s">
        <v>74</v>
      </c>
      <c r="I763" t="s">
        <v>14597</v>
      </c>
      <c r="J763" t="s">
        <v>4072</v>
      </c>
      <c r="K763" t="s">
        <v>74</v>
      </c>
      <c r="L763" t="s">
        <v>74</v>
      </c>
      <c r="M763" t="s">
        <v>78</v>
      </c>
      <c r="N763" t="s">
        <v>79</v>
      </c>
      <c r="O763" t="s">
        <v>74</v>
      </c>
      <c r="P763" t="s">
        <v>74</v>
      </c>
      <c r="Q763" t="s">
        <v>74</v>
      </c>
      <c r="R763" t="s">
        <v>74</v>
      </c>
      <c r="S763" t="s">
        <v>74</v>
      </c>
      <c r="T763" t="s">
        <v>74</v>
      </c>
      <c r="U763" t="s">
        <v>14598</v>
      </c>
      <c r="V763" t="s">
        <v>14599</v>
      </c>
      <c r="W763" t="s">
        <v>14600</v>
      </c>
      <c r="X763" t="s">
        <v>111</v>
      </c>
      <c r="Y763" t="s">
        <v>14601</v>
      </c>
      <c r="Z763" t="s">
        <v>14602</v>
      </c>
      <c r="AA763" t="s">
        <v>74</v>
      </c>
      <c r="AB763" t="s">
        <v>74</v>
      </c>
      <c r="AC763" t="s">
        <v>14603</v>
      </c>
      <c r="AD763" t="s">
        <v>14603</v>
      </c>
      <c r="AE763" t="s">
        <v>14604</v>
      </c>
      <c r="AF763" t="s">
        <v>74</v>
      </c>
      <c r="AG763">
        <v>52</v>
      </c>
      <c r="AH763">
        <v>47</v>
      </c>
      <c r="AI763">
        <v>56</v>
      </c>
      <c r="AJ763">
        <v>0</v>
      </c>
      <c r="AK763">
        <v>58</v>
      </c>
      <c r="AL763" t="s">
        <v>4084</v>
      </c>
      <c r="AM763" t="s">
        <v>4085</v>
      </c>
      <c r="AN763" t="s">
        <v>4086</v>
      </c>
      <c r="AO763" t="s">
        <v>4087</v>
      </c>
      <c r="AP763" t="s">
        <v>74</v>
      </c>
      <c r="AQ763" t="s">
        <v>74</v>
      </c>
      <c r="AR763" t="s">
        <v>4072</v>
      </c>
      <c r="AS763" t="s">
        <v>4088</v>
      </c>
      <c r="AT763" t="s">
        <v>14605</v>
      </c>
      <c r="AU763">
        <v>2013</v>
      </c>
      <c r="AV763">
        <v>8</v>
      </c>
      <c r="AW763">
        <v>9</v>
      </c>
      <c r="AX763" t="s">
        <v>74</v>
      </c>
      <c r="AY763" t="s">
        <v>74</v>
      </c>
      <c r="AZ763" t="s">
        <v>74</v>
      </c>
      <c r="BA763" t="s">
        <v>74</v>
      </c>
      <c r="BB763" t="s">
        <v>74</v>
      </c>
      <c r="BC763" t="s">
        <v>74</v>
      </c>
      <c r="BD763" t="s">
        <v>14606</v>
      </c>
      <c r="BE763" t="s">
        <v>14607</v>
      </c>
      <c r="BF763" t="str">
        <f>HYPERLINK("http://dx.doi.org/10.1371/journal.pone.0073007","http://dx.doi.org/10.1371/journal.pone.0073007")</f>
        <v>http://dx.doi.org/10.1371/journal.pone.0073007</v>
      </c>
      <c r="BG763" t="s">
        <v>74</v>
      </c>
      <c r="BH763" t="s">
        <v>74</v>
      </c>
      <c r="BI763">
        <v>7</v>
      </c>
      <c r="BJ763" t="s">
        <v>2652</v>
      </c>
      <c r="BK763" t="s">
        <v>99</v>
      </c>
      <c r="BL763" t="s">
        <v>2653</v>
      </c>
      <c r="BM763" t="s">
        <v>14608</v>
      </c>
      <c r="BN763">
        <v>24039844</v>
      </c>
      <c r="BO763" t="s">
        <v>5514</v>
      </c>
      <c r="BP763" t="s">
        <v>74</v>
      </c>
      <c r="BQ763" t="s">
        <v>74</v>
      </c>
      <c r="BR763" t="s">
        <v>103</v>
      </c>
      <c r="BS763" t="s">
        <v>14609</v>
      </c>
      <c r="BT763" t="str">
        <f>HYPERLINK("https%3A%2F%2Fwww.webofscience.com%2Fwos%2Fwoscc%2Ffull-record%2FWOS:000324856500031","View Full Record in Web of Science")</f>
        <v>View Full Record in Web of Science</v>
      </c>
    </row>
    <row r="764" spans="1:72" x14ac:dyDescent="0.15">
      <c r="A764" t="s">
        <v>72</v>
      </c>
      <c r="B764" t="s">
        <v>14610</v>
      </c>
      <c r="C764" t="s">
        <v>74</v>
      </c>
      <c r="D764" t="s">
        <v>74</v>
      </c>
      <c r="E764" t="s">
        <v>74</v>
      </c>
      <c r="F764" t="s">
        <v>14611</v>
      </c>
      <c r="G764" t="s">
        <v>74</v>
      </c>
      <c r="H764" t="s">
        <v>74</v>
      </c>
      <c r="I764" t="s">
        <v>14612</v>
      </c>
      <c r="J764" t="s">
        <v>4267</v>
      </c>
      <c r="K764" t="s">
        <v>74</v>
      </c>
      <c r="L764" t="s">
        <v>74</v>
      </c>
      <c r="M764" t="s">
        <v>78</v>
      </c>
      <c r="N764" t="s">
        <v>79</v>
      </c>
      <c r="O764" t="s">
        <v>74</v>
      </c>
      <c r="P764" t="s">
        <v>74</v>
      </c>
      <c r="Q764" t="s">
        <v>74</v>
      </c>
      <c r="R764" t="s">
        <v>74</v>
      </c>
      <c r="S764" t="s">
        <v>74</v>
      </c>
      <c r="T764" t="s">
        <v>74</v>
      </c>
      <c r="U764" t="s">
        <v>14613</v>
      </c>
      <c r="V764" t="s">
        <v>14614</v>
      </c>
      <c r="W764" t="s">
        <v>14615</v>
      </c>
      <c r="X764" t="s">
        <v>14616</v>
      </c>
      <c r="Y764" t="s">
        <v>14617</v>
      </c>
      <c r="Z764" t="s">
        <v>14618</v>
      </c>
      <c r="AA764" t="s">
        <v>14619</v>
      </c>
      <c r="AB764" t="s">
        <v>14620</v>
      </c>
      <c r="AC764" t="s">
        <v>14621</v>
      </c>
      <c r="AD764" t="s">
        <v>14622</v>
      </c>
      <c r="AE764" t="s">
        <v>14623</v>
      </c>
      <c r="AF764" t="s">
        <v>74</v>
      </c>
      <c r="AG764">
        <v>30</v>
      </c>
      <c r="AH764">
        <v>162</v>
      </c>
      <c r="AI764">
        <v>178</v>
      </c>
      <c r="AJ764">
        <v>14</v>
      </c>
      <c r="AK764">
        <v>225</v>
      </c>
      <c r="AL764" t="s">
        <v>4279</v>
      </c>
      <c r="AM764" t="s">
        <v>808</v>
      </c>
      <c r="AN764" t="s">
        <v>4280</v>
      </c>
      <c r="AO764" t="s">
        <v>4281</v>
      </c>
      <c r="AP764" t="s">
        <v>4282</v>
      </c>
      <c r="AQ764" t="s">
        <v>74</v>
      </c>
      <c r="AR764" t="s">
        <v>4283</v>
      </c>
      <c r="AS764" t="s">
        <v>4284</v>
      </c>
      <c r="AT764" t="s">
        <v>14624</v>
      </c>
      <c r="AU764">
        <v>2013</v>
      </c>
      <c r="AV764">
        <v>47</v>
      </c>
      <c r="AW764">
        <v>17</v>
      </c>
      <c r="AX764" t="s">
        <v>74</v>
      </c>
      <c r="AY764" t="s">
        <v>74</v>
      </c>
      <c r="AZ764" t="s">
        <v>74</v>
      </c>
      <c r="BA764" t="s">
        <v>74</v>
      </c>
      <c r="BB764">
        <v>9628</v>
      </c>
      <c r="BC764">
        <v>9634</v>
      </c>
      <c r="BD764" t="s">
        <v>74</v>
      </c>
      <c r="BE764" t="s">
        <v>14625</v>
      </c>
      <c r="BF764" t="str">
        <f>HYPERLINK("http://dx.doi.org/10.1021/es4009618","http://dx.doi.org/10.1021/es4009618")</f>
        <v>http://dx.doi.org/10.1021/es4009618</v>
      </c>
      <c r="BG764" t="s">
        <v>74</v>
      </c>
      <c r="BH764" t="s">
        <v>74</v>
      </c>
      <c r="BI764">
        <v>7</v>
      </c>
      <c r="BJ764" t="s">
        <v>4286</v>
      </c>
      <c r="BK764" t="s">
        <v>99</v>
      </c>
      <c r="BL764" t="s">
        <v>4287</v>
      </c>
      <c r="BM764" t="s">
        <v>14626</v>
      </c>
      <c r="BN764">
        <v>23919680</v>
      </c>
      <c r="BO764" t="s">
        <v>74</v>
      </c>
      <c r="BP764" t="s">
        <v>74</v>
      </c>
      <c r="BQ764" t="s">
        <v>74</v>
      </c>
      <c r="BR764" t="s">
        <v>103</v>
      </c>
      <c r="BS764" t="s">
        <v>14627</v>
      </c>
      <c r="BT764" t="str">
        <f>HYPERLINK("https%3A%2F%2Fwww.webofscience.com%2Fwos%2Fwoscc%2Ffull-record%2FWOS:000330094700010","View Full Record in Web of Science")</f>
        <v>View Full Record in Web of Science</v>
      </c>
    </row>
    <row r="765" spans="1:72" x14ac:dyDescent="0.15">
      <c r="A765" t="s">
        <v>72</v>
      </c>
      <c r="B765" t="s">
        <v>14628</v>
      </c>
      <c r="C765" t="s">
        <v>74</v>
      </c>
      <c r="D765" t="s">
        <v>74</v>
      </c>
      <c r="E765" t="s">
        <v>74</v>
      </c>
      <c r="F765" t="s">
        <v>14629</v>
      </c>
      <c r="G765" t="s">
        <v>74</v>
      </c>
      <c r="H765" t="s">
        <v>74</v>
      </c>
      <c r="I765" t="s">
        <v>14630</v>
      </c>
      <c r="J765" t="s">
        <v>14631</v>
      </c>
      <c r="K765" t="s">
        <v>74</v>
      </c>
      <c r="L765" t="s">
        <v>74</v>
      </c>
      <c r="M765" t="s">
        <v>78</v>
      </c>
      <c r="N765" t="s">
        <v>79</v>
      </c>
      <c r="O765" t="s">
        <v>74</v>
      </c>
      <c r="P765" t="s">
        <v>74</v>
      </c>
      <c r="Q765" t="s">
        <v>74</v>
      </c>
      <c r="R765" t="s">
        <v>74</v>
      </c>
      <c r="S765" t="s">
        <v>74</v>
      </c>
      <c r="T765" t="s">
        <v>14632</v>
      </c>
      <c r="U765" t="s">
        <v>14633</v>
      </c>
      <c r="V765" t="s">
        <v>14634</v>
      </c>
      <c r="W765" t="s">
        <v>14635</v>
      </c>
      <c r="X765" t="s">
        <v>14636</v>
      </c>
      <c r="Y765" t="s">
        <v>14637</v>
      </c>
      <c r="Z765" t="s">
        <v>14638</v>
      </c>
      <c r="AA765" t="s">
        <v>14639</v>
      </c>
      <c r="AB765" t="s">
        <v>14640</v>
      </c>
      <c r="AC765" t="s">
        <v>14641</v>
      </c>
      <c r="AD765" t="s">
        <v>1747</v>
      </c>
      <c r="AE765" t="s">
        <v>74</v>
      </c>
      <c r="AF765" t="s">
        <v>74</v>
      </c>
      <c r="AG765">
        <v>51</v>
      </c>
      <c r="AH765">
        <v>9</v>
      </c>
      <c r="AI765">
        <v>9</v>
      </c>
      <c r="AJ765">
        <v>2</v>
      </c>
      <c r="AK765">
        <v>32</v>
      </c>
      <c r="AL765" t="s">
        <v>464</v>
      </c>
      <c r="AM765" t="s">
        <v>465</v>
      </c>
      <c r="AN765" t="s">
        <v>466</v>
      </c>
      <c r="AO765" t="s">
        <v>14642</v>
      </c>
      <c r="AP765" t="s">
        <v>14643</v>
      </c>
      <c r="AQ765" t="s">
        <v>74</v>
      </c>
      <c r="AR765" t="s">
        <v>14644</v>
      </c>
      <c r="AS765" t="s">
        <v>14645</v>
      </c>
      <c r="AT765" t="s">
        <v>14624</v>
      </c>
      <c r="AU765">
        <v>2013</v>
      </c>
      <c r="AV765">
        <v>105</v>
      </c>
      <c r="AW765">
        <v>3</v>
      </c>
      <c r="AX765" t="s">
        <v>74</v>
      </c>
      <c r="AY765" t="s">
        <v>74</v>
      </c>
      <c r="AZ765" t="s">
        <v>74</v>
      </c>
      <c r="BA765" t="s">
        <v>74</v>
      </c>
      <c r="BB765">
        <v>175</v>
      </c>
      <c r="BC765">
        <v>181</v>
      </c>
      <c r="BD765" t="s">
        <v>74</v>
      </c>
      <c r="BE765" t="s">
        <v>14646</v>
      </c>
      <c r="BF765" t="str">
        <f>HYPERLINK("http://dx.doi.org/10.3354/dao02633","http://dx.doi.org/10.3354/dao02633")</f>
        <v>http://dx.doi.org/10.3354/dao02633</v>
      </c>
      <c r="BG765" t="s">
        <v>74</v>
      </c>
      <c r="BH765" t="s">
        <v>74</v>
      </c>
      <c r="BI765">
        <v>7</v>
      </c>
      <c r="BJ765" t="s">
        <v>14647</v>
      </c>
      <c r="BK765" t="s">
        <v>99</v>
      </c>
      <c r="BL765" t="s">
        <v>14647</v>
      </c>
      <c r="BM765" t="s">
        <v>14648</v>
      </c>
      <c r="BN765">
        <v>23999701</v>
      </c>
      <c r="BO765" t="s">
        <v>1733</v>
      </c>
      <c r="BP765" t="s">
        <v>74</v>
      </c>
      <c r="BQ765" t="s">
        <v>74</v>
      </c>
      <c r="BR765" t="s">
        <v>103</v>
      </c>
      <c r="BS765" t="s">
        <v>14649</v>
      </c>
      <c r="BT765" t="str">
        <f>HYPERLINK("https%3A%2F%2Fwww.webofscience.com%2Fwos%2Fwoscc%2Ffull-record%2FWOS:000323911300001","View Full Record in Web of Science")</f>
        <v>View Full Record in Web of Science</v>
      </c>
    </row>
    <row r="766" spans="1:72" x14ac:dyDescent="0.15">
      <c r="A766" t="s">
        <v>72</v>
      </c>
      <c r="B766" t="s">
        <v>14650</v>
      </c>
      <c r="C766" t="s">
        <v>74</v>
      </c>
      <c r="D766" t="s">
        <v>74</v>
      </c>
      <c r="E766" t="s">
        <v>74</v>
      </c>
      <c r="F766" t="s">
        <v>14651</v>
      </c>
      <c r="G766" t="s">
        <v>74</v>
      </c>
      <c r="H766" t="s">
        <v>74</v>
      </c>
      <c r="I766" t="s">
        <v>14652</v>
      </c>
      <c r="J766" t="s">
        <v>14653</v>
      </c>
      <c r="K766" t="s">
        <v>74</v>
      </c>
      <c r="L766" t="s">
        <v>74</v>
      </c>
      <c r="M766" t="s">
        <v>78</v>
      </c>
      <c r="N766" t="s">
        <v>79</v>
      </c>
      <c r="O766" t="s">
        <v>74</v>
      </c>
      <c r="P766" t="s">
        <v>74</v>
      </c>
      <c r="Q766" t="s">
        <v>74</v>
      </c>
      <c r="R766" t="s">
        <v>74</v>
      </c>
      <c r="S766" t="s">
        <v>74</v>
      </c>
      <c r="T766" t="s">
        <v>74</v>
      </c>
      <c r="U766" t="s">
        <v>14654</v>
      </c>
      <c r="V766" t="s">
        <v>14655</v>
      </c>
      <c r="W766" t="s">
        <v>74</v>
      </c>
      <c r="X766" t="s">
        <v>74</v>
      </c>
      <c r="Y766" t="s">
        <v>14656</v>
      </c>
      <c r="Z766" t="s">
        <v>14657</v>
      </c>
      <c r="AA766" t="s">
        <v>14658</v>
      </c>
      <c r="AB766" t="s">
        <v>74</v>
      </c>
      <c r="AC766" t="s">
        <v>74</v>
      </c>
      <c r="AD766" t="s">
        <v>74</v>
      </c>
      <c r="AE766" t="s">
        <v>74</v>
      </c>
      <c r="AF766" t="s">
        <v>74</v>
      </c>
      <c r="AG766">
        <v>47</v>
      </c>
      <c r="AH766">
        <v>7</v>
      </c>
      <c r="AI766">
        <v>8</v>
      </c>
      <c r="AJ766">
        <v>2</v>
      </c>
      <c r="AK766">
        <v>11</v>
      </c>
      <c r="AL766" t="s">
        <v>1990</v>
      </c>
      <c r="AM766" t="s">
        <v>1991</v>
      </c>
      <c r="AN766" t="s">
        <v>1992</v>
      </c>
      <c r="AO766" t="s">
        <v>14659</v>
      </c>
      <c r="AP766" t="s">
        <v>14660</v>
      </c>
      <c r="AQ766" t="s">
        <v>74</v>
      </c>
      <c r="AR766" t="s">
        <v>14661</v>
      </c>
      <c r="AS766" t="s">
        <v>14662</v>
      </c>
      <c r="AT766" t="s">
        <v>14663</v>
      </c>
      <c r="AU766">
        <v>2013</v>
      </c>
      <c r="AV766">
        <v>33</v>
      </c>
      <c r="AW766">
        <v>3</v>
      </c>
      <c r="AX766" t="s">
        <v>74</v>
      </c>
      <c r="AY766" t="s">
        <v>74</v>
      </c>
      <c r="AZ766" t="s">
        <v>74</v>
      </c>
      <c r="BA766" t="s">
        <v>74</v>
      </c>
      <c r="BB766">
        <v>170</v>
      </c>
      <c r="BC766">
        <v>177</v>
      </c>
      <c r="BD766" t="s">
        <v>74</v>
      </c>
      <c r="BE766" t="s">
        <v>14664</v>
      </c>
      <c r="BF766" t="str">
        <f>HYPERLINK("http://dx.doi.org/10.1017/S1742758413000155","http://dx.doi.org/10.1017/S1742758413000155")</f>
        <v>http://dx.doi.org/10.1017/S1742758413000155</v>
      </c>
      <c r="BG766" t="s">
        <v>74</v>
      </c>
      <c r="BH766" t="s">
        <v>74</v>
      </c>
      <c r="BI766">
        <v>8</v>
      </c>
      <c r="BJ766" t="s">
        <v>14665</v>
      </c>
      <c r="BK766" t="s">
        <v>99</v>
      </c>
      <c r="BL766" t="s">
        <v>14665</v>
      </c>
      <c r="BM766" t="s">
        <v>14666</v>
      </c>
      <c r="BN766" t="s">
        <v>74</v>
      </c>
      <c r="BO766" t="s">
        <v>74</v>
      </c>
      <c r="BP766" t="s">
        <v>74</v>
      </c>
      <c r="BQ766" t="s">
        <v>74</v>
      </c>
      <c r="BR766" t="s">
        <v>103</v>
      </c>
      <c r="BS766" t="s">
        <v>14667</v>
      </c>
      <c r="BT766" t="str">
        <f>HYPERLINK("https%3A%2F%2Fwww.webofscience.com%2Fwos%2Fwoscc%2Ffull-record%2FWOS:000323165600004","View Full Record in Web of Science")</f>
        <v>View Full Record in Web of Science</v>
      </c>
    </row>
    <row r="767" spans="1:72" x14ac:dyDescent="0.15">
      <c r="A767" t="s">
        <v>72</v>
      </c>
      <c r="B767" t="s">
        <v>14668</v>
      </c>
      <c r="C767" t="s">
        <v>74</v>
      </c>
      <c r="D767" t="s">
        <v>74</v>
      </c>
      <c r="E767" t="s">
        <v>74</v>
      </c>
      <c r="F767" t="s">
        <v>14669</v>
      </c>
      <c r="G767" t="s">
        <v>74</v>
      </c>
      <c r="H767" t="s">
        <v>74</v>
      </c>
      <c r="I767" t="s">
        <v>14670</v>
      </c>
      <c r="J767" t="s">
        <v>14671</v>
      </c>
      <c r="K767" t="s">
        <v>74</v>
      </c>
      <c r="L767" t="s">
        <v>74</v>
      </c>
      <c r="M767" t="s">
        <v>78</v>
      </c>
      <c r="N767" t="s">
        <v>79</v>
      </c>
      <c r="O767" t="s">
        <v>74</v>
      </c>
      <c r="P767" t="s">
        <v>74</v>
      </c>
      <c r="Q767" t="s">
        <v>74</v>
      </c>
      <c r="R767" t="s">
        <v>74</v>
      </c>
      <c r="S767" t="s">
        <v>74</v>
      </c>
      <c r="T767" t="s">
        <v>74</v>
      </c>
      <c r="U767" t="s">
        <v>14672</v>
      </c>
      <c r="V767" t="s">
        <v>14673</v>
      </c>
      <c r="W767" t="s">
        <v>14674</v>
      </c>
      <c r="X767" t="s">
        <v>6594</v>
      </c>
      <c r="Y767" t="s">
        <v>14675</v>
      </c>
      <c r="Z767" t="s">
        <v>14676</v>
      </c>
      <c r="AA767" t="s">
        <v>14677</v>
      </c>
      <c r="AB767" t="s">
        <v>14678</v>
      </c>
      <c r="AC767" t="s">
        <v>14679</v>
      </c>
      <c r="AD767" t="s">
        <v>14679</v>
      </c>
      <c r="AE767" t="s">
        <v>14680</v>
      </c>
      <c r="AF767" t="s">
        <v>74</v>
      </c>
      <c r="AG767">
        <v>14</v>
      </c>
      <c r="AH767">
        <v>8</v>
      </c>
      <c r="AI767">
        <v>9</v>
      </c>
      <c r="AJ767">
        <v>0</v>
      </c>
      <c r="AK767">
        <v>21</v>
      </c>
      <c r="AL767" t="s">
        <v>1748</v>
      </c>
      <c r="AM767" t="s">
        <v>921</v>
      </c>
      <c r="AN767" t="s">
        <v>3232</v>
      </c>
      <c r="AO767" t="s">
        <v>14681</v>
      </c>
      <c r="AP767" t="s">
        <v>14682</v>
      </c>
      <c r="AQ767" t="s">
        <v>74</v>
      </c>
      <c r="AR767" t="s">
        <v>14683</v>
      </c>
      <c r="AS767" t="s">
        <v>14684</v>
      </c>
      <c r="AT767" t="s">
        <v>14663</v>
      </c>
      <c r="AU767">
        <v>2013</v>
      </c>
      <c r="AV767">
        <v>23</v>
      </c>
      <c r="AW767">
        <v>3</v>
      </c>
      <c r="AX767" t="s">
        <v>74</v>
      </c>
      <c r="AY767" t="s">
        <v>74</v>
      </c>
      <c r="AZ767" t="s">
        <v>74</v>
      </c>
      <c r="BA767" t="s">
        <v>74</v>
      </c>
      <c r="BB767">
        <v>337</v>
      </c>
      <c r="BC767">
        <v>343</v>
      </c>
      <c r="BD767" t="s">
        <v>74</v>
      </c>
      <c r="BE767" t="s">
        <v>14685</v>
      </c>
      <c r="BF767" t="str">
        <f>HYPERLINK("http://dx.doi.org/10.1017/S0959270912000251","http://dx.doi.org/10.1017/S0959270912000251")</f>
        <v>http://dx.doi.org/10.1017/S0959270912000251</v>
      </c>
      <c r="BG767" t="s">
        <v>74</v>
      </c>
      <c r="BH767" t="s">
        <v>74</v>
      </c>
      <c r="BI767">
        <v>7</v>
      </c>
      <c r="BJ767" t="s">
        <v>14686</v>
      </c>
      <c r="BK767" t="s">
        <v>99</v>
      </c>
      <c r="BL767" t="s">
        <v>14687</v>
      </c>
      <c r="BM767" t="s">
        <v>14688</v>
      </c>
      <c r="BN767" t="s">
        <v>74</v>
      </c>
      <c r="BO767" t="s">
        <v>475</v>
      </c>
      <c r="BP767" t="s">
        <v>74</v>
      </c>
      <c r="BQ767" t="s">
        <v>74</v>
      </c>
      <c r="BR767" t="s">
        <v>103</v>
      </c>
      <c r="BS767" t="s">
        <v>14689</v>
      </c>
      <c r="BT767" t="str">
        <f>HYPERLINK("https%3A%2F%2Fwww.webofscience.com%2Fwos%2Fwoscc%2Ffull-record%2FWOS:000330466900006","View Full Record in Web of Science")</f>
        <v>View Full Record in Web of Science</v>
      </c>
    </row>
    <row r="768" spans="1:72" x14ac:dyDescent="0.15">
      <c r="A768" t="s">
        <v>72</v>
      </c>
      <c r="B768" t="s">
        <v>3225</v>
      </c>
      <c r="C768" t="s">
        <v>74</v>
      </c>
      <c r="D768" t="s">
        <v>74</v>
      </c>
      <c r="E768" t="s">
        <v>74</v>
      </c>
      <c r="F768" t="s">
        <v>3226</v>
      </c>
      <c r="G768" t="s">
        <v>74</v>
      </c>
      <c r="H768" t="s">
        <v>74</v>
      </c>
      <c r="I768" t="s">
        <v>14690</v>
      </c>
      <c r="J768" t="s">
        <v>14691</v>
      </c>
      <c r="K768" t="s">
        <v>74</v>
      </c>
      <c r="L768" t="s">
        <v>74</v>
      </c>
      <c r="M768" t="s">
        <v>78</v>
      </c>
      <c r="N768" t="s">
        <v>6113</v>
      </c>
      <c r="O768" t="s">
        <v>74</v>
      </c>
      <c r="P768" t="s">
        <v>74</v>
      </c>
      <c r="Q768" t="s">
        <v>74</v>
      </c>
      <c r="R768" t="s">
        <v>74</v>
      </c>
      <c r="S768" t="s">
        <v>74</v>
      </c>
      <c r="T768" t="s">
        <v>74</v>
      </c>
      <c r="U768" t="s">
        <v>74</v>
      </c>
      <c r="V768" t="s">
        <v>74</v>
      </c>
      <c r="W768" t="s">
        <v>74</v>
      </c>
      <c r="X768" t="s">
        <v>74</v>
      </c>
      <c r="Y768" t="s">
        <v>74</v>
      </c>
      <c r="Z768" t="s">
        <v>74</v>
      </c>
      <c r="AA768" t="s">
        <v>74</v>
      </c>
      <c r="AB768" t="s">
        <v>74</v>
      </c>
      <c r="AC768" t="s">
        <v>74</v>
      </c>
      <c r="AD768" t="s">
        <v>74</v>
      </c>
      <c r="AE768" t="s">
        <v>74</v>
      </c>
      <c r="AF768" t="s">
        <v>74</v>
      </c>
      <c r="AG768">
        <v>1</v>
      </c>
      <c r="AH768">
        <v>0</v>
      </c>
      <c r="AI768">
        <v>0</v>
      </c>
      <c r="AJ768">
        <v>0</v>
      </c>
      <c r="AK768">
        <v>0</v>
      </c>
      <c r="AL768" t="s">
        <v>624</v>
      </c>
      <c r="AM768" t="s">
        <v>411</v>
      </c>
      <c r="AN768" t="s">
        <v>412</v>
      </c>
      <c r="AO768" t="s">
        <v>14692</v>
      </c>
      <c r="AP768" t="s">
        <v>14693</v>
      </c>
      <c r="AQ768" t="s">
        <v>74</v>
      </c>
      <c r="AR768" t="s">
        <v>14694</v>
      </c>
      <c r="AS768" t="s">
        <v>14695</v>
      </c>
      <c r="AT768" t="s">
        <v>14663</v>
      </c>
      <c r="AU768">
        <v>2013</v>
      </c>
      <c r="AV768">
        <v>42</v>
      </c>
      <c r="AW768">
        <v>2</v>
      </c>
      <c r="AX768" t="s">
        <v>74</v>
      </c>
      <c r="AY768" t="s">
        <v>74</v>
      </c>
      <c r="AZ768" t="s">
        <v>74</v>
      </c>
      <c r="BA768" t="s">
        <v>74</v>
      </c>
      <c r="BB768">
        <v>469</v>
      </c>
      <c r="BC768">
        <v>470</v>
      </c>
      <c r="BD768" t="s">
        <v>74</v>
      </c>
      <c r="BE768" t="s">
        <v>14696</v>
      </c>
      <c r="BF768" t="str">
        <f>HYPERLINK("http://dx.doi.org/10.1111/1095-9270.12028_22","http://dx.doi.org/10.1111/1095-9270.12028_22")</f>
        <v>http://dx.doi.org/10.1111/1095-9270.12028_22</v>
      </c>
      <c r="BG768" t="s">
        <v>74</v>
      </c>
      <c r="BH768" t="s">
        <v>74</v>
      </c>
      <c r="BI768">
        <v>2</v>
      </c>
      <c r="BJ768" t="s">
        <v>14697</v>
      </c>
      <c r="BK768" t="s">
        <v>4922</v>
      </c>
      <c r="BL768" t="s">
        <v>14697</v>
      </c>
      <c r="BM768" t="s">
        <v>14698</v>
      </c>
      <c r="BN768" t="s">
        <v>74</v>
      </c>
      <c r="BO768" t="s">
        <v>475</v>
      </c>
      <c r="BP768" t="s">
        <v>74</v>
      </c>
      <c r="BQ768" t="s">
        <v>74</v>
      </c>
      <c r="BR768" t="s">
        <v>103</v>
      </c>
      <c r="BS768" t="s">
        <v>14699</v>
      </c>
      <c r="BT768" t="str">
        <f>HYPERLINK("https%3A%2F%2Fwww.webofscience.com%2Fwos%2Fwoscc%2Ffull-record%2FWOS:000330252000042","View Full Record in Web of Science")</f>
        <v>View Full Record in Web of Science</v>
      </c>
    </row>
    <row r="769" spans="1:72" x14ac:dyDescent="0.15">
      <c r="A769" t="s">
        <v>72</v>
      </c>
      <c r="B769" t="s">
        <v>14700</v>
      </c>
      <c r="C769" t="s">
        <v>74</v>
      </c>
      <c r="D769" t="s">
        <v>74</v>
      </c>
      <c r="E769" t="s">
        <v>74</v>
      </c>
      <c r="F769" t="s">
        <v>14701</v>
      </c>
      <c r="G769" t="s">
        <v>74</v>
      </c>
      <c r="H769" t="s">
        <v>74</v>
      </c>
      <c r="I769" t="s">
        <v>14702</v>
      </c>
      <c r="J769" t="s">
        <v>14703</v>
      </c>
      <c r="K769" t="s">
        <v>74</v>
      </c>
      <c r="L769" t="s">
        <v>74</v>
      </c>
      <c r="M769" t="s">
        <v>78</v>
      </c>
      <c r="N769" t="s">
        <v>79</v>
      </c>
      <c r="O769" t="s">
        <v>74</v>
      </c>
      <c r="P769" t="s">
        <v>74</v>
      </c>
      <c r="Q769" t="s">
        <v>74</v>
      </c>
      <c r="R769" t="s">
        <v>74</v>
      </c>
      <c r="S769" t="s">
        <v>74</v>
      </c>
      <c r="T769" t="s">
        <v>14704</v>
      </c>
      <c r="U769" t="s">
        <v>14705</v>
      </c>
      <c r="V769" t="s">
        <v>14706</v>
      </c>
      <c r="W769" t="s">
        <v>14707</v>
      </c>
      <c r="X769" t="s">
        <v>14708</v>
      </c>
      <c r="Y769" t="s">
        <v>14709</v>
      </c>
      <c r="Z769" t="s">
        <v>14710</v>
      </c>
      <c r="AA769" t="s">
        <v>74</v>
      </c>
      <c r="AB769" t="s">
        <v>74</v>
      </c>
      <c r="AC769" t="s">
        <v>14711</v>
      </c>
      <c r="AD769" t="s">
        <v>14711</v>
      </c>
      <c r="AE769" t="s">
        <v>14712</v>
      </c>
      <c r="AF769" t="s">
        <v>74</v>
      </c>
      <c r="AG769">
        <v>26</v>
      </c>
      <c r="AH769">
        <v>17</v>
      </c>
      <c r="AI769">
        <v>20</v>
      </c>
      <c r="AJ769">
        <v>1</v>
      </c>
      <c r="AK769">
        <v>21</v>
      </c>
      <c r="AL769" t="s">
        <v>14713</v>
      </c>
      <c r="AM769" t="s">
        <v>5916</v>
      </c>
      <c r="AN769" t="s">
        <v>14714</v>
      </c>
      <c r="AO769" t="s">
        <v>14715</v>
      </c>
      <c r="AP769" t="s">
        <v>14716</v>
      </c>
      <c r="AQ769" t="s">
        <v>74</v>
      </c>
      <c r="AR769" t="s">
        <v>14717</v>
      </c>
      <c r="AS769" t="s">
        <v>14718</v>
      </c>
      <c r="AT769" t="s">
        <v>14663</v>
      </c>
      <c r="AU769">
        <v>2013</v>
      </c>
      <c r="AV769">
        <v>23</v>
      </c>
      <c r="AW769">
        <v>9</v>
      </c>
      <c r="AX769" t="s">
        <v>74</v>
      </c>
      <c r="AY769" t="s">
        <v>74</v>
      </c>
      <c r="AZ769" t="s">
        <v>74</v>
      </c>
      <c r="BA769" t="s">
        <v>74</v>
      </c>
      <c r="BB769">
        <v>1221</v>
      </c>
      <c r="BC769">
        <v>1228</v>
      </c>
      <c r="BD769" t="s">
        <v>74</v>
      </c>
      <c r="BE769" t="s">
        <v>14719</v>
      </c>
      <c r="BF769" t="str">
        <f>HYPERLINK("http://dx.doi.org/10.4014/jmb.1305.05006","http://dx.doi.org/10.4014/jmb.1305.05006")</f>
        <v>http://dx.doi.org/10.4014/jmb.1305.05006</v>
      </c>
      <c r="BG769" t="s">
        <v>74</v>
      </c>
      <c r="BH769" t="s">
        <v>74</v>
      </c>
      <c r="BI769">
        <v>8</v>
      </c>
      <c r="BJ769" t="s">
        <v>14720</v>
      </c>
      <c r="BK769" t="s">
        <v>99</v>
      </c>
      <c r="BL769" t="s">
        <v>14720</v>
      </c>
      <c r="BM769" t="s">
        <v>14721</v>
      </c>
      <c r="BN769">
        <v>23770563</v>
      </c>
      <c r="BO769" t="s">
        <v>74</v>
      </c>
      <c r="BP769" t="s">
        <v>74</v>
      </c>
      <c r="BQ769" t="s">
        <v>74</v>
      </c>
      <c r="BR769" t="s">
        <v>103</v>
      </c>
      <c r="BS769" t="s">
        <v>14722</v>
      </c>
      <c r="BT769" t="str">
        <f>HYPERLINK("https%3A%2F%2Fwww.webofscience.com%2Fwos%2Fwoscc%2Ffull-record%2FWOS:000330098100005","View Full Record in Web of Science")</f>
        <v>View Full Record in Web of Science</v>
      </c>
    </row>
    <row r="770" spans="1:72" x14ac:dyDescent="0.15">
      <c r="A770" t="s">
        <v>72</v>
      </c>
      <c r="B770" t="s">
        <v>14723</v>
      </c>
      <c r="C770" t="s">
        <v>74</v>
      </c>
      <c r="D770" t="s">
        <v>74</v>
      </c>
      <c r="E770" t="s">
        <v>74</v>
      </c>
      <c r="F770" t="s">
        <v>14724</v>
      </c>
      <c r="G770" t="s">
        <v>74</v>
      </c>
      <c r="H770" t="s">
        <v>74</v>
      </c>
      <c r="I770" t="s">
        <v>14725</v>
      </c>
      <c r="J770" t="s">
        <v>14726</v>
      </c>
      <c r="K770" t="s">
        <v>74</v>
      </c>
      <c r="L770" t="s">
        <v>74</v>
      </c>
      <c r="M770" t="s">
        <v>78</v>
      </c>
      <c r="N770" t="s">
        <v>79</v>
      </c>
      <c r="O770" t="s">
        <v>74</v>
      </c>
      <c r="P770" t="s">
        <v>74</v>
      </c>
      <c r="Q770" t="s">
        <v>74</v>
      </c>
      <c r="R770" t="s">
        <v>74</v>
      </c>
      <c r="S770" t="s">
        <v>74</v>
      </c>
      <c r="T770" t="s">
        <v>14727</v>
      </c>
      <c r="U770" t="s">
        <v>14728</v>
      </c>
      <c r="V770" t="s">
        <v>14729</v>
      </c>
      <c r="W770" t="s">
        <v>14730</v>
      </c>
      <c r="X770" t="s">
        <v>14731</v>
      </c>
      <c r="Y770" t="s">
        <v>14732</v>
      </c>
      <c r="Z770" t="s">
        <v>14733</v>
      </c>
      <c r="AA770" t="s">
        <v>14734</v>
      </c>
      <c r="AB770" t="s">
        <v>14735</v>
      </c>
      <c r="AC770" t="s">
        <v>14736</v>
      </c>
      <c r="AD770" t="s">
        <v>14737</v>
      </c>
      <c r="AE770" t="s">
        <v>14738</v>
      </c>
      <c r="AF770" t="s">
        <v>74</v>
      </c>
      <c r="AG770">
        <v>50</v>
      </c>
      <c r="AH770">
        <v>19</v>
      </c>
      <c r="AI770">
        <v>20</v>
      </c>
      <c r="AJ770">
        <v>0</v>
      </c>
      <c r="AK770">
        <v>14</v>
      </c>
      <c r="AL770" t="s">
        <v>14739</v>
      </c>
      <c r="AM770" t="s">
        <v>2800</v>
      </c>
      <c r="AN770" t="s">
        <v>14740</v>
      </c>
      <c r="AO770" t="s">
        <v>14741</v>
      </c>
      <c r="AP770" t="s">
        <v>14742</v>
      </c>
      <c r="AQ770" t="s">
        <v>74</v>
      </c>
      <c r="AR770" t="s">
        <v>14743</v>
      </c>
      <c r="AS770" t="s">
        <v>14744</v>
      </c>
      <c r="AT770" t="s">
        <v>14745</v>
      </c>
      <c r="AU770">
        <v>2013</v>
      </c>
      <c r="AV770">
        <v>68</v>
      </c>
      <c r="AW770" t="s">
        <v>9207</v>
      </c>
      <c r="AX770" t="s">
        <v>74</v>
      </c>
      <c r="AY770" t="s">
        <v>74</v>
      </c>
      <c r="AZ770" t="s">
        <v>74</v>
      </c>
      <c r="BA770" t="s">
        <v>74</v>
      </c>
      <c r="BB770">
        <v>384</v>
      </c>
      <c r="BC770">
        <v>393</v>
      </c>
      <c r="BD770" t="s">
        <v>74</v>
      </c>
      <c r="BE770" t="s">
        <v>74</v>
      </c>
      <c r="BF770" t="s">
        <v>74</v>
      </c>
      <c r="BG770" t="s">
        <v>74</v>
      </c>
      <c r="BH770" t="s">
        <v>74</v>
      </c>
      <c r="BI770">
        <v>10</v>
      </c>
      <c r="BJ770" t="s">
        <v>14746</v>
      </c>
      <c r="BK770" t="s">
        <v>99</v>
      </c>
      <c r="BL770" t="s">
        <v>14746</v>
      </c>
      <c r="BM770" t="s">
        <v>14747</v>
      </c>
      <c r="BN770">
        <v>24459772</v>
      </c>
      <c r="BO770" t="s">
        <v>74</v>
      </c>
      <c r="BP770" t="s">
        <v>74</v>
      </c>
      <c r="BQ770" t="s">
        <v>74</v>
      </c>
      <c r="BR770" t="s">
        <v>103</v>
      </c>
      <c r="BS770" t="s">
        <v>14748</v>
      </c>
      <c r="BT770" t="str">
        <f>HYPERLINK("https%3A%2F%2Fwww.webofscience.com%2Fwos%2Fwoscc%2Ffull-record%2FWOS:000329561600006","View Full Record in Web of Science")</f>
        <v>View Full Record in Web of Science</v>
      </c>
    </row>
    <row r="771" spans="1:72" x14ac:dyDescent="0.15">
      <c r="A771" t="s">
        <v>72</v>
      </c>
      <c r="B771" t="s">
        <v>14749</v>
      </c>
      <c r="C771" t="s">
        <v>74</v>
      </c>
      <c r="D771" t="s">
        <v>74</v>
      </c>
      <c r="E771" t="s">
        <v>74</v>
      </c>
      <c r="F771" t="s">
        <v>14750</v>
      </c>
      <c r="G771" t="s">
        <v>74</v>
      </c>
      <c r="H771" t="s">
        <v>74</v>
      </c>
      <c r="I771" t="s">
        <v>14751</v>
      </c>
      <c r="J771" t="s">
        <v>14752</v>
      </c>
      <c r="K771" t="s">
        <v>74</v>
      </c>
      <c r="L771" t="s">
        <v>74</v>
      </c>
      <c r="M771" t="s">
        <v>78</v>
      </c>
      <c r="N771" t="s">
        <v>79</v>
      </c>
      <c r="O771" t="s">
        <v>74</v>
      </c>
      <c r="P771" t="s">
        <v>74</v>
      </c>
      <c r="Q771" t="s">
        <v>74</v>
      </c>
      <c r="R771" t="s">
        <v>74</v>
      </c>
      <c r="S771" t="s">
        <v>74</v>
      </c>
      <c r="T771" t="s">
        <v>14753</v>
      </c>
      <c r="U771" t="s">
        <v>14754</v>
      </c>
      <c r="V771" t="s">
        <v>14755</v>
      </c>
      <c r="W771" t="s">
        <v>14756</v>
      </c>
      <c r="X771" t="s">
        <v>14757</v>
      </c>
      <c r="Y771" t="s">
        <v>14758</v>
      </c>
      <c r="Z771" t="s">
        <v>14759</v>
      </c>
      <c r="AA771" t="s">
        <v>14760</v>
      </c>
      <c r="AB771" t="s">
        <v>14761</v>
      </c>
      <c r="AC771" t="s">
        <v>14762</v>
      </c>
      <c r="AD771" t="s">
        <v>14763</v>
      </c>
      <c r="AE771" t="s">
        <v>14764</v>
      </c>
      <c r="AF771" t="s">
        <v>74</v>
      </c>
      <c r="AG771">
        <v>36</v>
      </c>
      <c r="AH771">
        <v>13</v>
      </c>
      <c r="AI771">
        <v>15</v>
      </c>
      <c r="AJ771">
        <v>0</v>
      </c>
      <c r="AK771">
        <v>12</v>
      </c>
      <c r="AL771" t="s">
        <v>304</v>
      </c>
      <c r="AM771" t="s">
        <v>305</v>
      </c>
      <c r="AN771" t="s">
        <v>306</v>
      </c>
      <c r="AO771" t="s">
        <v>14765</v>
      </c>
      <c r="AP771" t="s">
        <v>14766</v>
      </c>
      <c r="AQ771" t="s">
        <v>74</v>
      </c>
      <c r="AR771" t="s">
        <v>14767</v>
      </c>
      <c r="AS771" t="s">
        <v>14768</v>
      </c>
      <c r="AT771" t="s">
        <v>14769</v>
      </c>
      <c r="AU771">
        <v>2013</v>
      </c>
      <c r="AV771">
        <v>7</v>
      </c>
      <c r="AW771" t="s">
        <v>5856</v>
      </c>
      <c r="AX771" t="s">
        <v>74</v>
      </c>
      <c r="AY771" t="s">
        <v>74</v>
      </c>
      <c r="AZ771" t="s">
        <v>74</v>
      </c>
      <c r="BA771" t="s">
        <v>74</v>
      </c>
      <c r="BB771">
        <v>205</v>
      </c>
      <c r="BC771">
        <v>213</v>
      </c>
      <c r="BD771" t="s">
        <v>74</v>
      </c>
      <c r="BE771" t="s">
        <v>14770</v>
      </c>
      <c r="BF771" t="str">
        <f>HYPERLINK("http://dx.doi.org/10.1016/j.polar.2013.08.001","http://dx.doi.org/10.1016/j.polar.2013.08.001")</f>
        <v>http://dx.doi.org/10.1016/j.polar.2013.08.001</v>
      </c>
      <c r="BG771" t="s">
        <v>74</v>
      </c>
      <c r="BH771" t="s">
        <v>74</v>
      </c>
      <c r="BI771">
        <v>9</v>
      </c>
      <c r="BJ771" t="s">
        <v>14771</v>
      </c>
      <c r="BK771" t="s">
        <v>99</v>
      </c>
      <c r="BL771" t="s">
        <v>5187</v>
      </c>
      <c r="BM771" t="s">
        <v>14772</v>
      </c>
      <c r="BN771" t="s">
        <v>74</v>
      </c>
      <c r="BO771" t="s">
        <v>1353</v>
      </c>
      <c r="BP771" t="s">
        <v>74</v>
      </c>
      <c r="BQ771" t="s">
        <v>74</v>
      </c>
      <c r="BR771" t="s">
        <v>103</v>
      </c>
      <c r="BS771" t="s">
        <v>14773</v>
      </c>
      <c r="BT771" t="str">
        <f>HYPERLINK("https%3A%2F%2Fwww.webofscience.com%2Fwos%2Fwoscc%2Ffull-record%2FWOS:000329014700001","View Full Record in Web of Science")</f>
        <v>View Full Record in Web of Science</v>
      </c>
    </row>
    <row r="772" spans="1:72" x14ac:dyDescent="0.15">
      <c r="A772" t="s">
        <v>72</v>
      </c>
      <c r="B772" t="s">
        <v>14774</v>
      </c>
      <c r="C772" t="s">
        <v>74</v>
      </c>
      <c r="D772" t="s">
        <v>74</v>
      </c>
      <c r="E772" t="s">
        <v>74</v>
      </c>
      <c r="F772" t="s">
        <v>14775</v>
      </c>
      <c r="G772" t="s">
        <v>74</v>
      </c>
      <c r="H772" t="s">
        <v>74</v>
      </c>
      <c r="I772" t="s">
        <v>14776</v>
      </c>
      <c r="J772" t="s">
        <v>14752</v>
      </c>
      <c r="K772" t="s">
        <v>74</v>
      </c>
      <c r="L772" t="s">
        <v>74</v>
      </c>
      <c r="M772" t="s">
        <v>78</v>
      </c>
      <c r="N772" t="s">
        <v>79</v>
      </c>
      <c r="O772" t="s">
        <v>74</v>
      </c>
      <c r="P772" t="s">
        <v>74</v>
      </c>
      <c r="Q772" t="s">
        <v>74</v>
      </c>
      <c r="R772" t="s">
        <v>74</v>
      </c>
      <c r="S772" t="s">
        <v>74</v>
      </c>
      <c r="T772" t="s">
        <v>14777</v>
      </c>
      <c r="U772" t="s">
        <v>14778</v>
      </c>
      <c r="V772" t="s">
        <v>14779</v>
      </c>
      <c r="W772" t="s">
        <v>14780</v>
      </c>
      <c r="X772" t="s">
        <v>14781</v>
      </c>
      <c r="Y772" t="s">
        <v>14782</v>
      </c>
      <c r="Z772" t="s">
        <v>14783</v>
      </c>
      <c r="AA772" t="s">
        <v>74</v>
      </c>
      <c r="AB772" t="s">
        <v>14784</v>
      </c>
      <c r="AC772" t="s">
        <v>14785</v>
      </c>
      <c r="AD772" t="s">
        <v>14786</v>
      </c>
      <c r="AE772" t="s">
        <v>14787</v>
      </c>
      <c r="AF772" t="s">
        <v>74</v>
      </c>
      <c r="AG772">
        <v>37</v>
      </c>
      <c r="AH772">
        <v>6</v>
      </c>
      <c r="AI772">
        <v>8</v>
      </c>
      <c r="AJ772">
        <v>1</v>
      </c>
      <c r="AK772">
        <v>16</v>
      </c>
      <c r="AL772" t="s">
        <v>304</v>
      </c>
      <c r="AM772" t="s">
        <v>305</v>
      </c>
      <c r="AN772" t="s">
        <v>306</v>
      </c>
      <c r="AO772" t="s">
        <v>14765</v>
      </c>
      <c r="AP772" t="s">
        <v>14766</v>
      </c>
      <c r="AQ772" t="s">
        <v>74</v>
      </c>
      <c r="AR772" t="s">
        <v>14767</v>
      </c>
      <c r="AS772" t="s">
        <v>14768</v>
      </c>
      <c r="AT772" t="s">
        <v>14769</v>
      </c>
      <c r="AU772">
        <v>2013</v>
      </c>
      <c r="AV772">
        <v>7</v>
      </c>
      <c r="AW772" t="s">
        <v>5856</v>
      </c>
      <c r="AX772" t="s">
        <v>74</v>
      </c>
      <c r="AY772" t="s">
        <v>74</v>
      </c>
      <c r="AZ772" t="s">
        <v>74</v>
      </c>
      <c r="BA772" t="s">
        <v>74</v>
      </c>
      <c r="BB772">
        <v>260</v>
      </c>
      <c r="BC772">
        <v>277</v>
      </c>
      <c r="BD772" t="s">
        <v>74</v>
      </c>
      <c r="BE772" t="s">
        <v>14788</v>
      </c>
      <c r="BF772" t="str">
        <f>HYPERLINK("http://dx.doi.org/10.1016/j.polar.2013.07.001","http://dx.doi.org/10.1016/j.polar.2013.07.001")</f>
        <v>http://dx.doi.org/10.1016/j.polar.2013.07.001</v>
      </c>
      <c r="BG772" t="s">
        <v>74</v>
      </c>
      <c r="BH772" t="s">
        <v>74</v>
      </c>
      <c r="BI772">
        <v>18</v>
      </c>
      <c r="BJ772" t="s">
        <v>14771</v>
      </c>
      <c r="BK772" t="s">
        <v>99</v>
      </c>
      <c r="BL772" t="s">
        <v>5187</v>
      </c>
      <c r="BM772" t="s">
        <v>14772</v>
      </c>
      <c r="BN772" t="s">
        <v>74</v>
      </c>
      <c r="BO772" t="s">
        <v>524</v>
      </c>
      <c r="BP772" t="s">
        <v>74</v>
      </c>
      <c r="BQ772" t="s">
        <v>74</v>
      </c>
      <c r="BR772" t="s">
        <v>103</v>
      </c>
      <c r="BS772" t="s">
        <v>14789</v>
      </c>
      <c r="BT772" t="str">
        <f>HYPERLINK("https%3A%2F%2Fwww.webofscience.com%2Fwos%2Fwoscc%2Ffull-record%2FWOS:000329014700005","View Full Record in Web of Science")</f>
        <v>View Full Record in Web of Science</v>
      </c>
    </row>
    <row r="773" spans="1:72" x14ac:dyDescent="0.15">
      <c r="A773" t="s">
        <v>72</v>
      </c>
      <c r="B773" t="s">
        <v>14790</v>
      </c>
      <c r="C773" t="s">
        <v>74</v>
      </c>
      <c r="D773" t="s">
        <v>74</v>
      </c>
      <c r="E773" t="s">
        <v>74</v>
      </c>
      <c r="F773" t="s">
        <v>14791</v>
      </c>
      <c r="G773" t="s">
        <v>74</v>
      </c>
      <c r="H773" t="s">
        <v>74</v>
      </c>
      <c r="I773" t="s">
        <v>14792</v>
      </c>
      <c r="J773" t="s">
        <v>14793</v>
      </c>
      <c r="K773" t="s">
        <v>74</v>
      </c>
      <c r="L773" t="s">
        <v>74</v>
      </c>
      <c r="M773" t="s">
        <v>78</v>
      </c>
      <c r="N773" t="s">
        <v>79</v>
      </c>
      <c r="O773" t="s">
        <v>74</v>
      </c>
      <c r="P773" t="s">
        <v>74</v>
      </c>
      <c r="Q773" t="s">
        <v>74</v>
      </c>
      <c r="R773" t="s">
        <v>74</v>
      </c>
      <c r="S773" t="s">
        <v>74</v>
      </c>
      <c r="T773" t="s">
        <v>14794</v>
      </c>
      <c r="U773" t="s">
        <v>14795</v>
      </c>
      <c r="V773" t="s">
        <v>14796</v>
      </c>
      <c r="W773" t="s">
        <v>14797</v>
      </c>
      <c r="X773" t="s">
        <v>14798</v>
      </c>
      <c r="Y773" t="s">
        <v>14799</v>
      </c>
      <c r="Z773" t="s">
        <v>14800</v>
      </c>
      <c r="AA773" t="s">
        <v>74</v>
      </c>
      <c r="AB773" t="s">
        <v>74</v>
      </c>
      <c r="AC773" t="s">
        <v>74</v>
      </c>
      <c r="AD773" t="s">
        <v>74</v>
      </c>
      <c r="AE773" t="s">
        <v>74</v>
      </c>
      <c r="AF773" t="s">
        <v>74</v>
      </c>
      <c r="AG773">
        <v>79</v>
      </c>
      <c r="AH773">
        <v>18</v>
      </c>
      <c r="AI773">
        <v>22</v>
      </c>
      <c r="AJ773">
        <v>0</v>
      </c>
      <c r="AK773">
        <v>9</v>
      </c>
      <c r="AL773" t="s">
        <v>624</v>
      </c>
      <c r="AM773" t="s">
        <v>411</v>
      </c>
      <c r="AN773" t="s">
        <v>412</v>
      </c>
      <c r="AO773" t="s">
        <v>14801</v>
      </c>
      <c r="AP773" t="s">
        <v>14802</v>
      </c>
      <c r="AQ773" t="s">
        <v>74</v>
      </c>
      <c r="AR773" t="s">
        <v>14803</v>
      </c>
      <c r="AS773" t="s">
        <v>14804</v>
      </c>
      <c r="AT773" t="s">
        <v>14663</v>
      </c>
      <c r="AU773">
        <v>2013</v>
      </c>
      <c r="AV773">
        <v>89</v>
      </c>
      <c r="AW773">
        <v>2</v>
      </c>
      <c r="AX773" t="s">
        <v>74</v>
      </c>
      <c r="AY773" t="s">
        <v>74</v>
      </c>
      <c r="AZ773" t="s">
        <v>74</v>
      </c>
      <c r="BA773" t="s">
        <v>74</v>
      </c>
      <c r="BB773">
        <v>193</v>
      </c>
      <c r="BC773">
        <v>207</v>
      </c>
      <c r="BD773" t="s">
        <v>74</v>
      </c>
      <c r="BE773" t="s">
        <v>14805</v>
      </c>
      <c r="BF773" t="str">
        <f>HYPERLINK("http://dx.doi.org/10.1002/zoos.201300006","http://dx.doi.org/10.1002/zoos.201300006")</f>
        <v>http://dx.doi.org/10.1002/zoos.201300006</v>
      </c>
      <c r="BG773" t="s">
        <v>74</v>
      </c>
      <c r="BH773" t="s">
        <v>74</v>
      </c>
      <c r="BI773">
        <v>15</v>
      </c>
      <c r="BJ773" t="s">
        <v>448</v>
      </c>
      <c r="BK773" t="s">
        <v>99</v>
      </c>
      <c r="BL773" t="s">
        <v>448</v>
      </c>
      <c r="BM773" t="s">
        <v>14806</v>
      </c>
      <c r="BN773" t="s">
        <v>74</v>
      </c>
      <c r="BO773" t="s">
        <v>74</v>
      </c>
      <c r="BP773" t="s">
        <v>74</v>
      </c>
      <c r="BQ773" t="s">
        <v>74</v>
      </c>
      <c r="BR773" t="s">
        <v>103</v>
      </c>
      <c r="BS773" t="s">
        <v>14807</v>
      </c>
      <c r="BT773" t="str">
        <f>HYPERLINK("https%3A%2F%2Fwww.webofscience.com%2Fwos%2Fwoscc%2Ffull-record%2FWOS:000329029800001","View Full Record in Web of Science")</f>
        <v>View Full Record in Web of Science</v>
      </c>
    </row>
    <row r="774" spans="1:72" x14ac:dyDescent="0.15">
      <c r="A774" t="s">
        <v>72</v>
      </c>
      <c r="B774" t="s">
        <v>14808</v>
      </c>
      <c r="C774" t="s">
        <v>74</v>
      </c>
      <c r="D774" t="s">
        <v>74</v>
      </c>
      <c r="E774" t="s">
        <v>74</v>
      </c>
      <c r="F774" t="s">
        <v>14809</v>
      </c>
      <c r="G774" t="s">
        <v>74</v>
      </c>
      <c r="H774" t="s">
        <v>74</v>
      </c>
      <c r="I774" t="s">
        <v>14810</v>
      </c>
      <c r="J774" t="s">
        <v>11923</v>
      </c>
      <c r="K774" t="s">
        <v>74</v>
      </c>
      <c r="L774" t="s">
        <v>74</v>
      </c>
      <c r="M774" t="s">
        <v>11924</v>
      </c>
      <c r="N774" t="s">
        <v>79</v>
      </c>
      <c r="O774" t="s">
        <v>74</v>
      </c>
      <c r="P774" t="s">
        <v>74</v>
      </c>
      <c r="Q774" t="s">
        <v>74</v>
      </c>
      <c r="R774" t="s">
        <v>74</v>
      </c>
      <c r="S774" t="s">
        <v>74</v>
      </c>
      <c r="T774" t="s">
        <v>14811</v>
      </c>
      <c r="U774" t="s">
        <v>14812</v>
      </c>
      <c r="V774" t="s">
        <v>14813</v>
      </c>
      <c r="W774" t="s">
        <v>14814</v>
      </c>
      <c r="X774" t="s">
        <v>14815</v>
      </c>
      <c r="Y774" t="s">
        <v>14816</v>
      </c>
      <c r="Z774" t="s">
        <v>14817</v>
      </c>
      <c r="AA774" t="s">
        <v>14818</v>
      </c>
      <c r="AB774" t="s">
        <v>74</v>
      </c>
      <c r="AC774" t="s">
        <v>74</v>
      </c>
      <c r="AD774" t="s">
        <v>74</v>
      </c>
      <c r="AE774" t="s">
        <v>74</v>
      </c>
      <c r="AF774" t="s">
        <v>74</v>
      </c>
      <c r="AG774">
        <v>20</v>
      </c>
      <c r="AH774">
        <v>10</v>
      </c>
      <c r="AI774">
        <v>32</v>
      </c>
      <c r="AJ774">
        <v>0</v>
      </c>
      <c r="AK774">
        <v>10</v>
      </c>
      <c r="AL774" t="s">
        <v>9182</v>
      </c>
      <c r="AM774" t="s">
        <v>9183</v>
      </c>
      <c r="AN774" t="s">
        <v>9184</v>
      </c>
      <c r="AO774" t="s">
        <v>11932</v>
      </c>
      <c r="AP774" t="s">
        <v>74</v>
      </c>
      <c r="AQ774" t="s">
        <v>74</v>
      </c>
      <c r="AR774" t="s">
        <v>11933</v>
      </c>
      <c r="AS774" t="s">
        <v>11934</v>
      </c>
      <c r="AT774" t="s">
        <v>14663</v>
      </c>
      <c r="AU774">
        <v>2013</v>
      </c>
      <c r="AV774">
        <v>56</v>
      </c>
      <c r="AW774">
        <v>9</v>
      </c>
      <c r="AX774" t="s">
        <v>74</v>
      </c>
      <c r="AY774" t="s">
        <v>74</v>
      </c>
      <c r="AZ774" t="s">
        <v>74</v>
      </c>
      <c r="BA774" t="s">
        <v>74</v>
      </c>
      <c r="BB774">
        <v>2918</v>
      </c>
      <c r="BC774">
        <v>2927</v>
      </c>
      <c r="BD774" t="s">
        <v>74</v>
      </c>
      <c r="BE774" t="s">
        <v>14819</v>
      </c>
      <c r="BF774" t="str">
        <f>HYPERLINK("http://dx.doi.org/10.6038/cjg20130906","http://dx.doi.org/10.6038/cjg20130906")</f>
        <v>http://dx.doi.org/10.6038/cjg20130906</v>
      </c>
      <c r="BG774" t="s">
        <v>74</v>
      </c>
      <c r="BH774" t="s">
        <v>74</v>
      </c>
      <c r="BI774">
        <v>10</v>
      </c>
      <c r="BJ774" t="s">
        <v>313</v>
      </c>
      <c r="BK774" t="s">
        <v>99</v>
      </c>
      <c r="BL774" t="s">
        <v>313</v>
      </c>
      <c r="BM774" t="s">
        <v>14820</v>
      </c>
      <c r="BN774" t="s">
        <v>74</v>
      </c>
      <c r="BO774" t="s">
        <v>74</v>
      </c>
      <c r="BP774" t="s">
        <v>74</v>
      </c>
      <c r="BQ774" t="s">
        <v>74</v>
      </c>
      <c r="BR774" t="s">
        <v>103</v>
      </c>
      <c r="BS774" t="s">
        <v>14821</v>
      </c>
      <c r="BT774" t="str">
        <f>HYPERLINK("https%3A%2F%2Fwww.webofscience.com%2Fwos%2Fwoscc%2Ffull-record%2FWOS:000328723600006","View Full Record in Web of Science")</f>
        <v>View Full Record in Web of Science</v>
      </c>
    </row>
    <row r="775" spans="1:72" x14ac:dyDescent="0.15">
      <c r="A775" t="s">
        <v>72</v>
      </c>
      <c r="B775" t="s">
        <v>14822</v>
      </c>
      <c r="C775" t="s">
        <v>74</v>
      </c>
      <c r="D775" t="s">
        <v>74</v>
      </c>
      <c r="E775" t="s">
        <v>74</v>
      </c>
      <c r="F775" t="s">
        <v>14823</v>
      </c>
      <c r="G775" t="s">
        <v>74</v>
      </c>
      <c r="H775" t="s">
        <v>74</v>
      </c>
      <c r="I775" t="s">
        <v>14824</v>
      </c>
      <c r="J775" t="s">
        <v>934</v>
      </c>
      <c r="K775" t="s">
        <v>74</v>
      </c>
      <c r="L775" t="s">
        <v>74</v>
      </c>
      <c r="M775" t="s">
        <v>78</v>
      </c>
      <c r="N775" t="s">
        <v>79</v>
      </c>
      <c r="O775" t="s">
        <v>74</v>
      </c>
      <c r="P775" t="s">
        <v>74</v>
      </c>
      <c r="Q775" t="s">
        <v>74</v>
      </c>
      <c r="R775" t="s">
        <v>74</v>
      </c>
      <c r="S775" t="s">
        <v>74</v>
      </c>
      <c r="T775" t="s">
        <v>74</v>
      </c>
      <c r="U775" t="s">
        <v>14825</v>
      </c>
      <c r="V775" t="s">
        <v>14826</v>
      </c>
      <c r="W775" t="s">
        <v>14827</v>
      </c>
      <c r="X775" t="s">
        <v>14828</v>
      </c>
      <c r="Y775" t="s">
        <v>14829</v>
      </c>
      <c r="Z775" t="s">
        <v>14830</v>
      </c>
      <c r="AA775" t="s">
        <v>74</v>
      </c>
      <c r="AB775" t="s">
        <v>14831</v>
      </c>
      <c r="AC775" t="s">
        <v>14832</v>
      </c>
      <c r="AD775" t="s">
        <v>14833</v>
      </c>
      <c r="AE775" t="s">
        <v>14834</v>
      </c>
      <c r="AF775" t="s">
        <v>74</v>
      </c>
      <c r="AG775">
        <v>42</v>
      </c>
      <c r="AH775">
        <v>19</v>
      </c>
      <c r="AI775">
        <v>22</v>
      </c>
      <c r="AJ775">
        <v>0</v>
      </c>
      <c r="AK775">
        <v>13</v>
      </c>
      <c r="AL775" t="s">
        <v>946</v>
      </c>
      <c r="AM775" t="s">
        <v>947</v>
      </c>
      <c r="AN775" t="s">
        <v>948</v>
      </c>
      <c r="AO775" t="s">
        <v>949</v>
      </c>
      <c r="AP775" t="s">
        <v>950</v>
      </c>
      <c r="AQ775" t="s">
        <v>74</v>
      </c>
      <c r="AR775" t="s">
        <v>951</v>
      </c>
      <c r="AS775" t="s">
        <v>952</v>
      </c>
      <c r="AT775" t="s">
        <v>14745</v>
      </c>
      <c r="AU775">
        <v>2013</v>
      </c>
      <c r="AV775">
        <v>125</v>
      </c>
      <c r="AW775" t="s">
        <v>9207</v>
      </c>
      <c r="AX775" t="s">
        <v>74</v>
      </c>
      <c r="AY775" t="s">
        <v>74</v>
      </c>
      <c r="AZ775" t="s">
        <v>74</v>
      </c>
      <c r="BA775" t="s">
        <v>74</v>
      </c>
      <c r="BB775">
        <v>1484</v>
      </c>
      <c r="BC775">
        <v>1502</v>
      </c>
      <c r="BD775" t="s">
        <v>74</v>
      </c>
      <c r="BE775" t="s">
        <v>14835</v>
      </c>
      <c r="BF775" t="str">
        <f>HYPERLINK("http://dx.doi.org/10.1130/B30783.1","http://dx.doi.org/10.1130/B30783.1")</f>
        <v>http://dx.doi.org/10.1130/B30783.1</v>
      </c>
      <c r="BG775" t="s">
        <v>74</v>
      </c>
      <c r="BH775" t="s">
        <v>74</v>
      </c>
      <c r="BI775">
        <v>19</v>
      </c>
      <c r="BJ775" t="s">
        <v>337</v>
      </c>
      <c r="BK775" t="s">
        <v>99</v>
      </c>
      <c r="BL775" t="s">
        <v>338</v>
      </c>
      <c r="BM775" t="s">
        <v>14836</v>
      </c>
      <c r="BN775" t="s">
        <v>74</v>
      </c>
      <c r="BO775" t="s">
        <v>74</v>
      </c>
      <c r="BP775" t="s">
        <v>74</v>
      </c>
      <c r="BQ775" t="s">
        <v>74</v>
      </c>
      <c r="BR775" t="s">
        <v>103</v>
      </c>
      <c r="BS775" t="s">
        <v>14837</v>
      </c>
      <c r="BT775" t="str">
        <f>HYPERLINK("https%3A%2F%2Fwww.webofscience.com%2Fwos%2Fwoscc%2Ffull-record%2FWOS:000328506500006","View Full Record in Web of Science")</f>
        <v>View Full Record in Web of Science</v>
      </c>
    </row>
    <row r="776" spans="1:72" x14ac:dyDescent="0.15">
      <c r="A776" t="s">
        <v>72</v>
      </c>
      <c r="B776" t="s">
        <v>14838</v>
      </c>
      <c r="C776" t="s">
        <v>74</v>
      </c>
      <c r="D776" t="s">
        <v>74</v>
      </c>
      <c r="E776" t="s">
        <v>74</v>
      </c>
      <c r="F776" t="s">
        <v>14839</v>
      </c>
      <c r="G776" t="s">
        <v>74</v>
      </c>
      <c r="H776" t="s">
        <v>74</v>
      </c>
      <c r="I776" t="s">
        <v>14840</v>
      </c>
      <c r="J776" t="s">
        <v>14841</v>
      </c>
      <c r="K776" t="s">
        <v>74</v>
      </c>
      <c r="L776" t="s">
        <v>74</v>
      </c>
      <c r="M776" t="s">
        <v>78</v>
      </c>
      <c r="N776" t="s">
        <v>79</v>
      </c>
      <c r="O776" t="s">
        <v>74</v>
      </c>
      <c r="P776" t="s">
        <v>74</v>
      </c>
      <c r="Q776" t="s">
        <v>74</v>
      </c>
      <c r="R776" t="s">
        <v>74</v>
      </c>
      <c r="S776" t="s">
        <v>74</v>
      </c>
      <c r="T776" t="s">
        <v>14842</v>
      </c>
      <c r="U776" t="s">
        <v>14843</v>
      </c>
      <c r="V776" t="s">
        <v>14844</v>
      </c>
      <c r="W776" t="s">
        <v>14845</v>
      </c>
      <c r="X776" t="s">
        <v>14846</v>
      </c>
      <c r="Y776" t="s">
        <v>14847</v>
      </c>
      <c r="Z776" t="s">
        <v>14848</v>
      </c>
      <c r="AA776" t="s">
        <v>14849</v>
      </c>
      <c r="AB776" t="s">
        <v>14850</v>
      </c>
      <c r="AC776" t="s">
        <v>14851</v>
      </c>
      <c r="AD776" t="s">
        <v>14852</v>
      </c>
      <c r="AE776" t="s">
        <v>14853</v>
      </c>
      <c r="AF776" t="s">
        <v>74</v>
      </c>
      <c r="AG776">
        <v>122</v>
      </c>
      <c r="AH776">
        <v>7</v>
      </c>
      <c r="AI776">
        <v>8</v>
      </c>
      <c r="AJ776">
        <v>0</v>
      </c>
      <c r="AK776">
        <v>11</v>
      </c>
      <c r="AL776" t="s">
        <v>276</v>
      </c>
      <c r="AM776" t="s">
        <v>277</v>
      </c>
      <c r="AN776" t="s">
        <v>2752</v>
      </c>
      <c r="AO776" t="s">
        <v>14854</v>
      </c>
      <c r="AP776" t="s">
        <v>14855</v>
      </c>
      <c r="AQ776" t="s">
        <v>74</v>
      </c>
      <c r="AR776" t="s">
        <v>14856</v>
      </c>
      <c r="AS776" t="s">
        <v>14857</v>
      </c>
      <c r="AT776" t="s">
        <v>14858</v>
      </c>
      <c r="AU776">
        <v>2013</v>
      </c>
      <c r="AV776">
        <v>25</v>
      </c>
      <c r="AW776" t="s">
        <v>14859</v>
      </c>
      <c r="AX776" t="s">
        <v>74</v>
      </c>
      <c r="AY776" t="s">
        <v>74</v>
      </c>
      <c r="AZ776" t="s">
        <v>74</v>
      </c>
      <c r="BA776" t="s">
        <v>74</v>
      </c>
      <c r="BB776">
        <v>655</v>
      </c>
      <c r="BC776">
        <v>677</v>
      </c>
      <c r="BD776" t="s">
        <v>74</v>
      </c>
      <c r="BE776" t="s">
        <v>14860</v>
      </c>
      <c r="BF776" t="str">
        <f>HYPERLINK("http://dx.doi.org/10.1080/08912963.2012.739170","http://dx.doi.org/10.1080/08912963.2012.739170")</f>
        <v>http://dx.doi.org/10.1080/08912963.2012.739170</v>
      </c>
      <c r="BG776" t="s">
        <v>74</v>
      </c>
      <c r="BH776" t="s">
        <v>74</v>
      </c>
      <c r="BI776">
        <v>23</v>
      </c>
      <c r="BJ776" t="s">
        <v>14861</v>
      </c>
      <c r="BK776" t="s">
        <v>99</v>
      </c>
      <c r="BL776" t="s">
        <v>14862</v>
      </c>
      <c r="BM776" t="s">
        <v>14863</v>
      </c>
      <c r="BN776" t="s">
        <v>74</v>
      </c>
      <c r="BO776" t="s">
        <v>1145</v>
      </c>
      <c r="BP776" t="s">
        <v>74</v>
      </c>
      <c r="BQ776" t="s">
        <v>74</v>
      </c>
      <c r="BR776" t="s">
        <v>103</v>
      </c>
      <c r="BS776" t="s">
        <v>14864</v>
      </c>
      <c r="BT776" t="str">
        <f>HYPERLINK("https%3A%2F%2Fwww.webofscience.com%2Fwos%2Fwoscc%2Ffull-record%2FWOS:000327867300006","View Full Record in Web of Science")</f>
        <v>View Full Record in Web of Science</v>
      </c>
    </row>
    <row r="777" spans="1:72" x14ac:dyDescent="0.15">
      <c r="A777" t="s">
        <v>72</v>
      </c>
      <c r="B777" t="s">
        <v>14865</v>
      </c>
      <c r="C777" t="s">
        <v>74</v>
      </c>
      <c r="D777" t="s">
        <v>74</v>
      </c>
      <c r="E777" t="s">
        <v>74</v>
      </c>
      <c r="F777" t="s">
        <v>14866</v>
      </c>
      <c r="G777" t="s">
        <v>74</v>
      </c>
      <c r="H777" t="s">
        <v>74</v>
      </c>
      <c r="I777" t="s">
        <v>14867</v>
      </c>
      <c r="J777" t="s">
        <v>14868</v>
      </c>
      <c r="K777" t="s">
        <v>74</v>
      </c>
      <c r="L777" t="s">
        <v>74</v>
      </c>
      <c r="M777" t="s">
        <v>78</v>
      </c>
      <c r="N777" t="s">
        <v>79</v>
      </c>
      <c r="O777" t="s">
        <v>74</v>
      </c>
      <c r="P777" t="s">
        <v>74</v>
      </c>
      <c r="Q777" t="s">
        <v>74</v>
      </c>
      <c r="R777" t="s">
        <v>74</v>
      </c>
      <c r="S777" t="s">
        <v>74</v>
      </c>
      <c r="T777" t="s">
        <v>14869</v>
      </c>
      <c r="U777" t="s">
        <v>74</v>
      </c>
      <c r="V777" t="s">
        <v>14870</v>
      </c>
      <c r="W777" t="s">
        <v>14871</v>
      </c>
      <c r="X777" t="s">
        <v>14872</v>
      </c>
      <c r="Y777" t="s">
        <v>14873</v>
      </c>
      <c r="Z777" t="s">
        <v>14874</v>
      </c>
      <c r="AA777" t="s">
        <v>74</v>
      </c>
      <c r="AB777" t="s">
        <v>74</v>
      </c>
      <c r="AC777" t="s">
        <v>74</v>
      </c>
      <c r="AD777" t="s">
        <v>74</v>
      </c>
      <c r="AE777" t="s">
        <v>74</v>
      </c>
      <c r="AF777" t="s">
        <v>74</v>
      </c>
      <c r="AG777">
        <v>20</v>
      </c>
      <c r="AH777">
        <v>0</v>
      </c>
      <c r="AI777">
        <v>0</v>
      </c>
      <c r="AJ777">
        <v>0</v>
      </c>
      <c r="AK777">
        <v>1</v>
      </c>
      <c r="AL777" t="s">
        <v>14875</v>
      </c>
      <c r="AM777" t="s">
        <v>5916</v>
      </c>
      <c r="AN777" t="s">
        <v>14876</v>
      </c>
      <c r="AO777" t="s">
        <v>14877</v>
      </c>
      <c r="AP777" t="s">
        <v>74</v>
      </c>
      <c r="AQ777" t="s">
        <v>74</v>
      </c>
      <c r="AR777" t="s">
        <v>14878</v>
      </c>
      <c r="AS777" t="s">
        <v>14879</v>
      </c>
      <c r="AT777" t="s">
        <v>14880</v>
      </c>
      <c r="AU777">
        <v>2013</v>
      </c>
      <c r="AV777">
        <v>6</v>
      </c>
      <c r="AW777">
        <v>2</v>
      </c>
      <c r="AX777" t="s">
        <v>74</v>
      </c>
      <c r="AY777" t="s">
        <v>74</v>
      </c>
      <c r="AZ777" t="s">
        <v>74</v>
      </c>
      <c r="BA777" t="s">
        <v>74</v>
      </c>
      <c r="BB777">
        <v>415</v>
      </c>
      <c r="BC777">
        <v>434</v>
      </c>
      <c r="BD777" t="s">
        <v>74</v>
      </c>
      <c r="BE777" t="s">
        <v>74</v>
      </c>
      <c r="BF777" t="s">
        <v>74</v>
      </c>
      <c r="BG777" t="s">
        <v>74</v>
      </c>
      <c r="BH777" t="s">
        <v>74</v>
      </c>
      <c r="BI777">
        <v>20</v>
      </c>
      <c r="BJ777" t="s">
        <v>493</v>
      </c>
      <c r="BK777" t="s">
        <v>9051</v>
      </c>
      <c r="BL777" t="s">
        <v>495</v>
      </c>
      <c r="BM777" t="s">
        <v>14881</v>
      </c>
      <c r="BN777" t="s">
        <v>74</v>
      </c>
      <c r="BO777" t="s">
        <v>14882</v>
      </c>
      <c r="BP777" t="s">
        <v>74</v>
      </c>
      <c r="BQ777" t="s">
        <v>74</v>
      </c>
      <c r="BR777" t="s">
        <v>103</v>
      </c>
      <c r="BS777" t="s">
        <v>14883</v>
      </c>
      <c r="BT777" t="str">
        <f>HYPERLINK("https%3A%2F%2Fwww.webofscience.com%2Fwos%2Fwoscc%2Ffull-record%2FWOS:000327597200005","View Full Record in Web of Science")</f>
        <v>View Full Record in Web of Science</v>
      </c>
    </row>
    <row r="778" spans="1:72" x14ac:dyDescent="0.15">
      <c r="A778" t="s">
        <v>72</v>
      </c>
      <c r="B778" t="s">
        <v>14884</v>
      </c>
      <c r="C778" t="s">
        <v>74</v>
      </c>
      <c r="D778" t="s">
        <v>74</v>
      </c>
      <c r="E778" t="s">
        <v>74</v>
      </c>
      <c r="F778" t="s">
        <v>14885</v>
      </c>
      <c r="G778" t="s">
        <v>74</v>
      </c>
      <c r="H778" t="s">
        <v>74</v>
      </c>
      <c r="I778" t="s">
        <v>14886</v>
      </c>
      <c r="J778" t="s">
        <v>14887</v>
      </c>
      <c r="K778" t="s">
        <v>74</v>
      </c>
      <c r="L778" t="s">
        <v>74</v>
      </c>
      <c r="M778" t="s">
        <v>78</v>
      </c>
      <c r="N778" t="s">
        <v>79</v>
      </c>
      <c r="O778" t="s">
        <v>74</v>
      </c>
      <c r="P778" t="s">
        <v>74</v>
      </c>
      <c r="Q778" t="s">
        <v>74</v>
      </c>
      <c r="R778" t="s">
        <v>74</v>
      </c>
      <c r="S778" t="s">
        <v>74</v>
      </c>
      <c r="T778" t="s">
        <v>14888</v>
      </c>
      <c r="U778" t="s">
        <v>14889</v>
      </c>
      <c r="V778" t="s">
        <v>14890</v>
      </c>
      <c r="W778" t="s">
        <v>14891</v>
      </c>
      <c r="X778" t="s">
        <v>14892</v>
      </c>
      <c r="Y778" t="s">
        <v>14893</v>
      </c>
      <c r="Z778" t="s">
        <v>14894</v>
      </c>
      <c r="AA778" t="s">
        <v>14895</v>
      </c>
      <c r="AB778" t="s">
        <v>14896</v>
      </c>
      <c r="AC778" t="s">
        <v>14897</v>
      </c>
      <c r="AD778" t="s">
        <v>14898</v>
      </c>
      <c r="AE778" t="s">
        <v>14899</v>
      </c>
      <c r="AF778" t="s">
        <v>74</v>
      </c>
      <c r="AG778">
        <v>28</v>
      </c>
      <c r="AH778">
        <v>32</v>
      </c>
      <c r="AI778">
        <v>33</v>
      </c>
      <c r="AJ778">
        <v>2</v>
      </c>
      <c r="AK778">
        <v>33</v>
      </c>
      <c r="AL778" t="s">
        <v>582</v>
      </c>
      <c r="AM778" t="s">
        <v>305</v>
      </c>
      <c r="AN778" t="s">
        <v>583</v>
      </c>
      <c r="AO778" t="s">
        <v>14900</v>
      </c>
      <c r="AP778" t="s">
        <v>14901</v>
      </c>
      <c r="AQ778" t="s">
        <v>74</v>
      </c>
      <c r="AR778" t="s">
        <v>14902</v>
      </c>
      <c r="AS778" t="s">
        <v>14903</v>
      </c>
      <c r="AT778" t="s">
        <v>14663</v>
      </c>
      <c r="AU778">
        <v>2013</v>
      </c>
      <c r="AV778">
        <v>110</v>
      </c>
      <c r="AW778" t="s">
        <v>74</v>
      </c>
      <c r="AX778" t="s">
        <v>74</v>
      </c>
      <c r="AY778" t="s">
        <v>74</v>
      </c>
      <c r="AZ778" t="s">
        <v>74</v>
      </c>
      <c r="BA778" t="s">
        <v>74</v>
      </c>
      <c r="BB778">
        <v>21</v>
      </c>
      <c r="BC778">
        <v>27</v>
      </c>
      <c r="BD778" t="s">
        <v>74</v>
      </c>
      <c r="BE778" t="s">
        <v>14904</v>
      </c>
      <c r="BF778" t="str">
        <f>HYPERLINK("http://dx.doi.org/10.1016/j.microc.2013.01.007","http://dx.doi.org/10.1016/j.microc.2013.01.007")</f>
        <v>http://dx.doi.org/10.1016/j.microc.2013.01.007</v>
      </c>
      <c r="BG778" t="s">
        <v>74</v>
      </c>
      <c r="BH778" t="s">
        <v>74</v>
      </c>
      <c r="BI778">
        <v>7</v>
      </c>
      <c r="BJ778" t="s">
        <v>11245</v>
      </c>
      <c r="BK778" t="s">
        <v>99</v>
      </c>
      <c r="BL778" t="s">
        <v>4975</v>
      </c>
      <c r="BM778" t="s">
        <v>14905</v>
      </c>
      <c r="BN778" t="s">
        <v>74</v>
      </c>
      <c r="BO778" t="s">
        <v>524</v>
      </c>
      <c r="BP778" t="s">
        <v>74</v>
      </c>
      <c r="BQ778" t="s">
        <v>74</v>
      </c>
      <c r="BR778" t="s">
        <v>103</v>
      </c>
      <c r="BS778" t="s">
        <v>14906</v>
      </c>
      <c r="BT778" t="str">
        <f>HYPERLINK("https%3A%2F%2Fwww.webofscience.com%2Fwos%2Fwoscc%2Ffull-record%2FWOS:000326851200004","View Full Record in Web of Science")</f>
        <v>View Full Record in Web of Science</v>
      </c>
    </row>
    <row r="779" spans="1:72" x14ac:dyDescent="0.15">
      <c r="A779" t="s">
        <v>72</v>
      </c>
      <c r="B779" t="s">
        <v>14907</v>
      </c>
      <c r="C779" t="s">
        <v>74</v>
      </c>
      <c r="D779" t="s">
        <v>74</v>
      </c>
      <c r="E779" t="s">
        <v>74</v>
      </c>
      <c r="F779" t="s">
        <v>14908</v>
      </c>
      <c r="G779" t="s">
        <v>74</v>
      </c>
      <c r="H779" t="s">
        <v>74</v>
      </c>
      <c r="I779" t="s">
        <v>14909</v>
      </c>
      <c r="J779" t="s">
        <v>14910</v>
      </c>
      <c r="K779" t="s">
        <v>74</v>
      </c>
      <c r="L779" t="s">
        <v>74</v>
      </c>
      <c r="M779" t="s">
        <v>78</v>
      </c>
      <c r="N779" t="s">
        <v>79</v>
      </c>
      <c r="O779" t="s">
        <v>74</v>
      </c>
      <c r="P779" t="s">
        <v>74</v>
      </c>
      <c r="Q779" t="s">
        <v>74</v>
      </c>
      <c r="R779" t="s">
        <v>74</v>
      </c>
      <c r="S779" t="s">
        <v>74</v>
      </c>
      <c r="T779" t="s">
        <v>14911</v>
      </c>
      <c r="U779" t="s">
        <v>14912</v>
      </c>
      <c r="V779" t="s">
        <v>14913</v>
      </c>
      <c r="W779" t="s">
        <v>14914</v>
      </c>
      <c r="X779" t="s">
        <v>14915</v>
      </c>
      <c r="Y779" t="s">
        <v>14916</v>
      </c>
      <c r="Z779" t="s">
        <v>14917</v>
      </c>
      <c r="AA779" t="s">
        <v>14918</v>
      </c>
      <c r="AB779" t="s">
        <v>14919</v>
      </c>
      <c r="AC779" t="s">
        <v>14920</v>
      </c>
      <c r="AD779" t="s">
        <v>14921</v>
      </c>
      <c r="AE779" t="s">
        <v>14922</v>
      </c>
      <c r="AF779" t="s">
        <v>74</v>
      </c>
      <c r="AG779">
        <v>34</v>
      </c>
      <c r="AH779">
        <v>5</v>
      </c>
      <c r="AI779">
        <v>5</v>
      </c>
      <c r="AJ779">
        <v>0</v>
      </c>
      <c r="AK779">
        <v>3</v>
      </c>
      <c r="AL779" t="s">
        <v>920</v>
      </c>
      <c r="AM779" t="s">
        <v>921</v>
      </c>
      <c r="AN779" t="s">
        <v>922</v>
      </c>
      <c r="AO779" t="s">
        <v>14923</v>
      </c>
      <c r="AP779" t="s">
        <v>14924</v>
      </c>
      <c r="AQ779" t="s">
        <v>74</v>
      </c>
      <c r="AR779" t="s">
        <v>14925</v>
      </c>
      <c r="AS779" t="s">
        <v>14926</v>
      </c>
      <c r="AT779" t="s">
        <v>14663</v>
      </c>
      <c r="AU779">
        <v>2013</v>
      </c>
      <c r="AV779">
        <v>7</v>
      </c>
      <c r="AW779">
        <v>5</v>
      </c>
      <c r="AX779" t="s">
        <v>74</v>
      </c>
      <c r="AY779" t="s">
        <v>74</v>
      </c>
      <c r="AZ779" t="s">
        <v>74</v>
      </c>
      <c r="BA779" t="s">
        <v>74</v>
      </c>
      <c r="BB779">
        <v>620</v>
      </c>
      <c r="BC779">
        <v>631</v>
      </c>
      <c r="BD779" t="s">
        <v>74</v>
      </c>
      <c r="BE779" t="s">
        <v>14927</v>
      </c>
      <c r="BF779" t="str">
        <f>HYPERLINK("http://dx.doi.org/10.1134/S1990793113050205","http://dx.doi.org/10.1134/S1990793113050205")</f>
        <v>http://dx.doi.org/10.1134/S1990793113050205</v>
      </c>
      <c r="BG779" t="s">
        <v>74</v>
      </c>
      <c r="BH779" t="s">
        <v>74</v>
      </c>
      <c r="BI779">
        <v>12</v>
      </c>
      <c r="BJ779" t="s">
        <v>14928</v>
      </c>
      <c r="BK779" t="s">
        <v>99</v>
      </c>
      <c r="BL779" t="s">
        <v>722</v>
      </c>
      <c r="BM779" t="s">
        <v>14929</v>
      </c>
      <c r="BN779" t="s">
        <v>74</v>
      </c>
      <c r="BO779" t="s">
        <v>74</v>
      </c>
      <c r="BP779" t="s">
        <v>74</v>
      </c>
      <c r="BQ779" t="s">
        <v>74</v>
      </c>
      <c r="BR779" t="s">
        <v>103</v>
      </c>
      <c r="BS779" t="s">
        <v>14930</v>
      </c>
      <c r="BT779" t="str">
        <f>HYPERLINK("https%3A%2F%2Fwww.webofscience.com%2Fwos%2Fwoscc%2Ffull-record%2FWOS:000326706300016","View Full Record in Web of Science")</f>
        <v>View Full Record in Web of Science</v>
      </c>
    </row>
    <row r="780" spans="1:72" x14ac:dyDescent="0.15">
      <c r="A780" t="s">
        <v>72</v>
      </c>
      <c r="B780" t="s">
        <v>14931</v>
      </c>
      <c r="C780" t="s">
        <v>74</v>
      </c>
      <c r="D780" t="s">
        <v>74</v>
      </c>
      <c r="E780" t="s">
        <v>74</v>
      </c>
      <c r="F780" t="s">
        <v>14932</v>
      </c>
      <c r="G780" t="s">
        <v>74</v>
      </c>
      <c r="H780" t="s">
        <v>74</v>
      </c>
      <c r="I780" t="s">
        <v>14933</v>
      </c>
      <c r="J780" t="s">
        <v>8780</v>
      </c>
      <c r="K780" t="s">
        <v>74</v>
      </c>
      <c r="L780" t="s">
        <v>74</v>
      </c>
      <c r="M780" t="s">
        <v>78</v>
      </c>
      <c r="N780" t="s">
        <v>79</v>
      </c>
      <c r="O780" t="s">
        <v>74</v>
      </c>
      <c r="P780" t="s">
        <v>74</v>
      </c>
      <c r="Q780" t="s">
        <v>74</v>
      </c>
      <c r="R780" t="s">
        <v>74</v>
      </c>
      <c r="S780" t="s">
        <v>74</v>
      </c>
      <c r="T780" t="s">
        <v>74</v>
      </c>
      <c r="U780" t="s">
        <v>14934</v>
      </c>
      <c r="V780" t="s">
        <v>14935</v>
      </c>
      <c r="W780" t="s">
        <v>14936</v>
      </c>
      <c r="X780" t="s">
        <v>14937</v>
      </c>
      <c r="Y780" t="s">
        <v>14938</v>
      </c>
      <c r="Z780" t="s">
        <v>14939</v>
      </c>
      <c r="AA780" t="s">
        <v>74</v>
      </c>
      <c r="AB780" t="s">
        <v>14940</v>
      </c>
      <c r="AC780" t="s">
        <v>14941</v>
      </c>
      <c r="AD780" t="s">
        <v>14942</v>
      </c>
      <c r="AE780" t="s">
        <v>14943</v>
      </c>
      <c r="AF780" t="s">
        <v>74</v>
      </c>
      <c r="AG780">
        <v>28</v>
      </c>
      <c r="AH780">
        <v>34</v>
      </c>
      <c r="AI780">
        <v>34</v>
      </c>
      <c r="AJ780">
        <v>0</v>
      </c>
      <c r="AK780">
        <v>13</v>
      </c>
      <c r="AL780" t="s">
        <v>8792</v>
      </c>
      <c r="AM780" t="s">
        <v>849</v>
      </c>
      <c r="AN780" t="s">
        <v>14944</v>
      </c>
      <c r="AO780" t="s">
        <v>8794</v>
      </c>
      <c r="AP780" t="s">
        <v>8795</v>
      </c>
      <c r="AQ780" t="s">
        <v>74</v>
      </c>
      <c r="AR780" t="s">
        <v>8796</v>
      </c>
      <c r="AS780" t="s">
        <v>8797</v>
      </c>
      <c r="AT780" t="s">
        <v>14663</v>
      </c>
      <c r="AU780">
        <v>2013</v>
      </c>
      <c r="AV780">
        <v>63</v>
      </c>
      <c r="AW780" t="s">
        <v>74</v>
      </c>
      <c r="AX780">
        <v>9</v>
      </c>
      <c r="AY780" t="s">
        <v>74</v>
      </c>
      <c r="AZ780" t="s">
        <v>74</v>
      </c>
      <c r="BA780" t="s">
        <v>74</v>
      </c>
      <c r="BB780">
        <v>3313</v>
      </c>
      <c r="BC780">
        <v>3318</v>
      </c>
      <c r="BD780" t="s">
        <v>74</v>
      </c>
      <c r="BE780" t="s">
        <v>14945</v>
      </c>
      <c r="BF780" t="str">
        <f>HYPERLINK("http://dx.doi.org/10.1099/ijs.0.051805-0","http://dx.doi.org/10.1099/ijs.0.051805-0")</f>
        <v>http://dx.doi.org/10.1099/ijs.0.051805-0</v>
      </c>
      <c r="BG780" t="s">
        <v>74</v>
      </c>
      <c r="BH780" t="s">
        <v>74</v>
      </c>
      <c r="BI780">
        <v>6</v>
      </c>
      <c r="BJ780" t="s">
        <v>815</v>
      </c>
      <c r="BK780" t="s">
        <v>99</v>
      </c>
      <c r="BL780" t="s">
        <v>815</v>
      </c>
      <c r="BM780" t="s">
        <v>14946</v>
      </c>
      <c r="BN780">
        <v>23475347</v>
      </c>
      <c r="BO780" t="s">
        <v>74</v>
      </c>
      <c r="BP780" t="s">
        <v>74</v>
      </c>
      <c r="BQ780" t="s">
        <v>74</v>
      </c>
      <c r="BR780" t="s">
        <v>103</v>
      </c>
      <c r="BS780" t="s">
        <v>14947</v>
      </c>
      <c r="BT780" t="str">
        <f>HYPERLINK("https%3A%2F%2Fwww.webofscience.com%2Fwos%2Fwoscc%2Ffull-record%2FWOS:000326426100030","View Full Record in Web of Science")</f>
        <v>View Full Record in Web of Science</v>
      </c>
    </row>
    <row r="781" spans="1:72" x14ac:dyDescent="0.15">
      <c r="A781" t="s">
        <v>72</v>
      </c>
      <c r="B781" t="s">
        <v>14948</v>
      </c>
      <c r="C781" t="s">
        <v>74</v>
      </c>
      <c r="D781" t="s">
        <v>74</v>
      </c>
      <c r="E781" t="s">
        <v>74</v>
      </c>
      <c r="F781" t="s">
        <v>14949</v>
      </c>
      <c r="G781" t="s">
        <v>74</v>
      </c>
      <c r="H781" t="s">
        <v>74</v>
      </c>
      <c r="I781" t="s">
        <v>14950</v>
      </c>
      <c r="J781" t="s">
        <v>8780</v>
      </c>
      <c r="K781" t="s">
        <v>74</v>
      </c>
      <c r="L781" t="s">
        <v>74</v>
      </c>
      <c r="M781" t="s">
        <v>78</v>
      </c>
      <c r="N781" t="s">
        <v>79</v>
      </c>
      <c r="O781" t="s">
        <v>74</v>
      </c>
      <c r="P781" t="s">
        <v>74</v>
      </c>
      <c r="Q781" t="s">
        <v>74</v>
      </c>
      <c r="R781" t="s">
        <v>74</v>
      </c>
      <c r="S781" t="s">
        <v>74</v>
      </c>
      <c r="T781" t="s">
        <v>74</v>
      </c>
      <c r="U781" t="s">
        <v>14951</v>
      </c>
      <c r="V781" t="s">
        <v>14952</v>
      </c>
      <c r="W781" t="s">
        <v>14953</v>
      </c>
      <c r="X781" t="s">
        <v>14954</v>
      </c>
      <c r="Y781" t="s">
        <v>14955</v>
      </c>
      <c r="Z781" t="s">
        <v>14956</v>
      </c>
      <c r="AA781" t="s">
        <v>14957</v>
      </c>
      <c r="AB781" t="s">
        <v>14958</v>
      </c>
      <c r="AC781" t="s">
        <v>14959</v>
      </c>
      <c r="AD781" t="s">
        <v>14960</v>
      </c>
      <c r="AE781" t="s">
        <v>14961</v>
      </c>
      <c r="AF781" t="s">
        <v>74</v>
      </c>
      <c r="AG781">
        <v>30</v>
      </c>
      <c r="AH781">
        <v>25</v>
      </c>
      <c r="AI781">
        <v>25</v>
      </c>
      <c r="AJ781">
        <v>0</v>
      </c>
      <c r="AK781">
        <v>15</v>
      </c>
      <c r="AL781" t="s">
        <v>8792</v>
      </c>
      <c r="AM781" t="s">
        <v>849</v>
      </c>
      <c r="AN781" t="s">
        <v>14944</v>
      </c>
      <c r="AO781" t="s">
        <v>8794</v>
      </c>
      <c r="AP781" t="s">
        <v>8795</v>
      </c>
      <c r="AQ781" t="s">
        <v>74</v>
      </c>
      <c r="AR781" t="s">
        <v>8796</v>
      </c>
      <c r="AS781" t="s">
        <v>8797</v>
      </c>
      <c r="AT781" t="s">
        <v>14663</v>
      </c>
      <c r="AU781">
        <v>2013</v>
      </c>
      <c r="AV781">
        <v>63</v>
      </c>
      <c r="AW781" t="s">
        <v>74</v>
      </c>
      <c r="AX781">
        <v>9</v>
      </c>
      <c r="AY781" t="s">
        <v>74</v>
      </c>
      <c r="AZ781" t="s">
        <v>74</v>
      </c>
      <c r="BA781" t="s">
        <v>74</v>
      </c>
      <c r="BB781">
        <v>3451</v>
      </c>
      <c r="BC781">
        <v>3456</v>
      </c>
      <c r="BD781" t="s">
        <v>74</v>
      </c>
      <c r="BE781" t="s">
        <v>14962</v>
      </c>
      <c r="BF781" t="str">
        <f>HYPERLINK("http://dx.doi.org/10.1099/ijs.0.048355-0","http://dx.doi.org/10.1099/ijs.0.048355-0")</f>
        <v>http://dx.doi.org/10.1099/ijs.0.048355-0</v>
      </c>
      <c r="BG781" t="s">
        <v>74</v>
      </c>
      <c r="BH781" t="s">
        <v>74</v>
      </c>
      <c r="BI781">
        <v>6</v>
      </c>
      <c r="BJ781" t="s">
        <v>815</v>
      </c>
      <c r="BK781" t="s">
        <v>99</v>
      </c>
      <c r="BL781" t="s">
        <v>815</v>
      </c>
      <c r="BM781" t="s">
        <v>14946</v>
      </c>
      <c r="BN781">
        <v>23543499</v>
      </c>
      <c r="BO781" t="s">
        <v>74</v>
      </c>
      <c r="BP781" t="s">
        <v>74</v>
      </c>
      <c r="BQ781" t="s">
        <v>74</v>
      </c>
      <c r="BR781" t="s">
        <v>103</v>
      </c>
      <c r="BS781" t="s">
        <v>14963</v>
      </c>
      <c r="BT781" t="str">
        <f>HYPERLINK("https%3A%2F%2Fwww.webofscience.com%2Fwos%2Fwoscc%2Ffull-record%2FWOS:000326426100050","View Full Record in Web of Science")</f>
        <v>View Full Record in Web of Science</v>
      </c>
    </row>
    <row r="782" spans="1:72" x14ac:dyDescent="0.15">
      <c r="A782" t="s">
        <v>72</v>
      </c>
      <c r="B782" t="s">
        <v>14964</v>
      </c>
      <c r="C782" t="s">
        <v>74</v>
      </c>
      <c r="D782" t="s">
        <v>74</v>
      </c>
      <c r="E782" t="s">
        <v>74</v>
      </c>
      <c r="F782" t="s">
        <v>14965</v>
      </c>
      <c r="G782" t="s">
        <v>74</v>
      </c>
      <c r="H782" t="s">
        <v>74</v>
      </c>
      <c r="I782" t="s">
        <v>14966</v>
      </c>
      <c r="J782" t="s">
        <v>5193</v>
      </c>
      <c r="K782" t="s">
        <v>74</v>
      </c>
      <c r="L782" t="s">
        <v>74</v>
      </c>
      <c r="M782" t="s">
        <v>78</v>
      </c>
      <c r="N782" t="s">
        <v>79</v>
      </c>
      <c r="O782" t="s">
        <v>74</v>
      </c>
      <c r="P782" t="s">
        <v>74</v>
      </c>
      <c r="Q782" t="s">
        <v>74</v>
      </c>
      <c r="R782" t="s">
        <v>74</v>
      </c>
      <c r="S782" t="s">
        <v>74</v>
      </c>
      <c r="T782" t="s">
        <v>14967</v>
      </c>
      <c r="U782" t="s">
        <v>14968</v>
      </c>
      <c r="V782" t="s">
        <v>14969</v>
      </c>
      <c r="W782" t="s">
        <v>14970</v>
      </c>
      <c r="X782" t="s">
        <v>14971</v>
      </c>
      <c r="Y782" t="s">
        <v>5220</v>
      </c>
      <c r="Z782" t="s">
        <v>5221</v>
      </c>
      <c r="AA782" t="s">
        <v>14972</v>
      </c>
      <c r="AB782" t="s">
        <v>14973</v>
      </c>
      <c r="AC782" t="s">
        <v>14974</v>
      </c>
      <c r="AD782" t="s">
        <v>14975</v>
      </c>
      <c r="AE782" t="s">
        <v>14976</v>
      </c>
      <c r="AF782" t="s">
        <v>74</v>
      </c>
      <c r="AG782">
        <v>92</v>
      </c>
      <c r="AH782">
        <v>50</v>
      </c>
      <c r="AI782">
        <v>56</v>
      </c>
      <c r="AJ782">
        <v>1</v>
      </c>
      <c r="AK782">
        <v>35</v>
      </c>
      <c r="AL782" t="s">
        <v>1606</v>
      </c>
      <c r="AM782" t="s">
        <v>808</v>
      </c>
      <c r="AN782" t="s">
        <v>1607</v>
      </c>
      <c r="AO782" t="s">
        <v>5205</v>
      </c>
      <c r="AP782" t="s">
        <v>5206</v>
      </c>
      <c r="AQ782" t="s">
        <v>74</v>
      </c>
      <c r="AR782" t="s">
        <v>5207</v>
      </c>
      <c r="AS782" t="s">
        <v>5208</v>
      </c>
      <c r="AT782" t="s">
        <v>14663</v>
      </c>
      <c r="AU782">
        <v>2013</v>
      </c>
      <c r="AV782">
        <v>118</v>
      </c>
      <c r="AW782">
        <v>3</v>
      </c>
      <c r="AX782" t="s">
        <v>74</v>
      </c>
      <c r="AY782" t="s">
        <v>74</v>
      </c>
      <c r="AZ782" t="s">
        <v>74</v>
      </c>
      <c r="BA782" t="s">
        <v>74</v>
      </c>
      <c r="BB782">
        <v>1658</v>
      </c>
      <c r="BC782">
        <v>1676</v>
      </c>
      <c r="BD782" t="s">
        <v>74</v>
      </c>
      <c r="BE782" t="s">
        <v>14977</v>
      </c>
      <c r="BF782" t="str">
        <f>HYPERLINK("http://dx.doi.org/10.1002/jgrf.20098","http://dx.doi.org/10.1002/jgrf.20098")</f>
        <v>http://dx.doi.org/10.1002/jgrf.20098</v>
      </c>
      <c r="BG782" t="s">
        <v>74</v>
      </c>
      <c r="BH782" t="s">
        <v>74</v>
      </c>
      <c r="BI782">
        <v>19</v>
      </c>
      <c r="BJ782" t="s">
        <v>337</v>
      </c>
      <c r="BK782" t="s">
        <v>99</v>
      </c>
      <c r="BL782" t="s">
        <v>338</v>
      </c>
      <c r="BM782" t="s">
        <v>14978</v>
      </c>
      <c r="BN782" t="s">
        <v>74</v>
      </c>
      <c r="BO782" t="s">
        <v>1648</v>
      </c>
      <c r="BP782" t="s">
        <v>74</v>
      </c>
      <c r="BQ782" t="s">
        <v>74</v>
      </c>
      <c r="BR782" t="s">
        <v>103</v>
      </c>
      <c r="BS782" t="s">
        <v>14979</v>
      </c>
      <c r="BT782" t="str">
        <f>HYPERLINK("https%3A%2F%2Fwww.webofscience.com%2Fwos%2Fwoscc%2Ffull-record%2FWOS:000325978500032","View Full Record in Web of Science")</f>
        <v>View Full Record in Web of Science</v>
      </c>
    </row>
    <row r="783" spans="1:72" x14ac:dyDescent="0.15">
      <c r="A783" t="s">
        <v>72</v>
      </c>
      <c r="B783" t="s">
        <v>14980</v>
      </c>
      <c r="C783" t="s">
        <v>74</v>
      </c>
      <c r="D783" t="s">
        <v>74</v>
      </c>
      <c r="E783" t="s">
        <v>74</v>
      </c>
      <c r="F783" t="s">
        <v>14981</v>
      </c>
      <c r="G783" t="s">
        <v>74</v>
      </c>
      <c r="H783" t="s">
        <v>74</v>
      </c>
      <c r="I783" t="s">
        <v>14982</v>
      </c>
      <c r="J783" t="s">
        <v>14983</v>
      </c>
      <c r="K783" t="s">
        <v>74</v>
      </c>
      <c r="L783" t="s">
        <v>74</v>
      </c>
      <c r="M783" t="s">
        <v>78</v>
      </c>
      <c r="N783" t="s">
        <v>4716</v>
      </c>
      <c r="O783" t="s">
        <v>74</v>
      </c>
      <c r="P783" t="s">
        <v>74</v>
      </c>
      <c r="Q783" t="s">
        <v>74</v>
      </c>
      <c r="R783" t="s">
        <v>74</v>
      </c>
      <c r="S783" t="s">
        <v>74</v>
      </c>
      <c r="T783" t="s">
        <v>74</v>
      </c>
      <c r="U783" t="s">
        <v>74</v>
      </c>
      <c r="V783" t="s">
        <v>74</v>
      </c>
      <c r="W783" t="s">
        <v>14984</v>
      </c>
      <c r="X783" t="s">
        <v>14985</v>
      </c>
      <c r="Y783" t="s">
        <v>14986</v>
      </c>
      <c r="Z783" t="s">
        <v>14987</v>
      </c>
      <c r="AA783" t="s">
        <v>14988</v>
      </c>
      <c r="AB783" t="s">
        <v>14989</v>
      </c>
      <c r="AC783" t="s">
        <v>74</v>
      </c>
      <c r="AD783" t="s">
        <v>74</v>
      </c>
      <c r="AE783" t="s">
        <v>74</v>
      </c>
      <c r="AF783" t="s">
        <v>74</v>
      </c>
      <c r="AG783">
        <v>1</v>
      </c>
      <c r="AH783">
        <v>0</v>
      </c>
      <c r="AI783">
        <v>0</v>
      </c>
      <c r="AJ783">
        <v>0</v>
      </c>
      <c r="AK783">
        <v>0</v>
      </c>
      <c r="AL783" t="s">
        <v>783</v>
      </c>
      <c r="AM783" t="s">
        <v>252</v>
      </c>
      <c r="AN783" t="s">
        <v>784</v>
      </c>
      <c r="AO783" t="s">
        <v>14990</v>
      </c>
      <c r="AP783" t="s">
        <v>14991</v>
      </c>
      <c r="AQ783" t="s">
        <v>74</v>
      </c>
      <c r="AR783" t="s">
        <v>14992</v>
      </c>
      <c r="AS783" t="s">
        <v>14993</v>
      </c>
      <c r="AT783" t="s">
        <v>14745</v>
      </c>
      <c r="AU783">
        <v>2013</v>
      </c>
      <c r="AV783">
        <v>11</v>
      </c>
      <c r="AW783">
        <v>5</v>
      </c>
      <c r="AX783" t="s">
        <v>74</v>
      </c>
      <c r="AY783" t="s">
        <v>74</v>
      </c>
      <c r="AZ783" t="s">
        <v>74</v>
      </c>
      <c r="BA783" t="s">
        <v>74</v>
      </c>
      <c r="BB783">
        <v>333</v>
      </c>
      <c r="BC783">
        <v>333</v>
      </c>
      <c r="BD783" t="s">
        <v>74</v>
      </c>
      <c r="BE783" t="s">
        <v>14994</v>
      </c>
      <c r="BF783" t="str">
        <f>HYPERLINK("http://dx.doi.org/10.1016/j.tmaid.2013.06.006","http://dx.doi.org/10.1016/j.tmaid.2013.06.006")</f>
        <v>http://dx.doi.org/10.1016/j.tmaid.2013.06.006</v>
      </c>
      <c r="BG783" t="s">
        <v>74</v>
      </c>
      <c r="BH783" t="s">
        <v>74</v>
      </c>
      <c r="BI783">
        <v>1</v>
      </c>
      <c r="BJ783" t="s">
        <v>14995</v>
      </c>
      <c r="BK783" t="s">
        <v>99</v>
      </c>
      <c r="BL783" t="s">
        <v>14995</v>
      </c>
      <c r="BM783" t="s">
        <v>14996</v>
      </c>
      <c r="BN783" t="s">
        <v>74</v>
      </c>
      <c r="BO783" t="s">
        <v>74</v>
      </c>
      <c r="BP783" t="s">
        <v>74</v>
      </c>
      <c r="BQ783" t="s">
        <v>74</v>
      </c>
      <c r="BR783" t="s">
        <v>103</v>
      </c>
      <c r="BS783" t="s">
        <v>14997</v>
      </c>
      <c r="BT783" t="str">
        <f>HYPERLINK("https%3A%2F%2Fwww.webofscience.com%2Fwos%2Fwoscc%2Ffull-record%2FWOS:000326433300014","View Full Record in Web of Science")</f>
        <v>View Full Record in Web of Science</v>
      </c>
    </row>
    <row r="784" spans="1:72" x14ac:dyDescent="0.15">
      <c r="A784" t="s">
        <v>72</v>
      </c>
      <c r="B784" t="s">
        <v>14998</v>
      </c>
      <c r="C784" t="s">
        <v>74</v>
      </c>
      <c r="D784" t="s">
        <v>74</v>
      </c>
      <c r="E784" t="s">
        <v>74</v>
      </c>
      <c r="F784" t="s">
        <v>14999</v>
      </c>
      <c r="G784" t="s">
        <v>74</v>
      </c>
      <c r="H784" t="s">
        <v>74</v>
      </c>
      <c r="I784" t="s">
        <v>15000</v>
      </c>
      <c r="J784" t="s">
        <v>6755</v>
      </c>
      <c r="K784" t="s">
        <v>74</v>
      </c>
      <c r="L784" t="s">
        <v>74</v>
      </c>
      <c r="M784" t="s">
        <v>78</v>
      </c>
      <c r="N784" t="s">
        <v>79</v>
      </c>
      <c r="O784" t="s">
        <v>74</v>
      </c>
      <c r="P784" t="s">
        <v>74</v>
      </c>
      <c r="Q784" t="s">
        <v>74</v>
      </c>
      <c r="R784" t="s">
        <v>74</v>
      </c>
      <c r="S784" t="s">
        <v>74</v>
      </c>
      <c r="T784" t="s">
        <v>15001</v>
      </c>
      <c r="U784" t="s">
        <v>15002</v>
      </c>
      <c r="V784" t="s">
        <v>15003</v>
      </c>
      <c r="W784" t="s">
        <v>15004</v>
      </c>
      <c r="X784" t="s">
        <v>15005</v>
      </c>
      <c r="Y784" t="s">
        <v>15006</v>
      </c>
      <c r="Z784" t="s">
        <v>15007</v>
      </c>
      <c r="AA784" t="s">
        <v>15008</v>
      </c>
      <c r="AB784" t="s">
        <v>15009</v>
      </c>
      <c r="AC784" t="s">
        <v>15010</v>
      </c>
      <c r="AD784" t="s">
        <v>15011</v>
      </c>
      <c r="AE784" t="s">
        <v>15012</v>
      </c>
      <c r="AF784" t="s">
        <v>74</v>
      </c>
      <c r="AG784">
        <v>75</v>
      </c>
      <c r="AH784">
        <v>11</v>
      </c>
      <c r="AI784">
        <v>11</v>
      </c>
      <c r="AJ784">
        <v>0</v>
      </c>
      <c r="AK784">
        <v>33</v>
      </c>
      <c r="AL784" t="s">
        <v>1606</v>
      </c>
      <c r="AM784" t="s">
        <v>808</v>
      </c>
      <c r="AN784" t="s">
        <v>1607</v>
      </c>
      <c r="AO784" t="s">
        <v>6767</v>
      </c>
      <c r="AP784" t="s">
        <v>74</v>
      </c>
      <c r="AQ784" t="s">
        <v>74</v>
      </c>
      <c r="AR784" t="s">
        <v>6768</v>
      </c>
      <c r="AS784" t="s">
        <v>6769</v>
      </c>
      <c r="AT784" t="s">
        <v>14663</v>
      </c>
      <c r="AU784">
        <v>2013</v>
      </c>
      <c r="AV784">
        <v>14</v>
      </c>
      <c r="AW784">
        <v>9</v>
      </c>
      <c r="AX784" t="s">
        <v>74</v>
      </c>
      <c r="AY784" t="s">
        <v>74</v>
      </c>
      <c r="AZ784" t="s">
        <v>74</v>
      </c>
      <c r="BA784" t="s">
        <v>74</v>
      </c>
      <c r="BB784">
        <v>3779</v>
      </c>
      <c r="BC784">
        <v>3800</v>
      </c>
      <c r="BD784" t="s">
        <v>74</v>
      </c>
      <c r="BE784" t="s">
        <v>15013</v>
      </c>
      <c r="BF784" t="str">
        <f>HYPERLINK("http://dx.doi.org/10.1002/ggge.20234","http://dx.doi.org/10.1002/ggge.20234")</f>
        <v>http://dx.doi.org/10.1002/ggge.20234</v>
      </c>
      <c r="BG784" t="s">
        <v>74</v>
      </c>
      <c r="BH784" t="s">
        <v>74</v>
      </c>
      <c r="BI784">
        <v>22</v>
      </c>
      <c r="BJ784" t="s">
        <v>313</v>
      </c>
      <c r="BK784" t="s">
        <v>99</v>
      </c>
      <c r="BL784" t="s">
        <v>313</v>
      </c>
      <c r="BM784" t="s">
        <v>15014</v>
      </c>
      <c r="BN784" t="s">
        <v>74</v>
      </c>
      <c r="BO784" t="s">
        <v>15015</v>
      </c>
      <c r="BP784" t="s">
        <v>74</v>
      </c>
      <c r="BQ784" t="s">
        <v>74</v>
      </c>
      <c r="BR784" t="s">
        <v>103</v>
      </c>
      <c r="BS784" t="s">
        <v>15016</v>
      </c>
      <c r="BT784" t="str">
        <f>HYPERLINK("https%3A%2F%2Fwww.webofscience.com%2Fwos%2Fwoscc%2Ffull-record%2FWOS:000326247700028","View Full Record in Web of Science")</f>
        <v>View Full Record in Web of Science</v>
      </c>
    </row>
    <row r="785" spans="1:72" x14ac:dyDescent="0.15">
      <c r="A785" t="s">
        <v>72</v>
      </c>
      <c r="B785" t="s">
        <v>15017</v>
      </c>
      <c r="C785" t="s">
        <v>74</v>
      </c>
      <c r="D785" t="s">
        <v>74</v>
      </c>
      <c r="E785" t="s">
        <v>74</v>
      </c>
      <c r="F785" t="s">
        <v>15018</v>
      </c>
      <c r="G785" t="s">
        <v>74</v>
      </c>
      <c r="H785" t="s">
        <v>74</v>
      </c>
      <c r="I785" t="s">
        <v>15019</v>
      </c>
      <c r="J785" t="s">
        <v>1595</v>
      </c>
      <c r="K785" t="s">
        <v>74</v>
      </c>
      <c r="L785" t="s">
        <v>74</v>
      </c>
      <c r="M785" t="s">
        <v>78</v>
      </c>
      <c r="N785" t="s">
        <v>79</v>
      </c>
      <c r="O785" t="s">
        <v>74</v>
      </c>
      <c r="P785" t="s">
        <v>74</v>
      </c>
      <c r="Q785" t="s">
        <v>74</v>
      </c>
      <c r="R785" t="s">
        <v>74</v>
      </c>
      <c r="S785" t="s">
        <v>74</v>
      </c>
      <c r="T785" t="s">
        <v>15020</v>
      </c>
      <c r="U785" t="s">
        <v>15021</v>
      </c>
      <c r="V785" t="s">
        <v>15022</v>
      </c>
      <c r="W785" t="s">
        <v>15023</v>
      </c>
      <c r="X785" t="s">
        <v>15024</v>
      </c>
      <c r="Y785" t="s">
        <v>15025</v>
      </c>
      <c r="Z785" t="s">
        <v>15026</v>
      </c>
      <c r="AA785" t="s">
        <v>15027</v>
      </c>
      <c r="AB785" t="s">
        <v>15028</v>
      </c>
      <c r="AC785" t="s">
        <v>15029</v>
      </c>
      <c r="AD785" t="s">
        <v>15030</v>
      </c>
      <c r="AE785" t="s">
        <v>15031</v>
      </c>
      <c r="AF785" t="s">
        <v>74</v>
      </c>
      <c r="AG785">
        <v>66</v>
      </c>
      <c r="AH785">
        <v>33</v>
      </c>
      <c r="AI785">
        <v>35</v>
      </c>
      <c r="AJ785">
        <v>0</v>
      </c>
      <c r="AK785">
        <v>26</v>
      </c>
      <c r="AL785" t="s">
        <v>1606</v>
      </c>
      <c r="AM785" t="s">
        <v>808</v>
      </c>
      <c r="AN785" t="s">
        <v>1607</v>
      </c>
      <c r="AO785" t="s">
        <v>1608</v>
      </c>
      <c r="AP785" t="s">
        <v>1609</v>
      </c>
      <c r="AQ785" t="s">
        <v>74</v>
      </c>
      <c r="AR785" t="s">
        <v>1610</v>
      </c>
      <c r="AS785" t="s">
        <v>1611</v>
      </c>
      <c r="AT785" t="s">
        <v>14663</v>
      </c>
      <c r="AU785">
        <v>2013</v>
      </c>
      <c r="AV785">
        <v>118</v>
      </c>
      <c r="AW785">
        <v>9</v>
      </c>
      <c r="AX785" t="s">
        <v>74</v>
      </c>
      <c r="AY785" t="s">
        <v>74</v>
      </c>
      <c r="AZ785" t="s">
        <v>74</v>
      </c>
      <c r="BA785" t="s">
        <v>74</v>
      </c>
      <c r="BB785">
        <v>4092</v>
      </c>
      <c r="BC785">
        <v>4110</v>
      </c>
      <c r="BD785" t="s">
        <v>74</v>
      </c>
      <c r="BE785" t="s">
        <v>15032</v>
      </c>
      <c r="BF785" t="str">
        <f>HYPERLINK("http://dx.doi.org/10.1002/jgrc.20287","http://dx.doi.org/10.1002/jgrc.20287")</f>
        <v>http://dx.doi.org/10.1002/jgrc.20287</v>
      </c>
      <c r="BG785" t="s">
        <v>74</v>
      </c>
      <c r="BH785" t="s">
        <v>74</v>
      </c>
      <c r="BI785">
        <v>19</v>
      </c>
      <c r="BJ785" t="s">
        <v>1613</v>
      </c>
      <c r="BK785" t="s">
        <v>99</v>
      </c>
      <c r="BL785" t="s">
        <v>1613</v>
      </c>
      <c r="BM785" t="s">
        <v>15033</v>
      </c>
      <c r="BN785" t="s">
        <v>74</v>
      </c>
      <c r="BO785" t="s">
        <v>831</v>
      </c>
      <c r="BP785" t="s">
        <v>74</v>
      </c>
      <c r="BQ785" t="s">
        <v>74</v>
      </c>
      <c r="BR785" t="s">
        <v>103</v>
      </c>
      <c r="BS785" t="s">
        <v>15034</v>
      </c>
      <c r="BT785" t="str">
        <f>HYPERLINK("https%3A%2F%2Fwww.webofscience.com%2Fwos%2Fwoscc%2Ffull-record%2FWOS:000326230200007","View Full Record in Web of Science")</f>
        <v>View Full Record in Web of Science</v>
      </c>
    </row>
    <row r="786" spans="1:72" x14ac:dyDescent="0.15">
      <c r="A786" t="s">
        <v>72</v>
      </c>
      <c r="B786" t="s">
        <v>15035</v>
      </c>
      <c r="C786" t="s">
        <v>74</v>
      </c>
      <c r="D786" t="s">
        <v>74</v>
      </c>
      <c r="E786" t="s">
        <v>74</v>
      </c>
      <c r="F786" t="s">
        <v>15036</v>
      </c>
      <c r="G786" t="s">
        <v>74</v>
      </c>
      <c r="H786" t="s">
        <v>74</v>
      </c>
      <c r="I786" t="s">
        <v>15037</v>
      </c>
      <c r="J786" t="s">
        <v>1595</v>
      </c>
      <c r="K786" t="s">
        <v>74</v>
      </c>
      <c r="L786" t="s">
        <v>74</v>
      </c>
      <c r="M786" t="s">
        <v>78</v>
      </c>
      <c r="N786" t="s">
        <v>79</v>
      </c>
      <c r="O786" t="s">
        <v>74</v>
      </c>
      <c r="P786" t="s">
        <v>74</v>
      </c>
      <c r="Q786" t="s">
        <v>74</v>
      </c>
      <c r="R786" t="s">
        <v>74</v>
      </c>
      <c r="S786" t="s">
        <v>74</v>
      </c>
      <c r="T786" t="s">
        <v>15038</v>
      </c>
      <c r="U786" t="s">
        <v>15039</v>
      </c>
      <c r="V786" t="s">
        <v>15040</v>
      </c>
      <c r="W786" t="s">
        <v>15041</v>
      </c>
      <c r="X786" t="s">
        <v>15042</v>
      </c>
      <c r="Y786" t="s">
        <v>15043</v>
      </c>
      <c r="Z786" t="s">
        <v>15044</v>
      </c>
      <c r="AA786" t="s">
        <v>15045</v>
      </c>
      <c r="AB786" t="s">
        <v>15046</v>
      </c>
      <c r="AC786" t="s">
        <v>15047</v>
      </c>
      <c r="AD786" t="s">
        <v>15048</v>
      </c>
      <c r="AE786" t="s">
        <v>15049</v>
      </c>
      <c r="AF786" t="s">
        <v>74</v>
      </c>
      <c r="AG786">
        <v>52</v>
      </c>
      <c r="AH786">
        <v>86</v>
      </c>
      <c r="AI786">
        <v>98</v>
      </c>
      <c r="AJ786">
        <v>1</v>
      </c>
      <c r="AK786">
        <v>33</v>
      </c>
      <c r="AL786" t="s">
        <v>1606</v>
      </c>
      <c r="AM786" t="s">
        <v>808</v>
      </c>
      <c r="AN786" t="s">
        <v>1607</v>
      </c>
      <c r="AO786" t="s">
        <v>1608</v>
      </c>
      <c r="AP786" t="s">
        <v>1609</v>
      </c>
      <c r="AQ786" t="s">
        <v>74</v>
      </c>
      <c r="AR786" t="s">
        <v>1610</v>
      </c>
      <c r="AS786" t="s">
        <v>1611</v>
      </c>
      <c r="AT786" t="s">
        <v>14663</v>
      </c>
      <c r="AU786">
        <v>2013</v>
      </c>
      <c r="AV786">
        <v>118</v>
      </c>
      <c r="AW786">
        <v>9</v>
      </c>
      <c r="AX786" t="s">
        <v>74</v>
      </c>
      <c r="AY786" t="s">
        <v>74</v>
      </c>
      <c r="AZ786" t="s">
        <v>74</v>
      </c>
      <c r="BA786" t="s">
        <v>74</v>
      </c>
      <c r="BB786">
        <v>4228</v>
      </c>
      <c r="BC786">
        <v>4240</v>
      </c>
      <c r="BD786" t="s">
        <v>74</v>
      </c>
      <c r="BE786" t="s">
        <v>15050</v>
      </c>
      <c r="BF786" t="str">
        <f>HYPERLINK("http://dx.doi.org/10.1002/jgrc.20307","http://dx.doi.org/10.1002/jgrc.20307")</f>
        <v>http://dx.doi.org/10.1002/jgrc.20307</v>
      </c>
      <c r="BG786" t="s">
        <v>74</v>
      </c>
      <c r="BH786" t="s">
        <v>74</v>
      </c>
      <c r="BI786">
        <v>13</v>
      </c>
      <c r="BJ786" t="s">
        <v>1613</v>
      </c>
      <c r="BK786" t="s">
        <v>99</v>
      </c>
      <c r="BL786" t="s">
        <v>1613</v>
      </c>
      <c r="BM786" t="s">
        <v>15033</v>
      </c>
      <c r="BN786" t="s">
        <v>74</v>
      </c>
      <c r="BO786" t="s">
        <v>1381</v>
      </c>
      <c r="BP786" t="s">
        <v>74</v>
      </c>
      <c r="BQ786" t="s">
        <v>74</v>
      </c>
      <c r="BR786" t="s">
        <v>103</v>
      </c>
      <c r="BS786" t="s">
        <v>15051</v>
      </c>
      <c r="BT786" t="str">
        <f>HYPERLINK("https%3A%2F%2Fwww.webofscience.com%2Fwos%2Fwoscc%2Ffull-record%2FWOS:000326230200016","View Full Record in Web of Science")</f>
        <v>View Full Record in Web of Science</v>
      </c>
    </row>
    <row r="787" spans="1:72" x14ac:dyDescent="0.15">
      <c r="A787" t="s">
        <v>72</v>
      </c>
      <c r="B787" t="s">
        <v>15052</v>
      </c>
      <c r="C787" t="s">
        <v>74</v>
      </c>
      <c r="D787" t="s">
        <v>74</v>
      </c>
      <c r="E787" t="s">
        <v>74</v>
      </c>
      <c r="F787" t="s">
        <v>15053</v>
      </c>
      <c r="G787" t="s">
        <v>74</v>
      </c>
      <c r="H787" t="s">
        <v>74</v>
      </c>
      <c r="I787" t="s">
        <v>15054</v>
      </c>
      <c r="J787" t="s">
        <v>1595</v>
      </c>
      <c r="K787" t="s">
        <v>74</v>
      </c>
      <c r="L787" t="s">
        <v>74</v>
      </c>
      <c r="M787" t="s">
        <v>78</v>
      </c>
      <c r="N787" t="s">
        <v>79</v>
      </c>
      <c r="O787" t="s">
        <v>74</v>
      </c>
      <c r="P787" t="s">
        <v>74</v>
      </c>
      <c r="Q787" t="s">
        <v>74</v>
      </c>
      <c r="R787" t="s">
        <v>74</v>
      </c>
      <c r="S787" t="s">
        <v>74</v>
      </c>
      <c r="T787" t="s">
        <v>15055</v>
      </c>
      <c r="U787" t="s">
        <v>15056</v>
      </c>
      <c r="V787" t="s">
        <v>15057</v>
      </c>
      <c r="W787" t="s">
        <v>15058</v>
      </c>
      <c r="X787" t="s">
        <v>15059</v>
      </c>
      <c r="Y787" t="s">
        <v>15060</v>
      </c>
      <c r="Z787" t="s">
        <v>15061</v>
      </c>
      <c r="AA787" t="s">
        <v>15062</v>
      </c>
      <c r="AB787" t="s">
        <v>15063</v>
      </c>
      <c r="AC787" t="s">
        <v>15064</v>
      </c>
      <c r="AD787" t="s">
        <v>15065</v>
      </c>
      <c r="AE787" t="s">
        <v>15066</v>
      </c>
      <c r="AF787" t="s">
        <v>74</v>
      </c>
      <c r="AG787">
        <v>34</v>
      </c>
      <c r="AH787">
        <v>27</v>
      </c>
      <c r="AI787">
        <v>28</v>
      </c>
      <c r="AJ787">
        <v>0</v>
      </c>
      <c r="AK787">
        <v>3</v>
      </c>
      <c r="AL787" t="s">
        <v>1606</v>
      </c>
      <c r="AM787" t="s">
        <v>808</v>
      </c>
      <c r="AN787" t="s">
        <v>1607</v>
      </c>
      <c r="AO787" t="s">
        <v>1608</v>
      </c>
      <c r="AP787" t="s">
        <v>1609</v>
      </c>
      <c r="AQ787" t="s">
        <v>74</v>
      </c>
      <c r="AR787" t="s">
        <v>1610</v>
      </c>
      <c r="AS787" t="s">
        <v>1611</v>
      </c>
      <c r="AT787" t="s">
        <v>14663</v>
      </c>
      <c r="AU787">
        <v>2013</v>
      </c>
      <c r="AV787">
        <v>118</v>
      </c>
      <c r="AW787">
        <v>9</v>
      </c>
      <c r="AX787" t="s">
        <v>74</v>
      </c>
      <c r="AY787" t="s">
        <v>74</v>
      </c>
      <c r="AZ787" t="s">
        <v>74</v>
      </c>
      <c r="BA787" t="s">
        <v>74</v>
      </c>
      <c r="BB787">
        <v>4256</v>
      </c>
      <c r="BC787">
        <v>4272</v>
      </c>
      <c r="BD787" t="s">
        <v>74</v>
      </c>
      <c r="BE787" t="s">
        <v>15067</v>
      </c>
      <c r="BF787" t="str">
        <f>HYPERLINK("http://dx.doi.org/10.1002/jgrc.20309","http://dx.doi.org/10.1002/jgrc.20309")</f>
        <v>http://dx.doi.org/10.1002/jgrc.20309</v>
      </c>
      <c r="BG787" t="s">
        <v>74</v>
      </c>
      <c r="BH787" t="s">
        <v>74</v>
      </c>
      <c r="BI787">
        <v>17</v>
      </c>
      <c r="BJ787" t="s">
        <v>1613</v>
      </c>
      <c r="BK787" t="s">
        <v>99</v>
      </c>
      <c r="BL787" t="s">
        <v>1613</v>
      </c>
      <c r="BM787" t="s">
        <v>15033</v>
      </c>
      <c r="BN787" t="s">
        <v>74</v>
      </c>
      <c r="BO787" t="s">
        <v>475</v>
      </c>
      <c r="BP787" t="s">
        <v>74</v>
      </c>
      <c r="BQ787" t="s">
        <v>74</v>
      </c>
      <c r="BR787" t="s">
        <v>103</v>
      </c>
      <c r="BS787" t="s">
        <v>15068</v>
      </c>
      <c r="BT787" t="str">
        <f>HYPERLINK("https%3A%2F%2Fwww.webofscience.com%2Fwos%2Fwoscc%2Ffull-record%2FWOS:000326230200018","View Full Record in Web of Science")</f>
        <v>View Full Record in Web of Science</v>
      </c>
    </row>
    <row r="788" spans="1:72" x14ac:dyDescent="0.15">
      <c r="A788" t="s">
        <v>72</v>
      </c>
      <c r="B788" t="s">
        <v>15069</v>
      </c>
      <c r="C788" t="s">
        <v>74</v>
      </c>
      <c r="D788" t="s">
        <v>74</v>
      </c>
      <c r="E788" t="s">
        <v>74</v>
      </c>
      <c r="F788" t="s">
        <v>15070</v>
      </c>
      <c r="G788" t="s">
        <v>74</v>
      </c>
      <c r="H788" t="s">
        <v>74</v>
      </c>
      <c r="I788" t="s">
        <v>15071</v>
      </c>
      <c r="J788" t="s">
        <v>1595</v>
      </c>
      <c r="K788" t="s">
        <v>74</v>
      </c>
      <c r="L788" t="s">
        <v>74</v>
      </c>
      <c r="M788" t="s">
        <v>78</v>
      </c>
      <c r="N788" t="s">
        <v>79</v>
      </c>
      <c r="O788" t="s">
        <v>74</v>
      </c>
      <c r="P788" t="s">
        <v>74</v>
      </c>
      <c r="Q788" t="s">
        <v>74</v>
      </c>
      <c r="R788" t="s">
        <v>74</v>
      </c>
      <c r="S788" t="s">
        <v>74</v>
      </c>
      <c r="T788" t="s">
        <v>15072</v>
      </c>
      <c r="U788" t="s">
        <v>15073</v>
      </c>
      <c r="V788" t="s">
        <v>15074</v>
      </c>
      <c r="W788" t="s">
        <v>15075</v>
      </c>
      <c r="X788" t="s">
        <v>15076</v>
      </c>
      <c r="Y788" t="s">
        <v>15077</v>
      </c>
      <c r="Z788" t="s">
        <v>15078</v>
      </c>
      <c r="AA788" t="s">
        <v>15079</v>
      </c>
      <c r="AB788" t="s">
        <v>15080</v>
      </c>
      <c r="AC788" t="s">
        <v>15081</v>
      </c>
      <c r="AD788" t="s">
        <v>15082</v>
      </c>
      <c r="AE788" t="s">
        <v>15083</v>
      </c>
      <c r="AF788" t="s">
        <v>74</v>
      </c>
      <c r="AG788">
        <v>45</v>
      </c>
      <c r="AH788">
        <v>11</v>
      </c>
      <c r="AI788">
        <v>14</v>
      </c>
      <c r="AJ788">
        <v>3</v>
      </c>
      <c r="AK788">
        <v>21</v>
      </c>
      <c r="AL788" t="s">
        <v>1606</v>
      </c>
      <c r="AM788" t="s">
        <v>808</v>
      </c>
      <c r="AN788" t="s">
        <v>1607</v>
      </c>
      <c r="AO788" t="s">
        <v>1608</v>
      </c>
      <c r="AP788" t="s">
        <v>1609</v>
      </c>
      <c r="AQ788" t="s">
        <v>74</v>
      </c>
      <c r="AR788" t="s">
        <v>1610</v>
      </c>
      <c r="AS788" t="s">
        <v>1611</v>
      </c>
      <c r="AT788" t="s">
        <v>14663</v>
      </c>
      <c r="AU788">
        <v>2013</v>
      </c>
      <c r="AV788">
        <v>118</v>
      </c>
      <c r="AW788">
        <v>9</v>
      </c>
      <c r="AX788" t="s">
        <v>74</v>
      </c>
      <c r="AY788" t="s">
        <v>74</v>
      </c>
      <c r="AZ788" t="s">
        <v>74</v>
      </c>
      <c r="BA788" t="s">
        <v>74</v>
      </c>
      <c r="BB788">
        <v>4409</v>
      </c>
      <c r="BC788">
        <v>4423</v>
      </c>
      <c r="BD788" t="s">
        <v>74</v>
      </c>
      <c r="BE788" t="s">
        <v>15084</v>
      </c>
      <c r="BF788" t="str">
        <f>HYPERLINK("http://dx.doi.org/10.1002/jgrc.20315","http://dx.doi.org/10.1002/jgrc.20315")</f>
        <v>http://dx.doi.org/10.1002/jgrc.20315</v>
      </c>
      <c r="BG788" t="s">
        <v>74</v>
      </c>
      <c r="BH788" t="s">
        <v>74</v>
      </c>
      <c r="BI788">
        <v>15</v>
      </c>
      <c r="BJ788" t="s">
        <v>1613</v>
      </c>
      <c r="BK788" t="s">
        <v>99</v>
      </c>
      <c r="BL788" t="s">
        <v>1613</v>
      </c>
      <c r="BM788" t="s">
        <v>15033</v>
      </c>
      <c r="BN788" t="s">
        <v>74</v>
      </c>
      <c r="BO788" t="s">
        <v>1381</v>
      </c>
      <c r="BP788" t="s">
        <v>74</v>
      </c>
      <c r="BQ788" t="s">
        <v>74</v>
      </c>
      <c r="BR788" t="s">
        <v>103</v>
      </c>
      <c r="BS788" t="s">
        <v>15085</v>
      </c>
      <c r="BT788" t="str">
        <f>HYPERLINK("https%3A%2F%2Fwww.webofscience.com%2Fwos%2Fwoscc%2Ffull-record%2FWOS:000326230200028","View Full Record in Web of Science")</f>
        <v>View Full Record in Web of Science</v>
      </c>
    </row>
    <row r="789" spans="1:72" x14ac:dyDescent="0.15">
      <c r="A789" t="s">
        <v>72</v>
      </c>
      <c r="B789" t="s">
        <v>15086</v>
      </c>
      <c r="C789" t="s">
        <v>74</v>
      </c>
      <c r="D789" t="s">
        <v>74</v>
      </c>
      <c r="E789" t="s">
        <v>74</v>
      </c>
      <c r="F789" t="s">
        <v>15087</v>
      </c>
      <c r="G789" t="s">
        <v>74</v>
      </c>
      <c r="H789" t="s">
        <v>74</v>
      </c>
      <c r="I789" t="s">
        <v>15088</v>
      </c>
      <c r="J789" t="s">
        <v>5288</v>
      </c>
      <c r="K789" t="s">
        <v>74</v>
      </c>
      <c r="L789" t="s">
        <v>74</v>
      </c>
      <c r="M789" t="s">
        <v>78</v>
      </c>
      <c r="N789" t="s">
        <v>79</v>
      </c>
      <c r="O789" t="s">
        <v>74</v>
      </c>
      <c r="P789" t="s">
        <v>74</v>
      </c>
      <c r="Q789" t="s">
        <v>74</v>
      </c>
      <c r="R789" t="s">
        <v>74</v>
      </c>
      <c r="S789" t="s">
        <v>74</v>
      </c>
      <c r="T789" t="s">
        <v>15089</v>
      </c>
      <c r="U789" t="s">
        <v>15090</v>
      </c>
      <c r="V789" t="s">
        <v>15091</v>
      </c>
      <c r="W789" t="s">
        <v>15092</v>
      </c>
      <c r="X789" t="s">
        <v>15093</v>
      </c>
      <c r="Y789" t="s">
        <v>15094</v>
      </c>
      <c r="Z789" t="s">
        <v>15095</v>
      </c>
      <c r="AA789" t="s">
        <v>15096</v>
      </c>
      <c r="AB789" t="s">
        <v>15097</v>
      </c>
      <c r="AC789" t="s">
        <v>15098</v>
      </c>
      <c r="AD789" t="s">
        <v>15098</v>
      </c>
      <c r="AE789" t="s">
        <v>15099</v>
      </c>
      <c r="AF789" t="s">
        <v>74</v>
      </c>
      <c r="AG789">
        <v>37</v>
      </c>
      <c r="AH789">
        <v>7</v>
      </c>
      <c r="AI789">
        <v>7</v>
      </c>
      <c r="AJ789">
        <v>0</v>
      </c>
      <c r="AK789">
        <v>11</v>
      </c>
      <c r="AL789" t="s">
        <v>5299</v>
      </c>
      <c r="AM789" t="s">
        <v>4060</v>
      </c>
      <c r="AN789" t="s">
        <v>5300</v>
      </c>
      <c r="AO789" t="s">
        <v>5301</v>
      </c>
      <c r="AP789" t="s">
        <v>5302</v>
      </c>
      <c r="AQ789" t="s">
        <v>74</v>
      </c>
      <c r="AR789" t="s">
        <v>5303</v>
      </c>
      <c r="AS789" t="s">
        <v>5304</v>
      </c>
      <c r="AT789" t="s">
        <v>14663</v>
      </c>
      <c r="AU789">
        <v>2013</v>
      </c>
      <c r="AV789">
        <v>58</v>
      </c>
      <c r="AW789">
        <v>3</v>
      </c>
      <c r="AX789" t="s">
        <v>74</v>
      </c>
      <c r="AY789" t="s">
        <v>74</v>
      </c>
      <c r="AZ789" t="s">
        <v>74</v>
      </c>
      <c r="BA789" t="s">
        <v>74</v>
      </c>
      <c r="BB789">
        <v>445</v>
      </c>
      <c r="BC789">
        <v>452</v>
      </c>
      <c r="BD789" t="s">
        <v>74</v>
      </c>
      <c r="BE789" t="s">
        <v>15100</v>
      </c>
      <c r="BF789" t="str">
        <f>HYPERLINK("http://dx.doi.org/10.4202/app.2011.0097","http://dx.doi.org/10.4202/app.2011.0097")</f>
        <v>http://dx.doi.org/10.4202/app.2011.0097</v>
      </c>
      <c r="BG789" t="s">
        <v>74</v>
      </c>
      <c r="BH789" t="s">
        <v>74</v>
      </c>
      <c r="BI789">
        <v>8</v>
      </c>
      <c r="BJ789" t="s">
        <v>2061</v>
      </c>
      <c r="BK789" t="s">
        <v>99</v>
      </c>
      <c r="BL789" t="s">
        <v>2061</v>
      </c>
      <c r="BM789" t="s">
        <v>15101</v>
      </c>
      <c r="BN789" t="s">
        <v>74</v>
      </c>
      <c r="BO789" t="s">
        <v>699</v>
      </c>
      <c r="BP789" t="s">
        <v>74</v>
      </c>
      <c r="BQ789" t="s">
        <v>74</v>
      </c>
      <c r="BR789" t="s">
        <v>103</v>
      </c>
      <c r="BS789" t="s">
        <v>15102</v>
      </c>
      <c r="BT789" t="str">
        <f>HYPERLINK("https%3A%2F%2Fwww.webofscience.com%2Fwos%2Fwoscc%2Ffull-record%2FWOS:000325446100001","View Full Record in Web of Science")</f>
        <v>View Full Record in Web of Science</v>
      </c>
    </row>
    <row r="790" spans="1:72" x14ac:dyDescent="0.15">
      <c r="A790" t="s">
        <v>72</v>
      </c>
      <c r="B790" t="s">
        <v>15103</v>
      </c>
      <c r="C790" t="s">
        <v>74</v>
      </c>
      <c r="D790" t="s">
        <v>74</v>
      </c>
      <c r="E790" t="s">
        <v>74</v>
      </c>
      <c r="F790" t="s">
        <v>15104</v>
      </c>
      <c r="G790" t="s">
        <v>74</v>
      </c>
      <c r="H790" t="s">
        <v>74</v>
      </c>
      <c r="I790" t="s">
        <v>15105</v>
      </c>
      <c r="J790" t="s">
        <v>15106</v>
      </c>
      <c r="K790" t="s">
        <v>74</v>
      </c>
      <c r="L790" t="s">
        <v>74</v>
      </c>
      <c r="M790" t="s">
        <v>78</v>
      </c>
      <c r="N790" t="s">
        <v>79</v>
      </c>
      <c r="O790" t="s">
        <v>74</v>
      </c>
      <c r="P790" t="s">
        <v>74</v>
      </c>
      <c r="Q790" t="s">
        <v>74</v>
      </c>
      <c r="R790" t="s">
        <v>74</v>
      </c>
      <c r="S790" t="s">
        <v>74</v>
      </c>
      <c r="T790" t="s">
        <v>15107</v>
      </c>
      <c r="U790" t="s">
        <v>74</v>
      </c>
      <c r="V790" t="s">
        <v>15108</v>
      </c>
      <c r="W790" t="s">
        <v>15109</v>
      </c>
      <c r="X790" t="s">
        <v>15110</v>
      </c>
      <c r="Y790" t="s">
        <v>15111</v>
      </c>
      <c r="Z790" t="s">
        <v>15112</v>
      </c>
      <c r="AA790" t="s">
        <v>74</v>
      </c>
      <c r="AB790" t="s">
        <v>74</v>
      </c>
      <c r="AC790" t="s">
        <v>74</v>
      </c>
      <c r="AD790" t="s">
        <v>74</v>
      </c>
      <c r="AE790" t="s">
        <v>74</v>
      </c>
      <c r="AF790" t="s">
        <v>74</v>
      </c>
      <c r="AG790">
        <v>2</v>
      </c>
      <c r="AH790">
        <v>0</v>
      </c>
      <c r="AI790">
        <v>0</v>
      </c>
      <c r="AJ790">
        <v>0</v>
      </c>
      <c r="AK790">
        <v>2</v>
      </c>
      <c r="AL790" t="s">
        <v>15113</v>
      </c>
      <c r="AM790" t="s">
        <v>921</v>
      </c>
      <c r="AN790" t="s">
        <v>15114</v>
      </c>
      <c r="AO790" t="s">
        <v>15115</v>
      </c>
      <c r="AP790" t="s">
        <v>15116</v>
      </c>
      <c r="AQ790" t="s">
        <v>74</v>
      </c>
      <c r="AR790" t="s">
        <v>15117</v>
      </c>
      <c r="AS790" t="s">
        <v>15118</v>
      </c>
      <c r="AT790" t="s">
        <v>14663</v>
      </c>
      <c r="AU790">
        <v>2013</v>
      </c>
      <c r="AV790">
        <v>40</v>
      </c>
      <c r="AW790">
        <v>9</v>
      </c>
      <c r="AX790" t="s">
        <v>74</v>
      </c>
      <c r="AY790" t="s">
        <v>74</v>
      </c>
      <c r="AZ790" t="s">
        <v>74</v>
      </c>
      <c r="BA790" t="s">
        <v>74</v>
      </c>
      <c r="BB790">
        <v>251</v>
      </c>
      <c r="BC790">
        <v>254</v>
      </c>
      <c r="BD790" t="s">
        <v>74</v>
      </c>
      <c r="BE790" t="s">
        <v>15119</v>
      </c>
      <c r="BF790" t="str">
        <f>HYPERLINK("http://dx.doi.org/10.3103/S1068335613090029","http://dx.doi.org/10.3103/S1068335613090029")</f>
        <v>http://dx.doi.org/10.3103/S1068335613090029</v>
      </c>
      <c r="BG790" t="s">
        <v>74</v>
      </c>
      <c r="BH790" t="s">
        <v>74</v>
      </c>
      <c r="BI790">
        <v>4</v>
      </c>
      <c r="BJ790" t="s">
        <v>721</v>
      </c>
      <c r="BK790" t="s">
        <v>99</v>
      </c>
      <c r="BL790" t="s">
        <v>722</v>
      </c>
      <c r="BM790" t="s">
        <v>15120</v>
      </c>
      <c r="BN790" t="s">
        <v>74</v>
      </c>
      <c r="BO790" t="s">
        <v>74</v>
      </c>
      <c r="BP790" t="s">
        <v>74</v>
      </c>
      <c r="BQ790" t="s">
        <v>74</v>
      </c>
      <c r="BR790" t="s">
        <v>103</v>
      </c>
      <c r="BS790" t="s">
        <v>15121</v>
      </c>
      <c r="BT790" t="str">
        <f>HYPERLINK("https%3A%2F%2Fwww.webofscience.com%2Fwos%2Fwoscc%2Ffull-record%2FWOS:000325611500002","View Full Record in Web of Science")</f>
        <v>View Full Record in Web of Science</v>
      </c>
    </row>
    <row r="791" spans="1:72" x14ac:dyDescent="0.15">
      <c r="A791" t="s">
        <v>72</v>
      </c>
      <c r="B791" t="s">
        <v>15122</v>
      </c>
      <c r="C791" t="s">
        <v>74</v>
      </c>
      <c r="D791" t="s">
        <v>74</v>
      </c>
      <c r="E791" t="s">
        <v>74</v>
      </c>
      <c r="F791" t="s">
        <v>15123</v>
      </c>
      <c r="G791" t="s">
        <v>74</v>
      </c>
      <c r="H791" t="s">
        <v>74</v>
      </c>
      <c r="I791" t="s">
        <v>15124</v>
      </c>
      <c r="J791" t="s">
        <v>5545</v>
      </c>
      <c r="K791" t="s">
        <v>74</v>
      </c>
      <c r="L791" t="s">
        <v>74</v>
      </c>
      <c r="M791" t="s">
        <v>78</v>
      </c>
      <c r="N791" t="s">
        <v>79</v>
      </c>
      <c r="O791" t="s">
        <v>74</v>
      </c>
      <c r="P791" t="s">
        <v>74</v>
      </c>
      <c r="Q791" t="s">
        <v>74</v>
      </c>
      <c r="R791" t="s">
        <v>74</v>
      </c>
      <c r="S791" t="s">
        <v>74</v>
      </c>
      <c r="T791" t="s">
        <v>74</v>
      </c>
      <c r="U791" t="s">
        <v>74</v>
      </c>
      <c r="V791" t="s">
        <v>15125</v>
      </c>
      <c r="W791" t="s">
        <v>15126</v>
      </c>
      <c r="X791" t="s">
        <v>15127</v>
      </c>
      <c r="Y791" t="s">
        <v>15128</v>
      </c>
      <c r="Z791" t="s">
        <v>74</v>
      </c>
      <c r="AA791" t="s">
        <v>15129</v>
      </c>
      <c r="AB791" t="s">
        <v>15130</v>
      </c>
      <c r="AC791" t="s">
        <v>15131</v>
      </c>
      <c r="AD791" t="s">
        <v>15132</v>
      </c>
      <c r="AE791" t="s">
        <v>15133</v>
      </c>
      <c r="AF791" t="s">
        <v>74</v>
      </c>
      <c r="AG791">
        <v>9</v>
      </c>
      <c r="AH791">
        <v>1</v>
      </c>
      <c r="AI791">
        <v>1</v>
      </c>
      <c r="AJ791">
        <v>0</v>
      </c>
      <c r="AK791">
        <v>6</v>
      </c>
      <c r="AL791" t="s">
        <v>920</v>
      </c>
      <c r="AM791" t="s">
        <v>921</v>
      </c>
      <c r="AN791" t="s">
        <v>922</v>
      </c>
      <c r="AO791" t="s">
        <v>5556</v>
      </c>
      <c r="AP791" t="s">
        <v>5557</v>
      </c>
      <c r="AQ791" t="s">
        <v>74</v>
      </c>
      <c r="AR791" t="s">
        <v>5558</v>
      </c>
      <c r="AS791" t="s">
        <v>5559</v>
      </c>
      <c r="AT791" t="s">
        <v>14663</v>
      </c>
      <c r="AU791">
        <v>2013</v>
      </c>
      <c r="AV791">
        <v>452</v>
      </c>
      <c r="AW791">
        <v>1</v>
      </c>
      <c r="AX791" t="s">
        <v>74</v>
      </c>
      <c r="AY791" t="s">
        <v>74</v>
      </c>
      <c r="AZ791" t="s">
        <v>74</v>
      </c>
      <c r="BA791" t="s">
        <v>74</v>
      </c>
      <c r="BB791">
        <v>979</v>
      </c>
      <c r="BC791">
        <v>982</v>
      </c>
      <c r="BD791" t="s">
        <v>74</v>
      </c>
      <c r="BE791" t="s">
        <v>15134</v>
      </c>
      <c r="BF791" t="str">
        <f>HYPERLINK("http://dx.doi.org/10.1134/S1028334X13090146","http://dx.doi.org/10.1134/S1028334X13090146")</f>
        <v>http://dx.doi.org/10.1134/S1028334X13090146</v>
      </c>
      <c r="BG791" t="s">
        <v>74</v>
      </c>
      <c r="BH791" t="s">
        <v>74</v>
      </c>
      <c r="BI791">
        <v>4</v>
      </c>
      <c r="BJ791" t="s">
        <v>337</v>
      </c>
      <c r="BK791" t="s">
        <v>99</v>
      </c>
      <c r="BL791" t="s">
        <v>338</v>
      </c>
      <c r="BM791" t="s">
        <v>15135</v>
      </c>
      <c r="BN791" t="s">
        <v>74</v>
      </c>
      <c r="BO791" t="s">
        <v>74</v>
      </c>
      <c r="BP791" t="s">
        <v>74</v>
      </c>
      <c r="BQ791" t="s">
        <v>74</v>
      </c>
      <c r="BR791" t="s">
        <v>103</v>
      </c>
      <c r="BS791" t="s">
        <v>15136</v>
      </c>
      <c r="BT791" t="str">
        <f>HYPERLINK("https%3A%2F%2Fwww.webofscience.com%2Fwos%2Fwoscc%2Ffull-record%2FWOS:000325629000021","View Full Record in Web of Science")</f>
        <v>View Full Record in Web of Science</v>
      </c>
    </row>
    <row r="792" spans="1:72" x14ac:dyDescent="0.15">
      <c r="A792" t="s">
        <v>72</v>
      </c>
      <c r="B792" t="s">
        <v>15137</v>
      </c>
      <c r="C792" t="s">
        <v>74</v>
      </c>
      <c r="D792" t="s">
        <v>74</v>
      </c>
      <c r="E792" t="s">
        <v>74</v>
      </c>
      <c r="F792" t="s">
        <v>15138</v>
      </c>
      <c r="G792" t="s">
        <v>74</v>
      </c>
      <c r="H792" t="s">
        <v>74</v>
      </c>
      <c r="I792" t="s">
        <v>15139</v>
      </c>
      <c r="J792" t="s">
        <v>5360</v>
      </c>
      <c r="K792" t="s">
        <v>74</v>
      </c>
      <c r="L792" t="s">
        <v>74</v>
      </c>
      <c r="M792" t="s">
        <v>78</v>
      </c>
      <c r="N792" t="s">
        <v>213</v>
      </c>
      <c r="O792" t="s">
        <v>74</v>
      </c>
      <c r="P792" t="s">
        <v>74</v>
      </c>
      <c r="Q792" t="s">
        <v>74</v>
      </c>
      <c r="R792" t="s">
        <v>74</v>
      </c>
      <c r="S792" t="s">
        <v>74</v>
      </c>
      <c r="T792" t="s">
        <v>15140</v>
      </c>
      <c r="U792" t="s">
        <v>15141</v>
      </c>
      <c r="V792" t="s">
        <v>15142</v>
      </c>
      <c r="W792" t="s">
        <v>15143</v>
      </c>
      <c r="X792" t="s">
        <v>15144</v>
      </c>
      <c r="Y792" t="s">
        <v>15145</v>
      </c>
      <c r="Z792" t="s">
        <v>15146</v>
      </c>
      <c r="AA792" t="s">
        <v>15147</v>
      </c>
      <c r="AB792" t="s">
        <v>15148</v>
      </c>
      <c r="AC792" t="s">
        <v>15149</v>
      </c>
      <c r="AD792" t="s">
        <v>15150</v>
      </c>
      <c r="AE792" t="s">
        <v>15151</v>
      </c>
      <c r="AF792" t="s">
        <v>74</v>
      </c>
      <c r="AG792">
        <v>127</v>
      </c>
      <c r="AH792">
        <v>17</v>
      </c>
      <c r="AI792">
        <v>18</v>
      </c>
      <c r="AJ792">
        <v>3</v>
      </c>
      <c r="AK792">
        <v>61</v>
      </c>
      <c r="AL792" t="s">
        <v>1606</v>
      </c>
      <c r="AM792" t="s">
        <v>808</v>
      </c>
      <c r="AN792" t="s">
        <v>1607</v>
      </c>
      <c r="AO792" t="s">
        <v>5373</v>
      </c>
      <c r="AP792" t="s">
        <v>5374</v>
      </c>
      <c r="AQ792" t="s">
        <v>74</v>
      </c>
      <c r="AR792" t="s">
        <v>5375</v>
      </c>
      <c r="AS792" t="s">
        <v>5376</v>
      </c>
      <c r="AT792" t="s">
        <v>14663</v>
      </c>
      <c r="AU792">
        <v>2013</v>
      </c>
      <c r="AV792">
        <v>27</v>
      </c>
      <c r="AW792">
        <v>3</v>
      </c>
      <c r="AX792" t="s">
        <v>74</v>
      </c>
      <c r="AY792" t="s">
        <v>74</v>
      </c>
      <c r="AZ792" t="s">
        <v>74</v>
      </c>
      <c r="BA792" t="s">
        <v>74</v>
      </c>
      <c r="BB792">
        <v>692</v>
      </c>
      <c r="BC792">
        <v>704</v>
      </c>
      <c r="BD792" t="s">
        <v>74</v>
      </c>
      <c r="BE792" t="s">
        <v>15152</v>
      </c>
      <c r="BF792" t="str">
        <f>HYPERLINK("http://dx.doi.org/10.1002/gbc.20060","http://dx.doi.org/10.1002/gbc.20060")</f>
        <v>http://dx.doi.org/10.1002/gbc.20060</v>
      </c>
      <c r="BG792" t="s">
        <v>74</v>
      </c>
      <c r="BH792" t="s">
        <v>74</v>
      </c>
      <c r="BI792">
        <v>13</v>
      </c>
      <c r="BJ792" t="s">
        <v>5378</v>
      </c>
      <c r="BK792" t="s">
        <v>99</v>
      </c>
      <c r="BL792" t="s">
        <v>5379</v>
      </c>
      <c r="BM792" t="s">
        <v>15153</v>
      </c>
      <c r="BN792" t="s">
        <v>74</v>
      </c>
      <c r="BO792" t="s">
        <v>1648</v>
      </c>
      <c r="BP792" t="s">
        <v>74</v>
      </c>
      <c r="BQ792" t="s">
        <v>74</v>
      </c>
      <c r="BR792" t="s">
        <v>103</v>
      </c>
      <c r="BS792" t="s">
        <v>15154</v>
      </c>
      <c r="BT792" t="str">
        <f>HYPERLINK("https%3A%2F%2Fwww.webofscience.com%2Fwos%2Fwoscc%2Ffull-record%2FWOS:000325488600007","View Full Record in Web of Science")</f>
        <v>View Full Record in Web of Science</v>
      </c>
    </row>
    <row r="793" spans="1:72" x14ac:dyDescent="0.15">
      <c r="A793" t="s">
        <v>72</v>
      </c>
      <c r="B793" t="s">
        <v>15155</v>
      </c>
      <c r="C793" t="s">
        <v>74</v>
      </c>
      <c r="D793" t="s">
        <v>74</v>
      </c>
      <c r="E793" t="s">
        <v>74</v>
      </c>
      <c r="F793" t="s">
        <v>15156</v>
      </c>
      <c r="G793" t="s">
        <v>74</v>
      </c>
      <c r="H793" t="s">
        <v>74</v>
      </c>
      <c r="I793" t="s">
        <v>15157</v>
      </c>
      <c r="J793" t="s">
        <v>5360</v>
      </c>
      <c r="K793" t="s">
        <v>74</v>
      </c>
      <c r="L793" t="s">
        <v>74</v>
      </c>
      <c r="M793" t="s">
        <v>78</v>
      </c>
      <c r="N793" t="s">
        <v>79</v>
      </c>
      <c r="O793" t="s">
        <v>74</v>
      </c>
      <c r="P793" t="s">
        <v>74</v>
      </c>
      <c r="Q793" t="s">
        <v>74</v>
      </c>
      <c r="R793" t="s">
        <v>74</v>
      </c>
      <c r="S793" t="s">
        <v>74</v>
      </c>
      <c r="T793" t="s">
        <v>15158</v>
      </c>
      <c r="U793" t="s">
        <v>15159</v>
      </c>
      <c r="V793" t="s">
        <v>15160</v>
      </c>
      <c r="W793" t="s">
        <v>15161</v>
      </c>
      <c r="X793" t="s">
        <v>15162</v>
      </c>
      <c r="Y793" t="s">
        <v>15163</v>
      </c>
      <c r="Z793" t="s">
        <v>15164</v>
      </c>
      <c r="AA793" t="s">
        <v>15165</v>
      </c>
      <c r="AB793" t="s">
        <v>15166</v>
      </c>
      <c r="AC793" t="s">
        <v>15167</v>
      </c>
      <c r="AD793" t="s">
        <v>15168</v>
      </c>
      <c r="AE793" t="s">
        <v>15169</v>
      </c>
      <c r="AF793" t="s">
        <v>74</v>
      </c>
      <c r="AG793">
        <v>60</v>
      </c>
      <c r="AH793">
        <v>41</v>
      </c>
      <c r="AI793">
        <v>42</v>
      </c>
      <c r="AJ793">
        <v>1</v>
      </c>
      <c r="AK793">
        <v>21</v>
      </c>
      <c r="AL793" t="s">
        <v>1606</v>
      </c>
      <c r="AM793" t="s">
        <v>808</v>
      </c>
      <c r="AN793" t="s">
        <v>1607</v>
      </c>
      <c r="AO793" t="s">
        <v>5373</v>
      </c>
      <c r="AP793" t="s">
        <v>5374</v>
      </c>
      <c r="AQ793" t="s">
        <v>74</v>
      </c>
      <c r="AR793" t="s">
        <v>5375</v>
      </c>
      <c r="AS793" t="s">
        <v>5376</v>
      </c>
      <c r="AT793" t="s">
        <v>14663</v>
      </c>
      <c r="AU793">
        <v>2013</v>
      </c>
      <c r="AV793">
        <v>27</v>
      </c>
      <c r="AW793">
        <v>3</v>
      </c>
      <c r="AX793" t="s">
        <v>74</v>
      </c>
      <c r="AY793" t="s">
        <v>74</v>
      </c>
      <c r="AZ793" t="s">
        <v>74</v>
      </c>
      <c r="BA793" t="s">
        <v>74</v>
      </c>
      <c r="BB793">
        <v>950</v>
      </c>
      <c r="BC793">
        <v>961</v>
      </c>
      <c r="BD793" t="s">
        <v>74</v>
      </c>
      <c r="BE793" t="s">
        <v>15170</v>
      </c>
      <c r="BF793" t="str">
        <f>HYPERLINK("http://dx.doi.org/10.1002/gbc.20090","http://dx.doi.org/10.1002/gbc.20090")</f>
        <v>http://dx.doi.org/10.1002/gbc.20090</v>
      </c>
      <c r="BG793" t="s">
        <v>74</v>
      </c>
      <c r="BH793" t="s">
        <v>74</v>
      </c>
      <c r="BI793">
        <v>12</v>
      </c>
      <c r="BJ793" t="s">
        <v>5378</v>
      </c>
      <c r="BK793" t="s">
        <v>99</v>
      </c>
      <c r="BL793" t="s">
        <v>5379</v>
      </c>
      <c r="BM793" t="s">
        <v>15153</v>
      </c>
      <c r="BN793" t="s">
        <v>74</v>
      </c>
      <c r="BO793" t="s">
        <v>4419</v>
      </c>
      <c r="BP793" t="s">
        <v>74</v>
      </c>
      <c r="BQ793" t="s">
        <v>74</v>
      </c>
      <c r="BR793" t="s">
        <v>103</v>
      </c>
      <c r="BS793" t="s">
        <v>15171</v>
      </c>
      <c r="BT793" t="str">
        <f>HYPERLINK("https%3A%2F%2Fwww.webofscience.com%2Fwos%2Fwoscc%2Ffull-record%2FWOS:000325488600030","View Full Record in Web of Science")</f>
        <v>View Full Record in Web of Science</v>
      </c>
    </row>
    <row r="794" spans="1:72" x14ac:dyDescent="0.15">
      <c r="A794" t="s">
        <v>72</v>
      </c>
      <c r="B794" t="s">
        <v>15172</v>
      </c>
      <c r="C794" t="s">
        <v>74</v>
      </c>
      <c r="D794" t="s">
        <v>74</v>
      </c>
      <c r="E794" t="s">
        <v>74</v>
      </c>
      <c r="F794" t="s">
        <v>15173</v>
      </c>
      <c r="G794" t="s">
        <v>74</v>
      </c>
      <c r="H794" t="s">
        <v>74</v>
      </c>
      <c r="I794" t="s">
        <v>15174</v>
      </c>
      <c r="J794" t="s">
        <v>1688</v>
      </c>
      <c r="K794" t="s">
        <v>74</v>
      </c>
      <c r="L794" t="s">
        <v>74</v>
      </c>
      <c r="M794" t="s">
        <v>78</v>
      </c>
      <c r="N794" t="s">
        <v>79</v>
      </c>
      <c r="O794" t="s">
        <v>74</v>
      </c>
      <c r="P794" t="s">
        <v>74</v>
      </c>
      <c r="Q794" t="s">
        <v>74</v>
      </c>
      <c r="R794" t="s">
        <v>74</v>
      </c>
      <c r="S794" t="s">
        <v>74</v>
      </c>
      <c r="T794" t="s">
        <v>15175</v>
      </c>
      <c r="U794" t="s">
        <v>15176</v>
      </c>
      <c r="V794" t="s">
        <v>15177</v>
      </c>
      <c r="W794" t="s">
        <v>15178</v>
      </c>
      <c r="X794" t="s">
        <v>15059</v>
      </c>
      <c r="Y794" t="s">
        <v>15179</v>
      </c>
      <c r="Z794" t="s">
        <v>15180</v>
      </c>
      <c r="AA794" t="s">
        <v>74</v>
      </c>
      <c r="AB794" t="s">
        <v>74</v>
      </c>
      <c r="AC794" t="s">
        <v>15181</v>
      </c>
      <c r="AD794" t="s">
        <v>15182</v>
      </c>
      <c r="AE794" t="s">
        <v>15183</v>
      </c>
      <c r="AF794" t="s">
        <v>74</v>
      </c>
      <c r="AG794">
        <v>81</v>
      </c>
      <c r="AH794">
        <v>37</v>
      </c>
      <c r="AI794">
        <v>38</v>
      </c>
      <c r="AJ794">
        <v>0</v>
      </c>
      <c r="AK794">
        <v>22</v>
      </c>
      <c r="AL794" t="s">
        <v>1606</v>
      </c>
      <c r="AM794" t="s">
        <v>808</v>
      </c>
      <c r="AN794" t="s">
        <v>1607</v>
      </c>
      <c r="AO794" t="s">
        <v>1700</v>
      </c>
      <c r="AP794" t="s">
        <v>1701</v>
      </c>
      <c r="AQ794" t="s">
        <v>74</v>
      </c>
      <c r="AR794" t="s">
        <v>1702</v>
      </c>
      <c r="AS794" t="s">
        <v>1703</v>
      </c>
      <c r="AT794" t="s">
        <v>14663</v>
      </c>
      <c r="AU794">
        <v>2013</v>
      </c>
      <c r="AV794">
        <v>118</v>
      </c>
      <c r="AW794">
        <v>9</v>
      </c>
      <c r="AX794" t="s">
        <v>74</v>
      </c>
      <c r="AY794" t="s">
        <v>74</v>
      </c>
      <c r="AZ794" t="s">
        <v>74</v>
      </c>
      <c r="BA794" t="s">
        <v>74</v>
      </c>
      <c r="BB794">
        <v>5659</v>
      </c>
      <c r="BC794">
        <v>5672</v>
      </c>
      <c r="BD794" t="s">
        <v>74</v>
      </c>
      <c r="BE794" t="s">
        <v>15184</v>
      </c>
      <c r="BF794" t="str">
        <f>HYPERLINK("http://dx.doi.org/10.1002/jgra.50545","http://dx.doi.org/10.1002/jgra.50545")</f>
        <v>http://dx.doi.org/10.1002/jgra.50545</v>
      </c>
      <c r="BG794" t="s">
        <v>74</v>
      </c>
      <c r="BH794" t="s">
        <v>74</v>
      </c>
      <c r="BI794">
        <v>14</v>
      </c>
      <c r="BJ794" t="s">
        <v>1705</v>
      </c>
      <c r="BK794" t="s">
        <v>99</v>
      </c>
      <c r="BL794" t="s">
        <v>1705</v>
      </c>
      <c r="BM794" t="s">
        <v>15185</v>
      </c>
      <c r="BN794" t="s">
        <v>74</v>
      </c>
      <c r="BO794" t="s">
        <v>475</v>
      </c>
      <c r="BP794" t="s">
        <v>74</v>
      </c>
      <c r="BQ794" t="s">
        <v>74</v>
      </c>
      <c r="BR794" t="s">
        <v>103</v>
      </c>
      <c r="BS794" t="s">
        <v>15186</v>
      </c>
      <c r="BT794" t="str">
        <f>HYPERLINK("https%3A%2F%2Fwww.webofscience.com%2Fwos%2Fwoscc%2Ffull-record%2FWOS:000325483800023","View Full Record in Web of Science")</f>
        <v>View Full Record in Web of Science</v>
      </c>
    </row>
    <row r="795" spans="1:72" x14ac:dyDescent="0.15">
      <c r="A795" t="s">
        <v>72</v>
      </c>
      <c r="B795" t="s">
        <v>15187</v>
      </c>
      <c r="C795" t="s">
        <v>74</v>
      </c>
      <c r="D795" t="s">
        <v>74</v>
      </c>
      <c r="E795" t="s">
        <v>74</v>
      </c>
      <c r="F795" t="s">
        <v>15188</v>
      </c>
      <c r="G795" t="s">
        <v>74</v>
      </c>
      <c r="H795" t="s">
        <v>74</v>
      </c>
      <c r="I795" t="s">
        <v>15189</v>
      </c>
      <c r="J795" t="s">
        <v>3065</v>
      </c>
      <c r="K795" t="s">
        <v>74</v>
      </c>
      <c r="L795" t="s">
        <v>74</v>
      </c>
      <c r="M795" t="s">
        <v>78</v>
      </c>
      <c r="N795" t="s">
        <v>79</v>
      </c>
      <c r="O795" t="s">
        <v>74</v>
      </c>
      <c r="P795" t="s">
        <v>74</v>
      </c>
      <c r="Q795" t="s">
        <v>74</v>
      </c>
      <c r="R795" t="s">
        <v>74</v>
      </c>
      <c r="S795" t="s">
        <v>74</v>
      </c>
      <c r="T795" t="s">
        <v>15190</v>
      </c>
      <c r="U795" t="s">
        <v>15191</v>
      </c>
      <c r="V795" t="s">
        <v>15192</v>
      </c>
      <c r="W795" t="s">
        <v>15193</v>
      </c>
      <c r="X795" t="s">
        <v>7869</v>
      </c>
      <c r="Y795" t="s">
        <v>15194</v>
      </c>
      <c r="Z795" t="s">
        <v>15195</v>
      </c>
      <c r="AA795" t="s">
        <v>15196</v>
      </c>
      <c r="AB795" t="s">
        <v>74</v>
      </c>
      <c r="AC795" t="s">
        <v>15197</v>
      </c>
      <c r="AD795" t="s">
        <v>11990</v>
      </c>
      <c r="AE795" t="s">
        <v>15198</v>
      </c>
      <c r="AF795" t="s">
        <v>74</v>
      </c>
      <c r="AG795">
        <v>212</v>
      </c>
      <c r="AH795">
        <v>163</v>
      </c>
      <c r="AI795">
        <v>172</v>
      </c>
      <c r="AJ795">
        <v>2</v>
      </c>
      <c r="AK795">
        <v>145</v>
      </c>
      <c r="AL795" t="s">
        <v>1606</v>
      </c>
      <c r="AM795" t="s">
        <v>808</v>
      </c>
      <c r="AN795" t="s">
        <v>1607</v>
      </c>
      <c r="AO795" t="s">
        <v>3077</v>
      </c>
      <c r="AP795" t="s">
        <v>3078</v>
      </c>
      <c r="AQ795" t="s">
        <v>74</v>
      </c>
      <c r="AR795" t="s">
        <v>3065</v>
      </c>
      <c r="AS795" t="s">
        <v>3079</v>
      </c>
      <c r="AT795" t="s">
        <v>14663</v>
      </c>
      <c r="AU795">
        <v>2013</v>
      </c>
      <c r="AV795">
        <v>28</v>
      </c>
      <c r="AW795">
        <v>3</v>
      </c>
      <c r="AX795" t="s">
        <v>74</v>
      </c>
      <c r="AY795" t="s">
        <v>74</v>
      </c>
      <c r="AZ795" t="s">
        <v>74</v>
      </c>
      <c r="BA795" t="s">
        <v>74</v>
      </c>
      <c r="BB795">
        <v>539</v>
      </c>
      <c r="BC795">
        <v>561</v>
      </c>
      <c r="BD795" t="s">
        <v>74</v>
      </c>
      <c r="BE795" t="s">
        <v>15199</v>
      </c>
      <c r="BF795" t="str">
        <f>HYPERLINK("http://dx.doi.org/10.1002/palo.20046","http://dx.doi.org/10.1002/palo.20046")</f>
        <v>http://dx.doi.org/10.1002/palo.20046</v>
      </c>
      <c r="BG795" t="s">
        <v>74</v>
      </c>
      <c r="BH795" t="s">
        <v>74</v>
      </c>
      <c r="BI795">
        <v>23</v>
      </c>
      <c r="BJ795" t="s">
        <v>3081</v>
      </c>
      <c r="BK795" t="s">
        <v>99</v>
      </c>
      <c r="BL795" t="s">
        <v>3082</v>
      </c>
      <c r="BM795" t="s">
        <v>15200</v>
      </c>
      <c r="BN795" t="s">
        <v>74</v>
      </c>
      <c r="BO795" t="s">
        <v>450</v>
      </c>
      <c r="BP795" t="s">
        <v>74</v>
      </c>
      <c r="BQ795" t="s">
        <v>74</v>
      </c>
      <c r="BR795" t="s">
        <v>103</v>
      </c>
      <c r="BS795" t="s">
        <v>15201</v>
      </c>
      <c r="BT795" t="str">
        <f>HYPERLINK("https%3A%2F%2Fwww.webofscience.com%2Fwos%2Fwoscc%2Ffull-record%2FWOS:000325628700014","View Full Record in Web of Science")</f>
        <v>View Full Record in Web of Science</v>
      </c>
    </row>
    <row r="796" spans="1:72" x14ac:dyDescent="0.15">
      <c r="A796" t="s">
        <v>72</v>
      </c>
      <c r="B796" t="s">
        <v>15202</v>
      </c>
      <c r="C796" t="s">
        <v>74</v>
      </c>
      <c r="D796" t="s">
        <v>74</v>
      </c>
      <c r="E796" t="s">
        <v>74</v>
      </c>
      <c r="F796" t="s">
        <v>15203</v>
      </c>
      <c r="G796" t="s">
        <v>74</v>
      </c>
      <c r="H796" t="s">
        <v>74</v>
      </c>
      <c r="I796" t="s">
        <v>15204</v>
      </c>
      <c r="J796" t="s">
        <v>3065</v>
      </c>
      <c r="K796" t="s">
        <v>74</v>
      </c>
      <c r="L796" t="s">
        <v>74</v>
      </c>
      <c r="M796" t="s">
        <v>78</v>
      </c>
      <c r="N796" t="s">
        <v>79</v>
      </c>
      <c r="O796" t="s">
        <v>74</v>
      </c>
      <c r="P796" t="s">
        <v>74</v>
      </c>
      <c r="Q796" t="s">
        <v>74</v>
      </c>
      <c r="R796" t="s">
        <v>74</v>
      </c>
      <c r="S796" t="s">
        <v>74</v>
      </c>
      <c r="T796" t="s">
        <v>15205</v>
      </c>
      <c r="U796" t="s">
        <v>15206</v>
      </c>
      <c r="V796" t="s">
        <v>15207</v>
      </c>
      <c r="W796" t="s">
        <v>15208</v>
      </c>
      <c r="X796" t="s">
        <v>15209</v>
      </c>
      <c r="Y796" t="s">
        <v>15210</v>
      </c>
      <c r="Z796" t="s">
        <v>15211</v>
      </c>
      <c r="AA796" t="s">
        <v>15212</v>
      </c>
      <c r="AB796" t="s">
        <v>15213</v>
      </c>
      <c r="AC796" t="s">
        <v>15214</v>
      </c>
      <c r="AD796" t="s">
        <v>15215</v>
      </c>
      <c r="AE796" t="s">
        <v>15216</v>
      </c>
      <c r="AF796" t="s">
        <v>74</v>
      </c>
      <c r="AG796">
        <v>95</v>
      </c>
      <c r="AH796">
        <v>34</v>
      </c>
      <c r="AI796">
        <v>35</v>
      </c>
      <c r="AJ796">
        <v>0</v>
      </c>
      <c r="AK796">
        <v>37</v>
      </c>
      <c r="AL796" t="s">
        <v>1606</v>
      </c>
      <c r="AM796" t="s">
        <v>808</v>
      </c>
      <c r="AN796" t="s">
        <v>1607</v>
      </c>
      <c r="AO796" t="s">
        <v>3077</v>
      </c>
      <c r="AP796" t="s">
        <v>3078</v>
      </c>
      <c r="AQ796" t="s">
        <v>74</v>
      </c>
      <c r="AR796" t="s">
        <v>3065</v>
      </c>
      <c r="AS796" t="s">
        <v>3079</v>
      </c>
      <c r="AT796" t="s">
        <v>14663</v>
      </c>
      <c r="AU796">
        <v>2013</v>
      </c>
      <c r="AV796">
        <v>28</v>
      </c>
      <c r="AW796">
        <v>3</v>
      </c>
      <c r="AX796" t="s">
        <v>74</v>
      </c>
      <c r="AY796" t="s">
        <v>74</v>
      </c>
      <c r="AZ796" t="s">
        <v>74</v>
      </c>
      <c r="BA796" t="s">
        <v>74</v>
      </c>
      <c r="BB796">
        <v>585</v>
      </c>
      <c r="BC796">
        <v>598</v>
      </c>
      <c r="BD796" t="s">
        <v>74</v>
      </c>
      <c r="BE796" t="s">
        <v>15217</v>
      </c>
      <c r="BF796" t="str">
        <f>HYPERLINK("http://dx.doi.org/10.1002/palo.20052","http://dx.doi.org/10.1002/palo.20052")</f>
        <v>http://dx.doi.org/10.1002/palo.20052</v>
      </c>
      <c r="BG796" t="s">
        <v>74</v>
      </c>
      <c r="BH796" t="s">
        <v>74</v>
      </c>
      <c r="BI796">
        <v>14</v>
      </c>
      <c r="BJ796" t="s">
        <v>3081</v>
      </c>
      <c r="BK796" t="s">
        <v>99</v>
      </c>
      <c r="BL796" t="s">
        <v>3082</v>
      </c>
      <c r="BM796" t="s">
        <v>15200</v>
      </c>
      <c r="BN796" t="s">
        <v>74</v>
      </c>
      <c r="BO796" t="s">
        <v>1381</v>
      </c>
      <c r="BP796" t="s">
        <v>74</v>
      </c>
      <c r="BQ796" t="s">
        <v>74</v>
      </c>
      <c r="BR796" t="s">
        <v>103</v>
      </c>
      <c r="BS796" t="s">
        <v>15218</v>
      </c>
      <c r="BT796" t="str">
        <f>HYPERLINK("https%3A%2F%2Fwww.webofscience.com%2Fwos%2Fwoscc%2Ffull-record%2FWOS:000325628700017","View Full Record in Web of Science")</f>
        <v>View Full Record in Web of Science</v>
      </c>
    </row>
    <row r="797" spans="1:72" x14ac:dyDescent="0.15">
      <c r="A797" t="s">
        <v>72</v>
      </c>
      <c r="B797" t="s">
        <v>15219</v>
      </c>
      <c r="C797" t="s">
        <v>74</v>
      </c>
      <c r="D797" t="s">
        <v>74</v>
      </c>
      <c r="E797" t="s">
        <v>74</v>
      </c>
      <c r="F797" t="s">
        <v>15220</v>
      </c>
      <c r="G797" t="s">
        <v>74</v>
      </c>
      <c r="H797" t="s">
        <v>74</v>
      </c>
      <c r="I797" t="s">
        <v>15221</v>
      </c>
      <c r="J797" t="s">
        <v>15222</v>
      </c>
      <c r="K797" t="s">
        <v>74</v>
      </c>
      <c r="L797" t="s">
        <v>74</v>
      </c>
      <c r="M797" t="s">
        <v>3509</v>
      </c>
      <c r="N797" t="s">
        <v>79</v>
      </c>
      <c r="O797" t="s">
        <v>74</v>
      </c>
      <c r="P797" t="s">
        <v>74</v>
      </c>
      <c r="Q797" t="s">
        <v>74</v>
      </c>
      <c r="R797" t="s">
        <v>74</v>
      </c>
      <c r="S797" t="s">
        <v>74</v>
      </c>
      <c r="T797" t="s">
        <v>15223</v>
      </c>
      <c r="U797" t="s">
        <v>15224</v>
      </c>
      <c r="V797" t="s">
        <v>15225</v>
      </c>
      <c r="W797" t="s">
        <v>15226</v>
      </c>
      <c r="X797" t="s">
        <v>15227</v>
      </c>
      <c r="Y797" t="s">
        <v>15228</v>
      </c>
      <c r="Z797" t="s">
        <v>15229</v>
      </c>
      <c r="AA797" t="s">
        <v>15230</v>
      </c>
      <c r="AB797" t="s">
        <v>15231</v>
      </c>
      <c r="AC797" t="s">
        <v>74</v>
      </c>
      <c r="AD797" t="s">
        <v>74</v>
      </c>
      <c r="AE797" t="s">
        <v>74</v>
      </c>
      <c r="AF797" t="s">
        <v>74</v>
      </c>
      <c r="AG797">
        <v>72</v>
      </c>
      <c r="AH797">
        <v>2</v>
      </c>
      <c r="AI797">
        <v>3</v>
      </c>
      <c r="AJ797">
        <v>1</v>
      </c>
      <c r="AK797">
        <v>15</v>
      </c>
      <c r="AL797" t="s">
        <v>15232</v>
      </c>
      <c r="AM797" t="s">
        <v>15233</v>
      </c>
      <c r="AN797" t="s">
        <v>15234</v>
      </c>
      <c r="AO797" t="s">
        <v>15235</v>
      </c>
      <c r="AP797" t="s">
        <v>15236</v>
      </c>
      <c r="AQ797" t="s">
        <v>74</v>
      </c>
      <c r="AR797" t="s">
        <v>15237</v>
      </c>
      <c r="AS797" t="s">
        <v>15238</v>
      </c>
      <c r="AT797" t="s">
        <v>14663</v>
      </c>
      <c r="AU797">
        <v>2013</v>
      </c>
      <c r="AV797">
        <v>86</v>
      </c>
      <c r="AW797">
        <v>3</v>
      </c>
      <c r="AX797" t="s">
        <v>74</v>
      </c>
      <c r="AY797" t="s">
        <v>74</v>
      </c>
      <c r="AZ797" t="s">
        <v>74</v>
      </c>
      <c r="BA797" t="s">
        <v>74</v>
      </c>
      <c r="BB797">
        <v>279</v>
      </c>
      <c r="BC797">
        <v>289</v>
      </c>
      <c r="BD797" t="s">
        <v>74</v>
      </c>
      <c r="BE797" t="s">
        <v>15239</v>
      </c>
      <c r="BF797" t="str">
        <f>HYPERLINK("http://dx.doi.org/10.4067/S0716-078X2013000300005","http://dx.doi.org/10.4067/S0716-078X2013000300005")</f>
        <v>http://dx.doi.org/10.4067/S0716-078X2013000300005</v>
      </c>
      <c r="BG797" t="s">
        <v>74</v>
      </c>
      <c r="BH797" t="s">
        <v>74</v>
      </c>
      <c r="BI797">
        <v>11</v>
      </c>
      <c r="BJ797" t="s">
        <v>3183</v>
      </c>
      <c r="BK797" t="s">
        <v>99</v>
      </c>
      <c r="BL797" t="s">
        <v>1050</v>
      </c>
      <c r="BM797" t="s">
        <v>15240</v>
      </c>
      <c r="BN797" t="s">
        <v>74</v>
      </c>
      <c r="BO797" t="s">
        <v>119</v>
      </c>
      <c r="BP797" t="s">
        <v>74</v>
      </c>
      <c r="BQ797" t="s">
        <v>74</v>
      </c>
      <c r="BR797" t="s">
        <v>103</v>
      </c>
      <c r="BS797" t="s">
        <v>15241</v>
      </c>
      <c r="BT797" t="str">
        <f>HYPERLINK("https%3A%2F%2Fwww.webofscience.com%2Fwos%2Fwoscc%2Ffull-record%2FWOS:000325442400005","View Full Record in Web of Science")</f>
        <v>View Full Record in Web of Science</v>
      </c>
    </row>
    <row r="798" spans="1:72" x14ac:dyDescent="0.15">
      <c r="A798" t="s">
        <v>72</v>
      </c>
      <c r="B798" t="s">
        <v>15242</v>
      </c>
      <c r="C798" t="s">
        <v>74</v>
      </c>
      <c r="D798" t="s">
        <v>74</v>
      </c>
      <c r="E798" t="s">
        <v>74</v>
      </c>
      <c r="F798" t="s">
        <v>15243</v>
      </c>
      <c r="G798" t="s">
        <v>74</v>
      </c>
      <c r="H798" t="s">
        <v>74</v>
      </c>
      <c r="I798" t="s">
        <v>15244</v>
      </c>
      <c r="J798" t="s">
        <v>6300</v>
      </c>
      <c r="K798" t="s">
        <v>74</v>
      </c>
      <c r="L798" t="s">
        <v>74</v>
      </c>
      <c r="M798" t="s">
        <v>78</v>
      </c>
      <c r="N798" t="s">
        <v>79</v>
      </c>
      <c r="O798" t="s">
        <v>74</v>
      </c>
      <c r="P798" t="s">
        <v>74</v>
      </c>
      <c r="Q798" t="s">
        <v>74</v>
      </c>
      <c r="R798" t="s">
        <v>74</v>
      </c>
      <c r="S798" t="s">
        <v>74</v>
      </c>
      <c r="T798" t="s">
        <v>15245</v>
      </c>
      <c r="U798" t="s">
        <v>15246</v>
      </c>
      <c r="V798" t="s">
        <v>15247</v>
      </c>
      <c r="W798" t="s">
        <v>15248</v>
      </c>
      <c r="X798" t="s">
        <v>15249</v>
      </c>
      <c r="Y798" t="s">
        <v>15250</v>
      </c>
      <c r="Z798" t="s">
        <v>15251</v>
      </c>
      <c r="AA798" t="s">
        <v>15252</v>
      </c>
      <c r="AB798" t="s">
        <v>15253</v>
      </c>
      <c r="AC798" t="s">
        <v>15254</v>
      </c>
      <c r="AD798" t="s">
        <v>15255</v>
      </c>
      <c r="AE798" t="s">
        <v>15256</v>
      </c>
      <c r="AF798" t="s">
        <v>74</v>
      </c>
      <c r="AG798">
        <v>69</v>
      </c>
      <c r="AH798">
        <v>7</v>
      </c>
      <c r="AI798">
        <v>7</v>
      </c>
      <c r="AJ798">
        <v>0</v>
      </c>
      <c r="AK798">
        <v>10</v>
      </c>
      <c r="AL798" t="s">
        <v>1067</v>
      </c>
      <c r="AM798" t="s">
        <v>921</v>
      </c>
      <c r="AN798" t="s">
        <v>2493</v>
      </c>
      <c r="AO798" t="s">
        <v>6313</v>
      </c>
      <c r="AP798" t="s">
        <v>6314</v>
      </c>
      <c r="AQ798" t="s">
        <v>74</v>
      </c>
      <c r="AR798" t="s">
        <v>6315</v>
      </c>
      <c r="AS798" t="s">
        <v>6316</v>
      </c>
      <c r="AT798" t="s">
        <v>14663</v>
      </c>
      <c r="AU798">
        <v>2013</v>
      </c>
      <c r="AV798">
        <v>41</v>
      </c>
      <c r="AW798" t="s">
        <v>14859</v>
      </c>
      <c r="AX798" t="s">
        <v>74</v>
      </c>
      <c r="AY798" t="s">
        <v>74</v>
      </c>
      <c r="AZ798" t="s">
        <v>74</v>
      </c>
      <c r="BA798" t="s">
        <v>74</v>
      </c>
      <c r="BB798">
        <v>1307</v>
      </c>
      <c r="BC798">
        <v>1331</v>
      </c>
      <c r="BD798" t="s">
        <v>74</v>
      </c>
      <c r="BE798" t="s">
        <v>15257</v>
      </c>
      <c r="BF798" t="str">
        <f>HYPERLINK("http://dx.doi.org/10.1007/s00382-012-1614-7","http://dx.doi.org/10.1007/s00382-012-1614-7")</f>
        <v>http://dx.doi.org/10.1007/s00382-012-1614-7</v>
      </c>
      <c r="BG798" t="s">
        <v>74</v>
      </c>
      <c r="BH798" t="s">
        <v>74</v>
      </c>
      <c r="BI798">
        <v>25</v>
      </c>
      <c r="BJ798" t="s">
        <v>1503</v>
      </c>
      <c r="BK798" t="s">
        <v>99</v>
      </c>
      <c r="BL798" t="s">
        <v>1503</v>
      </c>
      <c r="BM798" t="s">
        <v>15258</v>
      </c>
      <c r="BN798" t="s">
        <v>74</v>
      </c>
      <c r="BO798" t="s">
        <v>74</v>
      </c>
      <c r="BP798" t="s">
        <v>74</v>
      </c>
      <c r="BQ798" t="s">
        <v>74</v>
      </c>
      <c r="BR798" t="s">
        <v>103</v>
      </c>
      <c r="BS798" t="s">
        <v>15259</v>
      </c>
      <c r="BT798" t="str">
        <f>HYPERLINK("https%3A%2F%2Fwww.webofscience.com%2Fwos%2Fwoscc%2Ffull-record%2FWOS:000325073700012","View Full Record in Web of Science")</f>
        <v>View Full Record in Web of Science</v>
      </c>
    </row>
    <row r="799" spans="1:72" x14ac:dyDescent="0.15">
      <c r="A799" t="s">
        <v>72</v>
      </c>
      <c r="B799" t="s">
        <v>15260</v>
      </c>
      <c r="C799" t="s">
        <v>74</v>
      </c>
      <c r="D799" t="s">
        <v>74</v>
      </c>
      <c r="E799" t="s">
        <v>74</v>
      </c>
      <c r="F799" t="s">
        <v>15261</v>
      </c>
      <c r="G799" t="s">
        <v>74</v>
      </c>
      <c r="H799" t="s">
        <v>74</v>
      </c>
      <c r="I799" t="s">
        <v>15262</v>
      </c>
      <c r="J799" t="s">
        <v>6300</v>
      </c>
      <c r="K799" t="s">
        <v>74</v>
      </c>
      <c r="L799" t="s">
        <v>74</v>
      </c>
      <c r="M799" t="s">
        <v>78</v>
      </c>
      <c r="N799" t="s">
        <v>79</v>
      </c>
      <c r="O799" t="s">
        <v>74</v>
      </c>
      <c r="P799" t="s">
        <v>74</v>
      </c>
      <c r="Q799" t="s">
        <v>74</v>
      </c>
      <c r="R799" t="s">
        <v>74</v>
      </c>
      <c r="S799" t="s">
        <v>74</v>
      </c>
      <c r="T799" t="s">
        <v>15263</v>
      </c>
      <c r="U799" t="s">
        <v>15264</v>
      </c>
      <c r="V799" t="s">
        <v>15265</v>
      </c>
      <c r="W799" t="s">
        <v>15266</v>
      </c>
      <c r="X799" t="s">
        <v>15267</v>
      </c>
      <c r="Y799" t="s">
        <v>15268</v>
      </c>
      <c r="Z799" t="s">
        <v>2643</v>
      </c>
      <c r="AA799" t="s">
        <v>2644</v>
      </c>
      <c r="AB799" t="s">
        <v>15269</v>
      </c>
      <c r="AC799" t="s">
        <v>15270</v>
      </c>
      <c r="AD799" t="s">
        <v>15270</v>
      </c>
      <c r="AE799" t="s">
        <v>15271</v>
      </c>
      <c r="AF799" t="s">
        <v>74</v>
      </c>
      <c r="AG799">
        <v>70</v>
      </c>
      <c r="AH799">
        <v>58</v>
      </c>
      <c r="AI799">
        <v>61</v>
      </c>
      <c r="AJ799">
        <v>3</v>
      </c>
      <c r="AK799">
        <v>45</v>
      </c>
      <c r="AL799" t="s">
        <v>1067</v>
      </c>
      <c r="AM799" t="s">
        <v>921</v>
      </c>
      <c r="AN799" t="s">
        <v>2493</v>
      </c>
      <c r="AO799" t="s">
        <v>6313</v>
      </c>
      <c r="AP799" t="s">
        <v>6314</v>
      </c>
      <c r="AQ799" t="s">
        <v>74</v>
      </c>
      <c r="AR799" t="s">
        <v>6315</v>
      </c>
      <c r="AS799" t="s">
        <v>6316</v>
      </c>
      <c r="AT799" t="s">
        <v>14663</v>
      </c>
      <c r="AU799">
        <v>2013</v>
      </c>
      <c r="AV799">
        <v>41</v>
      </c>
      <c r="AW799" t="s">
        <v>14859</v>
      </c>
      <c r="AX799" t="s">
        <v>74</v>
      </c>
      <c r="AY799" t="s">
        <v>74</v>
      </c>
      <c r="AZ799" t="s">
        <v>74</v>
      </c>
      <c r="BA799" t="s">
        <v>74</v>
      </c>
      <c r="BB799">
        <v>1365</v>
      </c>
      <c r="BC799">
        <v>1384</v>
      </c>
      <c r="BD799" t="s">
        <v>74</v>
      </c>
      <c r="BE799" t="s">
        <v>15272</v>
      </c>
      <c r="BF799" t="str">
        <f>HYPERLINK("http://dx.doi.org/10.1007/s00382-012-1562-2","http://dx.doi.org/10.1007/s00382-012-1562-2")</f>
        <v>http://dx.doi.org/10.1007/s00382-012-1562-2</v>
      </c>
      <c r="BG799" t="s">
        <v>74</v>
      </c>
      <c r="BH799" t="s">
        <v>74</v>
      </c>
      <c r="BI799">
        <v>20</v>
      </c>
      <c r="BJ799" t="s">
        <v>1503</v>
      </c>
      <c r="BK799" t="s">
        <v>99</v>
      </c>
      <c r="BL799" t="s">
        <v>1503</v>
      </c>
      <c r="BM799" t="s">
        <v>15258</v>
      </c>
      <c r="BN799" t="s">
        <v>74</v>
      </c>
      <c r="BO799" t="s">
        <v>74</v>
      </c>
      <c r="BP799" t="s">
        <v>74</v>
      </c>
      <c r="BQ799" t="s">
        <v>74</v>
      </c>
      <c r="BR799" t="s">
        <v>103</v>
      </c>
      <c r="BS799" t="s">
        <v>15273</v>
      </c>
      <c r="BT799" t="str">
        <f>HYPERLINK("https%3A%2F%2Fwww.webofscience.com%2Fwos%2Fwoscc%2Ffull-record%2FWOS:000325073700015","View Full Record in Web of Science")</f>
        <v>View Full Record in Web of Science</v>
      </c>
    </row>
    <row r="800" spans="1:72" x14ac:dyDescent="0.15">
      <c r="A800" t="s">
        <v>72</v>
      </c>
      <c r="B800" t="s">
        <v>15274</v>
      </c>
      <c r="C800" t="s">
        <v>74</v>
      </c>
      <c r="D800" t="s">
        <v>74</v>
      </c>
      <c r="E800" t="s">
        <v>74</v>
      </c>
      <c r="F800" t="s">
        <v>15275</v>
      </c>
      <c r="G800" t="s">
        <v>74</v>
      </c>
      <c r="H800" t="s">
        <v>74</v>
      </c>
      <c r="I800" t="s">
        <v>15276</v>
      </c>
      <c r="J800" t="s">
        <v>291</v>
      </c>
      <c r="K800" t="s">
        <v>74</v>
      </c>
      <c r="L800" t="s">
        <v>74</v>
      </c>
      <c r="M800" t="s">
        <v>78</v>
      </c>
      <c r="N800" t="s">
        <v>79</v>
      </c>
      <c r="O800" t="s">
        <v>74</v>
      </c>
      <c r="P800" t="s">
        <v>74</v>
      </c>
      <c r="Q800" t="s">
        <v>74</v>
      </c>
      <c r="R800" t="s">
        <v>74</v>
      </c>
      <c r="S800" t="s">
        <v>74</v>
      </c>
      <c r="T800" t="s">
        <v>15277</v>
      </c>
      <c r="U800" t="s">
        <v>15278</v>
      </c>
      <c r="V800" t="s">
        <v>15279</v>
      </c>
      <c r="W800" t="s">
        <v>15280</v>
      </c>
      <c r="X800" t="s">
        <v>15281</v>
      </c>
      <c r="Y800" t="s">
        <v>15282</v>
      </c>
      <c r="Z800" t="s">
        <v>15283</v>
      </c>
      <c r="AA800" t="s">
        <v>15284</v>
      </c>
      <c r="AB800" t="s">
        <v>15285</v>
      </c>
      <c r="AC800" t="s">
        <v>15286</v>
      </c>
      <c r="AD800" t="s">
        <v>15287</v>
      </c>
      <c r="AE800" t="s">
        <v>15288</v>
      </c>
      <c r="AF800" t="s">
        <v>74</v>
      </c>
      <c r="AG800">
        <v>146</v>
      </c>
      <c r="AH800">
        <v>16</v>
      </c>
      <c r="AI800">
        <v>17</v>
      </c>
      <c r="AJ800">
        <v>0</v>
      </c>
      <c r="AK800">
        <v>34</v>
      </c>
      <c r="AL800" t="s">
        <v>304</v>
      </c>
      <c r="AM800" t="s">
        <v>305</v>
      </c>
      <c r="AN800" t="s">
        <v>306</v>
      </c>
      <c r="AO800" t="s">
        <v>307</v>
      </c>
      <c r="AP800" t="s">
        <v>308</v>
      </c>
      <c r="AQ800" t="s">
        <v>74</v>
      </c>
      <c r="AR800" t="s">
        <v>309</v>
      </c>
      <c r="AS800" t="s">
        <v>310</v>
      </c>
      <c r="AT800" t="s">
        <v>14663</v>
      </c>
      <c r="AU800">
        <v>2013</v>
      </c>
      <c r="AV800">
        <v>377</v>
      </c>
      <c r="AW800" t="s">
        <v>74</v>
      </c>
      <c r="AX800" t="s">
        <v>74</v>
      </c>
      <c r="AY800" t="s">
        <v>74</v>
      </c>
      <c r="AZ800" t="s">
        <v>74</v>
      </c>
      <c r="BA800" t="s">
        <v>74</v>
      </c>
      <c r="BB800">
        <v>1</v>
      </c>
      <c r="BC800">
        <v>12</v>
      </c>
      <c r="BD800" t="s">
        <v>74</v>
      </c>
      <c r="BE800" t="s">
        <v>15289</v>
      </c>
      <c r="BF800" t="str">
        <f>HYPERLINK("http://dx.doi.org/10.1016/j.epsl.2013.07.031","http://dx.doi.org/10.1016/j.epsl.2013.07.031")</f>
        <v>http://dx.doi.org/10.1016/j.epsl.2013.07.031</v>
      </c>
      <c r="BG800" t="s">
        <v>74</v>
      </c>
      <c r="BH800" t="s">
        <v>74</v>
      </c>
      <c r="BI800">
        <v>12</v>
      </c>
      <c r="BJ800" t="s">
        <v>313</v>
      </c>
      <c r="BK800" t="s">
        <v>99</v>
      </c>
      <c r="BL800" t="s">
        <v>313</v>
      </c>
      <c r="BM800" t="s">
        <v>15290</v>
      </c>
      <c r="BN800" t="s">
        <v>74</v>
      </c>
      <c r="BO800" t="s">
        <v>74</v>
      </c>
      <c r="BP800" t="s">
        <v>74</v>
      </c>
      <c r="BQ800" t="s">
        <v>74</v>
      </c>
      <c r="BR800" t="s">
        <v>103</v>
      </c>
      <c r="BS800" t="s">
        <v>15291</v>
      </c>
      <c r="BT800" t="str">
        <f>HYPERLINK("https%3A%2F%2Fwww.webofscience.com%2Fwos%2Fwoscc%2Ffull-record%2FWOS:000325192100001","View Full Record in Web of Science")</f>
        <v>View Full Record in Web of Science</v>
      </c>
    </row>
    <row r="801" spans="1:72" x14ac:dyDescent="0.15">
      <c r="A801" t="s">
        <v>72</v>
      </c>
      <c r="B801" t="s">
        <v>15292</v>
      </c>
      <c r="C801" t="s">
        <v>74</v>
      </c>
      <c r="D801" t="s">
        <v>74</v>
      </c>
      <c r="E801" t="s">
        <v>74</v>
      </c>
      <c r="F801" t="s">
        <v>15293</v>
      </c>
      <c r="G801" t="s">
        <v>74</v>
      </c>
      <c r="H801" t="s">
        <v>74</v>
      </c>
      <c r="I801" t="s">
        <v>15294</v>
      </c>
      <c r="J801" t="s">
        <v>15295</v>
      </c>
      <c r="K801" t="s">
        <v>74</v>
      </c>
      <c r="L801" t="s">
        <v>74</v>
      </c>
      <c r="M801" t="s">
        <v>78</v>
      </c>
      <c r="N801" t="s">
        <v>79</v>
      </c>
      <c r="O801" t="s">
        <v>74</v>
      </c>
      <c r="P801" t="s">
        <v>74</v>
      </c>
      <c r="Q801" t="s">
        <v>74</v>
      </c>
      <c r="R801" t="s">
        <v>74</v>
      </c>
      <c r="S801" t="s">
        <v>74</v>
      </c>
      <c r="T801" t="s">
        <v>74</v>
      </c>
      <c r="U801" t="s">
        <v>15296</v>
      </c>
      <c r="V801" t="s">
        <v>15297</v>
      </c>
      <c r="W801" t="s">
        <v>15298</v>
      </c>
      <c r="X801" t="s">
        <v>15299</v>
      </c>
      <c r="Y801" t="s">
        <v>15300</v>
      </c>
      <c r="Z801" t="s">
        <v>15301</v>
      </c>
      <c r="AA801" t="s">
        <v>74</v>
      </c>
      <c r="AB801" t="s">
        <v>74</v>
      </c>
      <c r="AC801" t="s">
        <v>15302</v>
      </c>
      <c r="AD801" t="s">
        <v>15303</v>
      </c>
      <c r="AE801" t="s">
        <v>15304</v>
      </c>
      <c r="AF801" t="s">
        <v>74</v>
      </c>
      <c r="AG801">
        <v>50</v>
      </c>
      <c r="AH801">
        <v>6</v>
      </c>
      <c r="AI801">
        <v>6</v>
      </c>
      <c r="AJ801">
        <v>0</v>
      </c>
      <c r="AK801">
        <v>27</v>
      </c>
      <c r="AL801" t="s">
        <v>2588</v>
      </c>
      <c r="AM801" t="s">
        <v>2470</v>
      </c>
      <c r="AN801" t="s">
        <v>2589</v>
      </c>
      <c r="AO801" t="s">
        <v>15305</v>
      </c>
      <c r="AP801" t="s">
        <v>15306</v>
      </c>
      <c r="AQ801" t="s">
        <v>74</v>
      </c>
      <c r="AR801" t="s">
        <v>15295</v>
      </c>
      <c r="AS801" t="s">
        <v>15307</v>
      </c>
      <c r="AT801" t="s">
        <v>14745</v>
      </c>
      <c r="AU801">
        <v>2013</v>
      </c>
      <c r="AV801">
        <v>226</v>
      </c>
      <c r="AW801">
        <v>1</v>
      </c>
      <c r="AX801" t="s">
        <v>74</v>
      </c>
      <c r="AY801" t="s">
        <v>74</v>
      </c>
      <c r="AZ801" t="s">
        <v>74</v>
      </c>
      <c r="BA801" t="s">
        <v>74</v>
      </c>
      <c r="BB801">
        <v>971</v>
      </c>
      <c r="BC801">
        <v>979</v>
      </c>
      <c r="BD801" t="s">
        <v>74</v>
      </c>
      <c r="BE801" t="s">
        <v>15308</v>
      </c>
      <c r="BF801" t="str">
        <f>HYPERLINK("http://dx.doi.org/10.1016/j.icarus.2013.07.017","http://dx.doi.org/10.1016/j.icarus.2013.07.017")</f>
        <v>http://dx.doi.org/10.1016/j.icarus.2013.07.017</v>
      </c>
      <c r="BG801" t="s">
        <v>74</v>
      </c>
      <c r="BH801" t="s">
        <v>74</v>
      </c>
      <c r="BI801">
        <v>9</v>
      </c>
      <c r="BJ801" t="s">
        <v>1705</v>
      </c>
      <c r="BK801" t="s">
        <v>99</v>
      </c>
      <c r="BL801" t="s">
        <v>1705</v>
      </c>
      <c r="BM801" t="s">
        <v>15309</v>
      </c>
      <c r="BN801" t="s">
        <v>74</v>
      </c>
      <c r="BO801" t="s">
        <v>74</v>
      </c>
      <c r="BP801" t="s">
        <v>74</v>
      </c>
      <c r="BQ801" t="s">
        <v>74</v>
      </c>
      <c r="BR801" t="s">
        <v>103</v>
      </c>
      <c r="BS801" t="s">
        <v>15310</v>
      </c>
      <c r="BT801" t="str">
        <f>HYPERLINK("https%3A%2F%2Fwww.webofscience.com%2Fwos%2Fwoscc%2Ffull-record%2FWOS:000324720200076","View Full Record in Web of Science")</f>
        <v>View Full Record in Web of Science</v>
      </c>
    </row>
    <row r="802" spans="1:72" x14ac:dyDescent="0.15">
      <c r="A802" t="s">
        <v>72</v>
      </c>
      <c r="B802" t="s">
        <v>15311</v>
      </c>
      <c r="C802" t="s">
        <v>74</v>
      </c>
      <c r="D802" t="s">
        <v>74</v>
      </c>
      <c r="E802" t="s">
        <v>74</v>
      </c>
      <c r="F802" t="s">
        <v>15312</v>
      </c>
      <c r="G802" t="s">
        <v>74</v>
      </c>
      <c r="H802" t="s">
        <v>74</v>
      </c>
      <c r="I802" t="s">
        <v>15313</v>
      </c>
      <c r="J802" t="s">
        <v>11882</v>
      </c>
      <c r="K802" t="s">
        <v>74</v>
      </c>
      <c r="L802" t="s">
        <v>74</v>
      </c>
      <c r="M802" t="s">
        <v>78</v>
      </c>
      <c r="N802" t="s">
        <v>79</v>
      </c>
      <c r="O802" t="s">
        <v>74</v>
      </c>
      <c r="P802" t="s">
        <v>74</v>
      </c>
      <c r="Q802" t="s">
        <v>74</v>
      </c>
      <c r="R802" t="s">
        <v>74</v>
      </c>
      <c r="S802" t="s">
        <v>74</v>
      </c>
      <c r="T802" t="s">
        <v>15314</v>
      </c>
      <c r="U802" t="s">
        <v>15315</v>
      </c>
      <c r="V802" t="s">
        <v>15316</v>
      </c>
      <c r="W802" t="s">
        <v>15317</v>
      </c>
      <c r="X802" t="s">
        <v>15318</v>
      </c>
      <c r="Y802" t="s">
        <v>15319</v>
      </c>
      <c r="Z802" t="s">
        <v>15320</v>
      </c>
      <c r="AA802" t="s">
        <v>74</v>
      </c>
      <c r="AB802" t="s">
        <v>74</v>
      </c>
      <c r="AC802" t="s">
        <v>15321</v>
      </c>
      <c r="AD802" t="s">
        <v>15321</v>
      </c>
      <c r="AE802" t="s">
        <v>15322</v>
      </c>
      <c r="AF802" t="s">
        <v>74</v>
      </c>
      <c r="AG802">
        <v>85</v>
      </c>
      <c r="AH802">
        <v>1</v>
      </c>
      <c r="AI802">
        <v>1</v>
      </c>
      <c r="AJ802">
        <v>0</v>
      </c>
      <c r="AK802">
        <v>15</v>
      </c>
      <c r="AL802" t="s">
        <v>582</v>
      </c>
      <c r="AM802" t="s">
        <v>305</v>
      </c>
      <c r="AN802" t="s">
        <v>583</v>
      </c>
      <c r="AO802" t="s">
        <v>11895</v>
      </c>
      <c r="AP802" t="s">
        <v>11896</v>
      </c>
      <c r="AQ802" t="s">
        <v>74</v>
      </c>
      <c r="AR802" t="s">
        <v>11897</v>
      </c>
      <c r="AS802" t="s">
        <v>11898</v>
      </c>
      <c r="AT802" t="s">
        <v>14663</v>
      </c>
      <c r="AU802">
        <v>2013</v>
      </c>
      <c r="AV802">
        <v>103</v>
      </c>
      <c r="AW802" t="s">
        <v>74</v>
      </c>
      <c r="AX802" t="s">
        <v>74</v>
      </c>
      <c r="AY802" t="s">
        <v>74</v>
      </c>
      <c r="AZ802" t="s">
        <v>74</v>
      </c>
      <c r="BA802" t="s">
        <v>74</v>
      </c>
      <c r="BB802">
        <v>68</v>
      </c>
      <c r="BC802">
        <v>84</v>
      </c>
      <c r="BD802" t="s">
        <v>74</v>
      </c>
      <c r="BE802" t="s">
        <v>15323</v>
      </c>
      <c r="BF802" t="str">
        <f>HYPERLINK("http://dx.doi.org/10.1016/j.marmicro.2013.03.005","http://dx.doi.org/10.1016/j.marmicro.2013.03.005")</f>
        <v>http://dx.doi.org/10.1016/j.marmicro.2013.03.005</v>
      </c>
      <c r="BG802" t="s">
        <v>74</v>
      </c>
      <c r="BH802" t="s">
        <v>74</v>
      </c>
      <c r="BI802">
        <v>17</v>
      </c>
      <c r="BJ802" t="s">
        <v>2061</v>
      </c>
      <c r="BK802" t="s">
        <v>99</v>
      </c>
      <c r="BL802" t="s">
        <v>2061</v>
      </c>
      <c r="BM802" t="s">
        <v>15324</v>
      </c>
      <c r="BN802" t="s">
        <v>74</v>
      </c>
      <c r="BO802" t="s">
        <v>74</v>
      </c>
      <c r="BP802" t="s">
        <v>74</v>
      </c>
      <c r="BQ802" t="s">
        <v>74</v>
      </c>
      <c r="BR802" t="s">
        <v>103</v>
      </c>
      <c r="BS802" t="s">
        <v>15325</v>
      </c>
      <c r="BT802" t="str">
        <f>HYPERLINK("https%3A%2F%2Fwww.webofscience.com%2Fwos%2Fwoscc%2Ffull-record%2FWOS:000325195100006","View Full Record in Web of Science")</f>
        <v>View Full Record in Web of Science</v>
      </c>
    </row>
    <row r="803" spans="1:72" x14ac:dyDescent="0.15">
      <c r="A803" t="s">
        <v>72</v>
      </c>
      <c r="B803" t="s">
        <v>15326</v>
      </c>
      <c r="C803" t="s">
        <v>74</v>
      </c>
      <c r="D803" t="s">
        <v>74</v>
      </c>
      <c r="E803" t="s">
        <v>74</v>
      </c>
      <c r="F803" t="s">
        <v>15327</v>
      </c>
      <c r="G803" t="s">
        <v>74</v>
      </c>
      <c r="H803" t="s">
        <v>74</v>
      </c>
      <c r="I803" t="s">
        <v>15328</v>
      </c>
      <c r="J803" t="s">
        <v>9655</v>
      </c>
      <c r="K803" t="s">
        <v>74</v>
      </c>
      <c r="L803" t="s">
        <v>74</v>
      </c>
      <c r="M803" t="s">
        <v>78</v>
      </c>
      <c r="N803" t="s">
        <v>79</v>
      </c>
      <c r="O803" t="s">
        <v>74</v>
      </c>
      <c r="P803" t="s">
        <v>74</v>
      </c>
      <c r="Q803" t="s">
        <v>74</v>
      </c>
      <c r="R803" t="s">
        <v>74</v>
      </c>
      <c r="S803" t="s">
        <v>74</v>
      </c>
      <c r="T803" t="s">
        <v>15329</v>
      </c>
      <c r="U803" t="s">
        <v>15330</v>
      </c>
      <c r="V803" t="s">
        <v>15331</v>
      </c>
      <c r="W803" t="s">
        <v>15332</v>
      </c>
      <c r="X803" t="s">
        <v>15333</v>
      </c>
      <c r="Y803" t="s">
        <v>15334</v>
      </c>
      <c r="Z803" t="s">
        <v>15335</v>
      </c>
      <c r="AA803" t="s">
        <v>74</v>
      </c>
      <c r="AB803" t="s">
        <v>74</v>
      </c>
      <c r="AC803" t="s">
        <v>15336</v>
      </c>
      <c r="AD803" t="s">
        <v>15337</v>
      </c>
      <c r="AE803" t="s">
        <v>15338</v>
      </c>
      <c r="AF803" t="s">
        <v>74</v>
      </c>
      <c r="AG803">
        <v>14</v>
      </c>
      <c r="AH803">
        <v>1</v>
      </c>
      <c r="AI803">
        <v>4</v>
      </c>
      <c r="AJ803">
        <v>1</v>
      </c>
      <c r="AK803">
        <v>18</v>
      </c>
      <c r="AL803" t="s">
        <v>1067</v>
      </c>
      <c r="AM803" t="s">
        <v>921</v>
      </c>
      <c r="AN803" t="s">
        <v>2493</v>
      </c>
      <c r="AO803" t="s">
        <v>9666</v>
      </c>
      <c r="AP803" t="s">
        <v>9667</v>
      </c>
      <c r="AQ803" t="s">
        <v>74</v>
      </c>
      <c r="AR803" t="s">
        <v>9668</v>
      </c>
      <c r="AS803" t="s">
        <v>9669</v>
      </c>
      <c r="AT803" t="s">
        <v>14663</v>
      </c>
      <c r="AU803">
        <v>2013</v>
      </c>
      <c r="AV803">
        <v>32</v>
      </c>
      <c r="AW803">
        <v>9</v>
      </c>
      <c r="AX803" t="s">
        <v>74</v>
      </c>
      <c r="AY803" t="s">
        <v>74</v>
      </c>
      <c r="AZ803" t="s">
        <v>74</v>
      </c>
      <c r="BA803" t="s">
        <v>74</v>
      </c>
      <c r="BB803">
        <v>38</v>
      </c>
      <c r="BC803">
        <v>43</v>
      </c>
      <c r="BD803" t="s">
        <v>74</v>
      </c>
      <c r="BE803" t="s">
        <v>15339</v>
      </c>
      <c r="BF803" t="str">
        <f>HYPERLINK("http://dx.doi.org/10.1007/s13131-013-0350-0","http://dx.doi.org/10.1007/s13131-013-0350-0")</f>
        <v>http://dx.doi.org/10.1007/s13131-013-0350-0</v>
      </c>
      <c r="BG803" t="s">
        <v>74</v>
      </c>
      <c r="BH803" t="s">
        <v>74</v>
      </c>
      <c r="BI803">
        <v>6</v>
      </c>
      <c r="BJ803" t="s">
        <v>1613</v>
      </c>
      <c r="BK803" t="s">
        <v>99</v>
      </c>
      <c r="BL803" t="s">
        <v>1613</v>
      </c>
      <c r="BM803" t="s">
        <v>15340</v>
      </c>
      <c r="BN803" t="s">
        <v>74</v>
      </c>
      <c r="BO803" t="s">
        <v>74</v>
      </c>
      <c r="BP803" t="s">
        <v>74</v>
      </c>
      <c r="BQ803" t="s">
        <v>74</v>
      </c>
      <c r="BR803" t="s">
        <v>103</v>
      </c>
      <c r="BS803" t="s">
        <v>15341</v>
      </c>
      <c r="BT803" t="str">
        <f>HYPERLINK("https%3A%2F%2Fwww.webofscience.com%2Fwos%2Fwoscc%2Ffull-record%2FWOS:000324636300005","View Full Record in Web of Science")</f>
        <v>View Full Record in Web of Science</v>
      </c>
    </row>
    <row r="804" spans="1:72" x14ac:dyDescent="0.15">
      <c r="A804" t="s">
        <v>72</v>
      </c>
      <c r="B804" t="s">
        <v>15342</v>
      </c>
      <c r="C804" t="s">
        <v>74</v>
      </c>
      <c r="D804" t="s">
        <v>74</v>
      </c>
      <c r="E804" t="s">
        <v>74</v>
      </c>
      <c r="F804" t="s">
        <v>15343</v>
      </c>
      <c r="G804" t="s">
        <v>74</v>
      </c>
      <c r="H804" t="s">
        <v>74</v>
      </c>
      <c r="I804" t="s">
        <v>15344</v>
      </c>
      <c r="J804" t="s">
        <v>12929</v>
      </c>
      <c r="K804" t="s">
        <v>74</v>
      </c>
      <c r="L804" t="s">
        <v>74</v>
      </c>
      <c r="M804" t="s">
        <v>78</v>
      </c>
      <c r="N804" t="s">
        <v>79</v>
      </c>
      <c r="O804" t="s">
        <v>74</v>
      </c>
      <c r="P804" t="s">
        <v>74</v>
      </c>
      <c r="Q804" t="s">
        <v>74</v>
      </c>
      <c r="R804" t="s">
        <v>74</v>
      </c>
      <c r="S804" t="s">
        <v>74</v>
      </c>
      <c r="T804" t="s">
        <v>15345</v>
      </c>
      <c r="U804" t="s">
        <v>15346</v>
      </c>
      <c r="V804" t="s">
        <v>15347</v>
      </c>
      <c r="W804" t="s">
        <v>15348</v>
      </c>
      <c r="X804" t="s">
        <v>15349</v>
      </c>
      <c r="Y804" t="s">
        <v>15350</v>
      </c>
      <c r="Z804" t="s">
        <v>15351</v>
      </c>
      <c r="AA804" t="s">
        <v>15352</v>
      </c>
      <c r="AB804" t="s">
        <v>15353</v>
      </c>
      <c r="AC804" t="s">
        <v>15354</v>
      </c>
      <c r="AD804" t="s">
        <v>15355</v>
      </c>
      <c r="AE804" t="s">
        <v>15356</v>
      </c>
      <c r="AF804" t="s">
        <v>74</v>
      </c>
      <c r="AG804">
        <v>33</v>
      </c>
      <c r="AH804">
        <v>20</v>
      </c>
      <c r="AI804">
        <v>22</v>
      </c>
      <c r="AJ804">
        <v>1</v>
      </c>
      <c r="AK804">
        <v>16</v>
      </c>
      <c r="AL804" t="s">
        <v>872</v>
      </c>
      <c r="AM804" t="s">
        <v>252</v>
      </c>
      <c r="AN804" t="s">
        <v>873</v>
      </c>
      <c r="AO804" t="s">
        <v>12941</v>
      </c>
      <c r="AP804" t="s">
        <v>12942</v>
      </c>
      <c r="AQ804" t="s">
        <v>74</v>
      </c>
      <c r="AR804" t="s">
        <v>12943</v>
      </c>
      <c r="AS804" t="s">
        <v>12944</v>
      </c>
      <c r="AT804" t="s">
        <v>14858</v>
      </c>
      <c r="AU804">
        <v>2013</v>
      </c>
      <c r="AV804">
        <v>66</v>
      </c>
      <c r="AW804" t="s">
        <v>74</v>
      </c>
      <c r="AX804" t="s">
        <v>74</v>
      </c>
      <c r="AY804" t="s">
        <v>74</v>
      </c>
      <c r="AZ804" t="s">
        <v>74</v>
      </c>
      <c r="BA804" t="s">
        <v>74</v>
      </c>
      <c r="BB804">
        <v>92</v>
      </c>
      <c r="BC804">
        <v>104</v>
      </c>
      <c r="BD804" t="s">
        <v>74</v>
      </c>
      <c r="BE804" t="s">
        <v>15357</v>
      </c>
      <c r="BF804" t="str">
        <f>HYPERLINK("http://dx.doi.org/10.1016/j.csr.2013.07.007","http://dx.doi.org/10.1016/j.csr.2013.07.007")</f>
        <v>http://dx.doi.org/10.1016/j.csr.2013.07.007</v>
      </c>
      <c r="BG804" t="s">
        <v>74</v>
      </c>
      <c r="BH804" t="s">
        <v>74</v>
      </c>
      <c r="BI804">
        <v>13</v>
      </c>
      <c r="BJ804" t="s">
        <v>1613</v>
      </c>
      <c r="BK804" t="s">
        <v>99</v>
      </c>
      <c r="BL804" t="s">
        <v>1613</v>
      </c>
      <c r="BM804" t="s">
        <v>15358</v>
      </c>
      <c r="BN804" t="s">
        <v>74</v>
      </c>
      <c r="BO804" t="s">
        <v>74</v>
      </c>
      <c r="BP804" t="s">
        <v>74</v>
      </c>
      <c r="BQ804" t="s">
        <v>74</v>
      </c>
      <c r="BR804" t="s">
        <v>103</v>
      </c>
      <c r="BS804" t="s">
        <v>15359</v>
      </c>
      <c r="BT804" t="str">
        <f>HYPERLINK("https%3A%2F%2Fwww.webofscience.com%2Fwos%2Fwoscc%2Ffull-record%2FWOS:000324724300010","View Full Record in Web of Science")</f>
        <v>View Full Record in Web of Science</v>
      </c>
    </row>
    <row r="805" spans="1:72" x14ac:dyDescent="0.15">
      <c r="A805" t="s">
        <v>72</v>
      </c>
      <c r="B805" t="s">
        <v>15360</v>
      </c>
      <c r="C805" t="s">
        <v>74</v>
      </c>
      <c r="D805" t="s">
        <v>74</v>
      </c>
      <c r="E805" t="s">
        <v>74</v>
      </c>
      <c r="F805" t="s">
        <v>15361</v>
      </c>
      <c r="G805" t="s">
        <v>74</v>
      </c>
      <c r="H805" t="s">
        <v>74</v>
      </c>
      <c r="I805" t="s">
        <v>15362</v>
      </c>
      <c r="J805" t="s">
        <v>15363</v>
      </c>
      <c r="K805" t="s">
        <v>74</v>
      </c>
      <c r="L805" t="s">
        <v>74</v>
      </c>
      <c r="M805" t="s">
        <v>78</v>
      </c>
      <c r="N805" t="s">
        <v>79</v>
      </c>
      <c r="O805" t="s">
        <v>74</v>
      </c>
      <c r="P805" t="s">
        <v>74</v>
      </c>
      <c r="Q805" t="s">
        <v>74</v>
      </c>
      <c r="R805" t="s">
        <v>74</v>
      </c>
      <c r="S805" t="s">
        <v>74</v>
      </c>
      <c r="T805" t="s">
        <v>15364</v>
      </c>
      <c r="U805" t="s">
        <v>15365</v>
      </c>
      <c r="V805" t="s">
        <v>15366</v>
      </c>
      <c r="W805" t="s">
        <v>15367</v>
      </c>
      <c r="X805" t="s">
        <v>15368</v>
      </c>
      <c r="Y805" t="s">
        <v>15369</v>
      </c>
      <c r="Z805" t="s">
        <v>15370</v>
      </c>
      <c r="AA805" t="s">
        <v>74</v>
      </c>
      <c r="AB805" t="s">
        <v>74</v>
      </c>
      <c r="AC805" t="s">
        <v>15371</v>
      </c>
      <c r="AD805" t="s">
        <v>15371</v>
      </c>
      <c r="AE805" t="s">
        <v>15372</v>
      </c>
      <c r="AF805" t="s">
        <v>74</v>
      </c>
      <c r="AG805">
        <v>23</v>
      </c>
      <c r="AH805">
        <v>6</v>
      </c>
      <c r="AI805">
        <v>7</v>
      </c>
      <c r="AJ805">
        <v>1</v>
      </c>
      <c r="AK805">
        <v>11</v>
      </c>
      <c r="AL805" t="s">
        <v>304</v>
      </c>
      <c r="AM805" t="s">
        <v>305</v>
      </c>
      <c r="AN805" t="s">
        <v>306</v>
      </c>
      <c r="AO805" t="s">
        <v>15373</v>
      </c>
      <c r="AP805" t="s">
        <v>15374</v>
      </c>
      <c r="AQ805" t="s">
        <v>74</v>
      </c>
      <c r="AR805" t="s">
        <v>15375</v>
      </c>
      <c r="AS805" t="s">
        <v>15376</v>
      </c>
      <c r="AT805" t="s">
        <v>14663</v>
      </c>
      <c r="AU805">
        <v>2013</v>
      </c>
      <c r="AV805">
        <v>94</v>
      </c>
      <c r="AW805">
        <v>3</v>
      </c>
      <c r="AX805" t="s">
        <v>74</v>
      </c>
      <c r="AY805" t="s">
        <v>74</v>
      </c>
      <c r="AZ805" t="s">
        <v>74</v>
      </c>
      <c r="BA805" t="s">
        <v>74</v>
      </c>
      <c r="BB805">
        <v>249</v>
      </c>
      <c r="BC805">
        <v>256</v>
      </c>
      <c r="BD805" t="s">
        <v>74</v>
      </c>
      <c r="BE805" t="s">
        <v>15377</v>
      </c>
      <c r="BF805" t="str">
        <f>HYPERLINK("http://dx.doi.org/10.1016/j.mimet.2013.06.012","http://dx.doi.org/10.1016/j.mimet.2013.06.012")</f>
        <v>http://dx.doi.org/10.1016/j.mimet.2013.06.012</v>
      </c>
      <c r="BG805" t="s">
        <v>74</v>
      </c>
      <c r="BH805" t="s">
        <v>74</v>
      </c>
      <c r="BI805">
        <v>8</v>
      </c>
      <c r="BJ805" t="s">
        <v>15378</v>
      </c>
      <c r="BK805" t="s">
        <v>99</v>
      </c>
      <c r="BL805" t="s">
        <v>546</v>
      </c>
      <c r="BM805" t="s">
        <v>15379</v>
      </c>
      <c r="BN805">
        <v>23831436</v>
      </c>
      <c r="BO805" t="s">
        <v>74</v>
      </c>
      <c r="BP805" t="s">
        <v>74</v>
      </c>
      <c r="BQ805" t="s">
        <v>74</v>
      </c>
      <c r="BR805" t="s">
        <v>103</v>
      </c>
      <c r="BS805" t="s">
        <v>15380</v>
      </c>
      <c r="BT805" t="str">
        <f>HYPERLINK("https%3A%2F%2Fwww.webofscience.com%2Fwos%2Fwoscc%2Ffull-record%2FWOS:000324664500016","View Full Record in Web of Science")</f>
        <v>View Full Record in Web of Science</v>
      </c>
    </row>
    <row r="806" spans="1:72" x14ac:dyDescent="0.15">
      <c r="A806" t="s">
        <v>72</v>
      </c>
      <c r="B806" t="s">
        <v>15381</v>
      </c>
      <c r="C806" t="s">
        <v>74</v>
      </c>
      <c r="D806" t="s">
        <v>74</v>
      </c>
      <c r="E806" t="s">
        <v>74</v>
      </c>
      <c r="F806" t="s">
        <v>15382</v>
      </c>
      <c r="G806" t="s">
        <v>74</v>
      </c>
      <c r="H806" t="s">
        <v>74</v>
      </c>
      <c r="I806" t="s">
        <v>15383</v>
      </c>
      <c r="J806" t="s">
        <v>15384</v>
      </c>
      <c r="K806" t="s">
        <v>74</v>
      </c>
      <c r="L806" t="s">
        <v>74</v>
      </c>
      <c r="M806" t="s">
        <v>78</v>
      </c>
      <c r="N806" t="s">
        <v>79</v>
      </c>
      <c r="O806" t="s">
        <v>74</v>
      </c>
      <c r="P806" t="s">
        <v>74</v>
      </c>
      <c r="Q806" t="s">
        <v>74</v>
      </c>
      <c r="R806" t="s">
        <v>74</v>
      </c>
      <c r="S806" t="s">
        <v>74</v>
      </c>
      <c r="T806" t="s">
        <v>15385</v>
      </c>
      <c r="U806" t="s">
        <v>15386</v>
      </c>
      <c r="V806" t="s">
        <v>15387</v>
      </c>
      <c r="W806" t="s">
        <v>15388</v>
      </c>
      <c r="X806" t="s">
        <v>15389</v>
      </c>
      <c r="Y806" t="s">
        <v>15390</v>
      </c>
      <c r="Z806" t="s">
        <v>15391</v>
      </c>
      <c r="AA806" t="s">
        <v>15392</v>
      </c>
      <c r="AB806" t="s">
        <v>15393</v>
      </c>
      <c r="AC806" t="s">
        <v>15394</v>
      </c>
      <c r="AD806" t="s">
        <v>15395</v>
      </c>
      <c r="AE806" t="s">
        <v>15396</v>
      </c>
      <c r="AF806" t="s">
        <v>74</v>
      </c>
      <c r="AG806">
        <v>58</v>
      </c>
      <c r="AH806">
        <v>22</v>
      </c>
      <c r="AI806">
        <v>24</v>
      </c>
      <c r="AJ806">
        <v>1</v>
      </c>
      <c r="AK806">
        <v>165</v>
      </c>
      <c r="AL806" t="s">
        <v>783</v>
      </c>
      <c r="AM806" t="s">
        <v>252</v>
      </c>
      <c r="AN806" t="s">
        <v>784</v>
      </c>
      <c r="AO806" t="s">
        <v>15397</v>
      </c>
      <c r="AP806" t="s">
        <v>15398</v>
      </c>
      <c r="AQ806" t="s">
        <v>74</v>
      </c>
      <c r="AR806" t="s">
        <v>15399</v>
      </c>
      <c r="AS806" t="s">
        <v>15400</v>
      </c>
      <c r="AT806" t="s">
        <v>14663</v>
      </c>
      <c r="AU806">
        <v>2013</v>
      </c>
      <c r="AV806">
        <v>90</v>
      </c>
      <c r="AW806" t="s">
        <v>74</v>
      </c>
      <c r="AX806" t="s">
        <v>74</v>
      </c>
      <c r="AY806" t="s">
        <v>74</v>
      </c>
      <c r="AZ806" t="s">
        <v>74</v>
      </c>
      <c r="BA806" t="s">
        <v>74</v>
      </c>
      <c r="BB806">
        <v>136</v>
      </c>
      <c r="BC806">
        <v>141</v>
      </c>
      <c r="BD806" t="s">
        <v>74</v>
      </c>
      <c r="BE806" t="s">
        <v>15401</v>
      </c>
      <c r="BF806" t="str">
        <f>HYPERLINK("http://dx.doi.org/10.1016/j.marenvres.2013.07.007","http://dx.doi.org/10.1016/j.marenvres.2013.07.007")</f>
        <v>http://dx.doi.org/10.1016/j.marenvres.2013.07.007</v>
      </c>
      <c r="BG806" t="s">
        <v>74</v>
      </c>
      <c r="BH806" t="s">
        <v>74</v>
      </c>
      <c r="BI806">
        <v>6</v>
      </c>
      <c r="BJ806" t="s">
        <v>15402</v>
      </c>
      <c r="BK806" t="s">
        <v>99</v>
      </c>
      <c r="BL806" t="s">
        <v>15403</v>
      </c>
      <c r="BM806" t="s">
        <v>15404</v>
      </c>
      <c r="BN806">
        <v>23948149</v>
      </c>
      <c r="BO806" t="s">
        <v>74</v>
      </c>
      <c r="BP806" t="s">
        <v>74</v>
      </c>
      <c r="BQ806" t="s">
        <v>74</v>
      </c>
      <c r="BR806" t="s">
        <v>103</v>
      </c>
      <c r="BS806" t="s">
        <v>15405</v>
      </c>
      <c r="BT806" t="str">
        <f>HYPERLINK("https%3A%2F%2Fwww.webofscience.com%2Fwos%2Fwoscc%2Ffull-record%2FWOS:000324610200016","View Full Record in Web of Science")</f>
        <v>View Full Record in Web of Science</v>
      </c>
    </row>
    <row r="807" spans="1:72" x14ac:dyDescent="0.15">
      <c r="A807" t="s">
        <v>72</v>
      </c>
      <c r="B807" t="s">
        <v>15406</v>
      </c>
      <c r="C807" t="s">
        <v>74</v>
      </c>
      <c r="D807" t="s">
        <v>74</v>
      </c>
      <c r="E807" t="s">
        <v>74</v>
      </c>
      <c r="F807" t="s">
        <v>15407</v>
      </c>
      <c r="G807" t="s">
        <v>74</v>
      </c>
      <c r="H807" t="s">
        <v>74</v>
      </c>
      <c r="I807" t="s">
        <v>15408</v>
      </c>
      <c r="J807" t="s">
        <v>12042</v>
      </c>
      <c r="K807" t="s">
        <v>74</v>
      </c>
      <c r="L807" t="s">
        <v>74</v>
      </c>
      <c r="M807" t="s">
        <v>78</v>
      </c>
      <c r="N807" t="s">
        <v>79</v>
      </c>
      <c r="O807" t="s">
        <v>74</v>
      </c>
      <c r="P807" t="s">
        <v>74</v>
      </c>
      <c r="Q807" t="s">
        <v>74</v>
      </c>
      <c r="R807" t="s">
        <v>74</v>
      </c>
      <c r="S807" t="s">
        <v>74</v>
      </c>
      <c r="T807" t="s">
        <v>15409</v>
      </c>
      <c r="U807" t="s">
        <v>15410</v>
      </c>
      <c r="V807" t="s">
        <v>15411</v>
      </c>
      <c r="W807" t="s">
        <v>15412</v>
      </c>
      <c r="X807" t="s">
        <v>15413</v>
      </c>
      <c r="Y807" t="s">
        <v>15414</v>
      </c>
      <c r="Z807" t="s">
        <v>15415</v>
      </c>
      <c r="AA807" t="s">
        <v>15416</v>
      </c>
      <c r="AB807" t="s">
        <v>15417</v>
      </c>
      <c r="AC807" t="s">
        <v>15418</v>
      </c>
      <c r="AD807" t="s">
        <v>15419</v>
      </c>
      <c r="AE807" t="s">
        <v>15420</v>
      </c>
      <c r="AF807" t="s">
        <v>74</v>
      </c>
      <c r="AG807">
        <v>103</v>
      </c>
      <c r="AH807">
        <v>20</v>
      </c>
      <c r="AI807">
        <v>22</v>
      </c>
      <c r="AJ807">
        <v>0</v>
      </c>
      <c r="AK807">
        <v>39</v>
      </c>
      <c r="AL807" t="s">
        <v>304</v>
      </c>
      <c r="AM807" t="s">
        <v>305</v>
      </c>
      <c r="AN807" t="s">
        <v>306</v>
      </c>
      <c r="AO807" t="s">
        <v>12052</v>
      </c>
      <c r="AP807" t="s">
        <v>12053</v>
      </c>
      <c r="AQ807" t="s">
        <v>74</v>
      </c>
      <c r="AR807" t="s">
        <v>12054</v>
      </c>
      <c r="AS807" t="s">
        <v>12055</v>
      </c>
      <c r="AT807" t="s">
        <v>14858</v>
      </c>
      <c r="AU807">
        <v>2013</v>
      </c>
      <c r="AV807">
        <v>343</v>
      </c>
      <c r="AW807" t="s">
        <v>74</v>
      </c>
      <c r="AX807" t="s">
        <v>74</v>
      </c>
      <c r="AY807" t="s">
        <v>74</v>
      </c>
      <c r="AZ807" t="s">
        <v>74</v>
      </c>
      <c r="BA807" t="s">
        <v>74</v>
      </c>
      <c r="BB807">
        <v>76</v>
      </c>
      <c r="BC807">
        <v>91</v>
      </c>
      <c r="BD807" t="s">
        <v>74</v>
      </c>
      <c r="BE807" t="s">
        <v>15421</v>
      </c>
      <c r="BF807" t="str">
        <f>HYPERLINK("http://dx.doi.org/10.1016/j.margeo.2013.06.015","http://dx.doi.org/10.1016/j.margeo.2013.06.015")</f>
        <v>http://dx.doi.org/10.1016/j.margeo.2013.06.015</v>
      </c>
      <c r="BG807" t="s">
        <v>74</v>
      </c>
      <c r="BH807" t="s">
        <v>74</v>
      </c>
      <c r="BI807">
        <v>16</v>
      </c>
      <c r="BJ807" t="s">
        <v>12058</v>
      </c>
      <c r="BK807" t="s">
        <v>99</v>
      </c>
      <c r="BL807" t="s">
        <v>12059</v>
      </c>
      <c r="BM807" t="s">
        <v>15422</v>
      </c>
      <c r="BN807" t="s">
        <v>74</v>
      </c>
      <c r="BO807" t="s">
        <v>74</v>
      </c>
      <c r="BP807" t="s">
        <v>74</v>
      </c>
      <c r="BQ807" t="s">
        <v>74</v>
      </c>
      <c r="BR807" t="s">
        <v>103</v>
      </c>
      <c r="BS807" t="s">
        <v>15423</v>
      </c>
      <c r="BT807" t="str">
        <f>HYPERLINK("https%3A%2F%2Fwww.webofscience.com%2Fwos%2Fwoscc%2Ffull-record%2FWOS:000324664600007","View Full Record in Web of Science")</f>
        <v>View Full Record in Web of Science</v>
      </c>
    </row>
    <row r="808" spans="1:72" x14ac:dyDescent="0.15">
      <c r="A808" t="s">
        <v>72</v>
      </c>
      <c r="B808" t="s">
        <v>15424</v>
      </c>
      <c r="C808" t="s">
        <v>74</v>
      </c>
      <c r="D808" t="s">
        <v>74</v>
      </c>
      <c r="E808" t="s">
        <v>74</v>
      </c>
      <c r="F808" t="s">
        <v>15425</v>
      </c>
      <c r="G808" t="s">
        <v>74</v>
      </c>
      <c r="H808" t="s">
        <v>74</v>
      </c>
      <c r="I808" t="s">
        <v>15426</v>
      </c>
      <c r="J808" t="s">
        <v>13854</v>
      </c>
      <c r="K808" t="s">
        <v>74</v>
      </c>
      <c r="L808" t="s">
        <v>74</v>
      </c>
      <c r="M808" t="s">
        <v>78</v>
      </c>
      <c r="N808" t="s">
        <v>79</v>
      </c>
      <c r="O808" t="s">
        <v>74</v>
      </c>
      <c r="P808" t="s">
        <v>74</v>
      </c>
      <c r="Q808" t="s">
        <v>74</v>
      </c>
      <c r="R808" t="s">
        <v>74</v>
      </c>
      <c r="S808" t="s">
        <v>74</v>
      </c>
      <c r="T808" t="s">
        <v>15427</v>
      </c>
      <c r="U808" t="s">
        <v>15428</v>
      </c>
      <c r="V808" t="s">
        <v>15429</v>
      </c>
      <c r="W808" t="s">
        <v>15430</v>
      </c>
      <c r="X808" t="s">
        <v>15431</v>
      </c>
      <c r="Y808" t="s">
        <v>15432</v>
      </c>
      <c r="Z808" t="s">
        <v>15433</v>
      </c>
      <c r="AA808" t="s">
        <v>15434</v>
      </c>
      <c r="AB808" t="s">
        <v>15435</v>
      </c>
      <c r="AC808" t="s">
        <v>15436</v>
      </c>
      <c r="AD808" t="s">
        <v>14942</v>
      </c>
      <c r="AE808" t="s">
        <v>15437</v>
      </c>
      <c r="AF808" t="s">
        <v>74</v>
      </c>
      <c r="AG808">
        <v>75</v>
      </c>
      <c r="AH808">
        <v>14</v>
      </c>
      <c r="AI808">
        <v>15</v>
      </c>
      <c r="AJ808">
        <v>0</v>
      </c>
      <c r="AK808">
        <v>10</v>
      </c>
      <c r="AL808" t="s">
        <v>582</v>
      </c>
      <c r="AM808" t="s">
        <v>305</v>
      </c>
      <c r="AN808" t="s">
        <v>583</v>
      </c>
      <c r="AO808" t="s">
        <v>13867</v>
      </c>
      <c r="AP808" t="s">
        <v>13868</v>
      </c>
      <c r="AQ808" t="s">
        <v>74</v>
      </c>
      <c r="AR808" t="s">
        <v>13869</v>
      </c>
      <c r="AS808" t="s">
        <v>13870</v>
      </c>
      <c r="AT808" t="s">
        <v>14663</v>
      </c>
      <c r="AU808">
        <v>2013</v>
      </c>
      <c r="AV808">
        <v>234</v>
      </c>
      <c r="AW808" t="s">
        <v>74</v>
      </c>
      <c r="AX808" t="s">
        <v>74</v>
      </c>
      <c r="AY808" t="s">
        <v>74</v>
      </c>
      <c r="AZ808" t="s">
        <v>283</v>
      </c>
      <c r="BA808" t="s">
        <v>74</v>
      </c>
      <c r="BB808">
        <v>30</v>
      </c>
      <c r="BC808">
        <v>46</v>
      </c>
      <c r="BD808" t="s">
        <v>74</v>
      </c>
      <c r="BE808" t="s">
        <v>15438</v>
      </c>
      <c r="BF808" t="str">
        <f>HYPERLINK("http://dx.doi.org/10.1016/j.precamres.2013.05.010","http://dx.doi.org/10.1016/j.precamres.2013.05.010")</f>
        <v>http://dx.doi.org/10.1016/j.precamres.2013.05.010</v>
      </c>
      <c r="BG808" t="s">
        <v>74</v>
      </c>
      <c r="BH808" t="s">
        <v>74</v>
      </c>
      <c r="BI808">
        <v>17</v>
      </c>
      <c r="BJ808" t="s">
        <v>337</v>
      </c>
      <c r="BK808" t="s">
        <v>99</v>
      </c>
      <c r="BL808" t="s">
        <v>338</v>
      </c>
      <c r="BM808" t="s">
        <v>15439</v>
      </c>
      <c r="BN808" t="s">
        <v>74</v>
      </c>
      <c r="BO808" t="s">
        <v>74</v>
      </c>
      <c r="BP808" t="s">
        <v>74</v>
      </c>
      <c r="BQ808" t="s">
        <v>74</v>
      </c>
      <c r="BR808" t="s">
        <v>103</v>
      </c>
      <c r="BS808" t="s">
        <v>15440</v>
      </c>
      <c r="BT808" t="str">
        <f>HYPERLINK("https%3A%2F%2Fwww.webofscience.com%2Fwos%2Fwoscc%2Ffull-record%2FWOS:000324665500003","View Full Record in Web of Science")</f>
        <v>View Full Record in Web of Science</v>
      </c>
    </row>
    <row r="809" spans="1:72" x14ac:dyDescent="0.15">
      <c r="A809" t="s">
        <v>72</v>
      </c>
      <c r="B809" t="s">
        <v>15441</v>
      </c>
      <c r="C809" t="s">
        <v>74</v>
      </c>
      <c r="D809" t="s">
        <v>74</v>
      </c>
      <c r="E809" t="s">
        <v>74</v>
      </c>
      <c r="F809" t="s">
        <v>15442</v>
      </c>
      <c r="G809" t="s">
        <v>74</v>
      </c>
      <c r="H809" t="s">
        <v>74</v>
      </c>
      <c r="I809" t="s">
        <v>15443</v>
      </c>
      <c r="J809" t="s">
        <v>13854</v>
      </c>
      <c r="K809" t="s">
        <v>74</v>
      </c>
      <c r="L809" t="s">
        <v>74</v>
      </c>
      <c r="M809" t="s">
        <v>78</v>
      </c>
      <c r="N809" t="s">
        <v>79</v>
      </c>
      <c r="O809" t="s">
        <v>74</v>
      </c>
      <c r="P809" t="s">
        <v>74</v>
      </c>
      <c r="Q809" t="s">
        <v>74</v>
      </c>
      <c r="R809" t="s">
        <v>74</v>
      </c>
      <c r="S809" t="s">
        <v>74</v>
      </c>
      <c r="T809" t="s">
        <v>15444</v>
      </c>
      <c r="U809" t="s">
        <v>15445</v>
      </c>
      <c r="V809" t="s">
        <v>15446</v>
      </c>
      <c r="W809" t="s">
        <v>15447</v>
      </c>
      <c r="X809" t="s">
        <v>15448</v>
      </c>
      <c r="Y809" t="s">
        <v>15449</v>
      </c>
      <c r="Z809" t="s">
        <v>15450</v>
      </c>
      <c r="AA809" t="s">
        <v>15451</v>
      </c>
      <c r="AB809" t="s">
        <v>74</v>
      </c>
      <c r="AC809" t="s">
        <v>15452</v>
      </c>
      <c r="AD809" t="s">
        <v>15453</v>
      </c>
      <c r="AE809" t="s">
        <v>15454</v>
      </c>
      <c r="AF809" t="s">
        <v>74</v>
      </c>
      <c r="AG809">
        <v>90</v>
      </c>
      <c r="AH809">
        <v>38</v>
      </c>
      <c r="AI809">
        <v>38</v>
      </c>
      <c r="AJ809">
        <v>0</v>
      </c>
      <c r="AK809">
        <v>17</v>
      </c>
      <c r="AL809" t="s">
        <v>304</v>
      </c>
      <c r="AM809" t="s">
        <v>305</v>
      </c>
      <c r="AN809" t="s">
        <v>306</v>
      </c>
      <c r="AO809" t="s">
        <v>13867</v>
      </c>
      <c r="AP809" t="s">
        <v>13868</v>
      </c>
      <c r="AQ809" t="s">
        <v>74</v>
      </c>
      <c r="AR809" t="s">
        <v>13869</v>
      </c>
      <c r="AS809" t="s">
        <v>13870</v>
      </c>
      <c r="AT809" t="s">
        <v>14663</v>
      </c>
      <c r="AU809">
        <v>2013</v>
      </c>
      <c r="AV809">
        <v>234</v>
      </c>
      <c r="AW809" t="s">
        <v>74</v>
      </c>
      <c r="AX809" t="s">
        <v>74</v>
      </c>
      <c r="AY809" t="s">
        <v>74</v>
      </c>
      <c r="AZ809" t="s">
        <v>283</v>
      </c>
      <c r="BA809" t="s">
        <v>74</v>
      </c>
      <c r="BB809">
        <v>47</v>
      </c>
      <c r="BC809">
        <v>62</v>
      </c>
      <c r="BD809" t="s">
        <v>74</v>
      </c>
      <c r="BE809" t="s">
        <v>15455</v>
      </c>
      <c r="BF809" t="str">
        <f>HYPERLINK("http://dx.doi.org/10.1016/j.precamres.2012.09.026","http://dx.doi.org/10.1016/j.precamres.2012.09.026")</f>
        <v>http://dx.doi.org/10.1016/j.precamres.2012.09.026</v>
      </c>
      <c r="BG809" t="s">
        <v>74</v>
      </c>
      <c r="BH809" t="s">
        <v>74</v>
      </c>
      <c r="BI809">
        <v>16</v>
      </c>
      <c r="BJ809" t="s">
        <v>337</v>
      </c>
      <c r="BK809" t="s">
        <v>99</v>
      </c>
      <c r="BL809" t="s">
        <v>338</v>
      </c>
      <c r="BM809" t="s">
        <v>15439</v>
      </c>
      <c r="BN809" t="s">
        <v>74</v>
      </c>
      <c r="BO809" t="s">
        <v>74</v>
      </c>
      <c r="BP809" t="s">
        <v>74</v>
      </c>
      <c r="BQ809" t="s">
        <v>74</v>
      </c>
      <c r="BR809" t="s">
        <v>103</v>
      </c>
      <c r="BS809" t="s">
        <v>15456</v>
      </c>
      <c r="BT809" t="str">
        <f>HYPERLINK("https%3A%2F%2Fwww.webofscience.com%2Fwos%2Fwoscc%2Ffull-record%2FWOS:000324665500004","View Full Record in Web of Science")</f>
        <v>View Full Record in Web of Science</v>
      </c>
    </row>
    <row r="810" spans="1:72" x14ac:dyDescent="0.15">
      <c r="A810" t="s">
        <v>72</v>
      </c>
      <c r="B810" t="s">
        <v>15457</v>
      </c>
      <c r="C810" t="s">
        <v>74</v>
      </c>
      <c r="D810" t="s">
        <v>74</v>
      </c>
      <c r="E810" t="s">
        <v>74</v>
      </c>
      <c r="F810" t="s">
        <v>15458</v>
      </c>
      <c r="G810" t="s">
        <v>74</v>
      </c>
      <c r="H810" t="s">
        <v>74</v>
      </c>
      <c r="I810" t="s">
        <v>15459</v>
      </c>
      <c r="J810" t="s">
        <v>13854</v>
      </c>
      <c r="K810" t="s">
        <v>74</v>
      </c>
      <c r="L810" t="s">
        <v>74</v>
      </c>
      <c r="M810" t="s">
        <v>78</v>
      </c>
      <c r="N810" t="s">
        <v>79</v>
      </c>
      <c r="O810" t="s">
        <v>74</v>
      </c>
      <c r="P810" t="s">
        <v>74</v>
      </c>
      <c r="Q810" t="s">
        <v>74</v>
      </c>
      <c r="R810" t="s">
        <v>74</v>
      </c>
      <c r="S810" t="s">
        <v>74</v>
      </c>
      <c r="T810" t="s">
        <v>15460</v>
      </c>
      <c r="U810" t="s">
        <v>15461</v>
      </c>
      <c r="V810" t="s">
        <v>15462</v>
      </c>
      <c r="W810" t="s">
        <v>15463</v>
      </c>
      <c r="X810" t="s">
        <v>15464</v>
      </c>
      <c r="Y810" t="s">
        <v>15465</v>
      </c>
      <c r="Z810" t="s">
        <v>15466</v>
      </c>
      <c r="AA810" t="s">
        <v>15467</v>
      </c>
      <c r="AB810" t="s">
        <v>15468</v>
      </c>
      <c r="AC810" t="s">
        <v>15469</v>
      </c>
      <c r="AD810" t="s">
        <v>15470</v>
      </c>
      <c r="AE810" t="s">
        <v>15471</v>
      </c>
      <c r="AF810" t="s">
        <v>74</v>
      </c>
      <c r="AG810">
        <v>68</v>
      </c>
      <c r="AH810">
        <v>32</v>
      </c>
      <c r="AI810">
        <v>32</v>
      </c>
      <c r="AJ810">
        <v>2</v>
      </c>
      <c r="AK810">
        <v>8</v>
      </c>
      <c r="AL810" t="s">
        <v>304</v>
      </c>
      <c r="AM810" t="s">
        <v>305</v>
      </c>
      <c r="AN810" t="s">
        <v>306</v>
      </c>
      <c r="AO810" t="s">
        <v>13867</v>
      </c>
      <c r="AP810" t="s">
        <v>13868</v>
      </c>
      <c r="AQ810" t="s">
        <v>74</v>
      </c>
      <c r="AR810" t="s">
        <v>13869</v>
      </c>
      <c r="AS810" t="s">
        <v>13870</v>
      </c>
      <c r="AT810" t="s">
        <v>14663</v>
      </c>
      <c r="AU810">
        <v>2013</v>
      </c>
      <c r="AV810">
        <v>234</v>
      </c>
      <c r="AW810" t="s">
        <v>74</v>
      </c>
      <c r="AX810" t="s">
        <v>74</v>
      </c>
      <c r="AY810" t="s">
        <v>74</v>
      </c>
      <c r="AZ810" t="s">
        <v>283</v>
      </c>
      <c r="BA810" t="s">
        <v>74</v>
      </c>
      <c r="BB810">
        <v>63</v>
      </c>
      <c r="BC810">
        <v>84</v>
      </c>
      <c r="BD810" t="s">
        <v>74</v>
      </c>
      <c r="BE810" t="s">
        <v>15472</v>
      </c>
      <c r="BF810" t="str">
        <f>HYPERLINK("http://dx.doi.org/10.1016/j.precamres.2013.02.007","http://dx.doi.org/10.1016/j.precamres.2013.02.007")</f>
        <v>http://dx.doi.org/10.1016/j.precamres.2013.02.007</v>
      </c>
      <c r="BG810" t="s">
        <v>74</v>
      </c>
      <c r="BH810" t="s">
        <v>74</v>
      </c>
      <c r="BI810">
        <v>22</v>
      </c>
      <c r="BJ810" t="s">
        <v>337</v>
      </c>
      <c r="BK810" t="s">
        <v>99</v>
      </c>
      <c r="BL810" t="s">
        <v>338</v>
      </c>
      <c r="BM810" t="s">
        <v>15439</v>
      </c>
      <c r="BN810" t="s">
        <v>74</v>
      </c>
      <c r="BO810" t="s">
        <v>74</v>
      </c>
      <c r="BP810" t="s">
        <v>74</v>
      </c>
      <c r="BQ810" t="s">
        <v>74</v>
      </c>
      <c r="BR810" t="s">
        <v>103</v>
      </c>
      <c r="BS810" t="s">
        <v>15473</v>
      </c>
      <c r="BT810" t="str">
        <f>HYPERLINK("https%3A%2F%2Fwww.webofscience.com%2Fwos%2Fwoscc%2Ffull-record%2FWOS:000324665500005","View Full Record in Web of Science")</f>
        <v>View Full Record in Web of Science</v>
      </c>
    </row>
    <row r="811" spans="1:72" x14ac:dyDescent="0.15">
      <c r="A811" t="s">
        <v>72</v>
      </c>
      <c r="B811" t="s">
        <v>15474</v>
      </c>
      <c r="C811" t="s">
        <v>74</v>
      </c>
      <c r="D811" t="s">
        <v>74</v>
      </c>
      <c r="E811" t="s">
        <v>74</v>
      </c>
      <c r="F811" t="s">
        <v>15475</v>
      </c>
      <c r="G811" t="s">
        <v>74</v>
      </c>
      <c r="H811" t="s">
        <v>74</v>
      </c>
      <c r="I811" t="s">
        <v>15476</v>
      </c>
      <c r="J811" t="s">
        <v>13854</v>
      </c>
      <c r="K811" t="s">
        <v>74</v>
      </c>
      <c r="L811" t="s">
        <v>74</v>
      </c>
      <c r="M811" t="s">
        <v>78</v>
      </c>
      <c r="N811" t="s">
        <v>79</v>
      </c>
      <c r="O811" t="s">
        <v>74</v>
      </c>
      <c r="P811" t="s">
        <v>74</v>
      </c>
      <c r="Q811" t="s">
        <v>74</v>
      </c>
      <c r="R811" t="s">
        <v>74</v>
      </c>
      <c r="S811" t="s">
        <v>74</v>
      </c>
      <c r="T811" t="s">
        <v>15477</v>
      </c>
      <c r="U811" t="s">
        <v>15478</v>
      </c>
      <c r="V811" t="s">
        <v>15479</v>
      </c>
      <c r="W811" t="s">
        <v>15480</v>
      </c>
      <c r="X811" t="s">
        <v>15481</v>
      </c>
      <c r="Y811" t="s">
        <v>15482</v>
      </c>
      <c r="Z811" t="s">
        <v>15483</v>
      </c>
      <c r="AA811" t="s">
        <v>15484</v>
      </c>
      <c r="AB811" t="s">
        <v>15468</v>
      </c>
      <c r="AC811" t="s">
        <v>15485</v>
      </c>
      <c r="AD811" t="s">
        <v>15486</v>
      </c>
      <c r="AE811" t="s">
        <v>15487</v>
      </c>
      <c r="AF811" t="s">
        <v>74</v>
      </c>
      <c r="AG811">
        <v>40</v>
      </c>
      <c r="AH811">
        <v>27</v>
      </c>
      <c r="AI811">
        <v>28</v>
      </c>
      <c r="AJ811">
        <v>1</v>
      </c>
      <c r="AK811">
        <v>20</v>
      </c>
      <c r="AL811" t="s">
        <v>304</v>
      </c>
      <c r="AM811" t="s">
        <v>305</v>
      </c>
      <c r="AN811" t="s">
        <v>306</v>
      </c>
      <c r="AO811" t="s">
        <v>13867</v>
      </c>
      <c r="AP811" t="s">
        <v>13868</v>
      </c>
      <c r="AQ811" t="s">
        <v>74</v>
      </c>
      <c r="AR811" t="s">
        <v>13869</v>
      </c>
      <c r="AS811" t="s">
        <v>13870</v>
      </c>
      <c r="AT811" t="s">
        <v>14663</v>
      </c>
      <c r="AU811">
        <v>2013</v>
      </c>
      <c r="AV811">
        <v>234</v>
      </c>
      <c r="AW811" t="s">
        <v>74</v>
      </c>
      <c r="AX811" t="s">
        <v>74</v>
      </c>
      <c r="AY811" t="s">
        <v>74</v>
      </c>
      <c r="AZ811" t="s">
        <v>283</v>
      </c>
      <c r="BA811" t="s">
        <v>74</v>
      </c>
      <c r="BB811">
        <v>136</v>
      </c>
      <c r="BC811">
        <v>160</v>
      </c>
      <c r="BD811" t="s">
        <v>74</v>
      </c>
      <c r="BE811" t="s">
        <v>15488</v>
      </c>
      <c r="BF811" t="str">
        <f>HYPERLINK("http://dx.doi.org/10.1016/j.precamres.2012.11.011","http://dx.doi.org/10.1016/j.precamres.2012.11.011")</f>
        <v>http://dx.doi.org/10.1016/j.precamres.2012.11.011</v>
      </c>
      <c r="BG811" t="s">
        <v>74</v>
      </c>
      <c r="BH811" t="s">
        <v>74</v>
      </c>
      <c r="BI811">
        <v>25</v>
      </c>
      <c r="BJ811" t="s">
        <v>337</v>
      </c>
      <c r="BK811" t="s">
        <v>99</v>
      </c>
      <c r="BL811" t="s">
        <v>338</v>
      </c>
      <c r="BM811" t="s">
        <v>15439</v>
      </c>
      <c r="BN811" t="s">
        <v>74</v>
      </c>
      <c r="BO811" t="s">
        <v>74</v>
      </c>
      <c r="BP811" t="s">
        <v>74</v>
      </c>
      <c r="BQ811" t="s">
        <v>74</v>
      </c>
      <c r="BR811" t="s">
        <v>103</v>
      </c>
      <c r="BS811" t="s">
        <v>15489</v>
      </c>
      <c r="BT811" t="str">
        <f>HYPERLINK("https%3A%2F%2Fwww.webofscience.com%2Fwos%2Fwoscc%2Ffull-record%2FWOS:000324665500007","View Full Record in Web of Science")</f>
        <v>View Full Record in Web of Science</v>
      </c>
    </row>
    <row r="812" spans="1:72" x14ac:dyDescent="0.15">
      <c r="A812" t="s">
        <v>72</v>
      </c>
      <c r="B812" t="s">
        <v>15490</v>
      </c>
      <c r="C812" t="s">
        <v>74</v>
      </c>
      <c r="D812" t="s">
        <v>74</v>
      </c>
      <c r="E812" t="s">
        <v>74</v>
      </c>
      <c r="F812" t="s">
        <v>15491</v>
      </c>
      <c r="G812" t="s">
        <v>74</v>
      </c>
      <c r="H812" t="s">
        <v>74</v>
      </c>
      <c r="I812" t="s">
        <v>15492</v>
      </c>
      <c r="J812" t="s">
        <v>13854</v>
      </c>
      <c r="K812" t="s">
        <v>74</v>
      </c>
      <c r="L812" t="s">
        <v>74</v>
      </c>
      <c r="M812" t="s">
        <v>78</v>
      </c>
      <c r="N812" t="s">
        <v>79</v>
      </c>
      <c r="O812" t="s">
        <v>74</v>
      </c>
      <c r="P812" t="s">
        <v>74</v>
      </c>
      <c r="Q812" t="s">
        <v>74</v>
      </c>
      <c r="R812" t="s">
        <v>74</v>
      </c>
      <c r="S812" t="s">
        <v>74</v>
      </c>
      <c r="T812" t="s">
        <v>15493</v>
      </c>
      <c r="U812" t="s">
        <v>15494</v>
      </c>
      <c r="V812" t="s">
        <v>15495</v>
      </c>
      <c r="W812" t="s">
        <v>15496</v>
      </c>
      <c r="X812" t="s">
        <v>15497</v>
      </c>
      <c r="Y812" t="s">
        <v>15498</v>
      </c>
      <c r="Z812" t="s">
        <v>15499</v>
      </c>
      <c r="AA812" t="s">
        <v>15500</v>
      </c>
      <c r="AB812" t="s">
        <v>15501</v>
      </c>
      <c r="AC812" t="s">
        <v>15502</v>
      </c>
      <c r="AD812" t="s">
        <v>15503</v>
      </c>
      <c r="AE812" t="s">
        <v>15504</v>
      </c>
      <c r="AF812" t="s">
        <v>74</v>
      </c>
      <c r="AG812">
        <v>53</v>
      </c>
      <c r="AH812">
        <v>15</v>
      </c>
      <c r="AI812">
        <v>15</v>
      </c>
      <c r="AJ812">
        <v>0</v>
      </c>
      <c r="AK812">
        <v>18</v>
      </c>
      <c r="AL812" t="s">
        <v>582</v>
      </c>
      <c r="AM812" t="s">
        <v>305</v>
      </c>
      <c r="AN812" t="s">
        <v>583</v>
      </c>
      <c r="AO812" t="s">
        <v>13867</v>
      </c>
      <c r="AP812" t="s">
        <v>13868</v>
      </c>
      <c r="AQ812" t="s">
        <v>74</v>
      </c>
      <c r="AR812" t="s">
        <v>13869</v>
      </c>
      <c r="AS812" t="s">
        <v>13870</v>
      </c>
      <c r="AT812" t="s">
        <v>14663</v>
      </c>
      <c r="AU812">
        <v>2013</v>
      </c>
      <c r="AV812">
        <v>234</v>
      </c>
      <c r="AW812" t="s">
        <v>74</v>
      </c>
      <c r="AX812" t="s">
        <v>74</v>
      </c>
      <c r="AY812" t="s">
        <v>74</v>
      </c>
      <c r="AZ812" t="s">
        <v>283</v>
      </c>
      <c r="BA812" t="s">
        <v>74</v>
      </c>
      <c r="BB812">
        <v>161</v>
      </c>
      <c r="BC812">
        <v>182</v>
      </c>
      <c r="BD812" t="s">
        <v>74</v>
      </c>
      <c r="BE812" t="s">
        <v>15505</v>
      </c>
      <c r="BF812" t="str">
        <f>HYPERLINK("http://dx.doi.org/10.1016/j.precamres.2012.10.009","http://dx.doi.org/10.1016/j.precamres.2012.10.009")</f>
        <v>http://dx.doi.org/10.1016/j.precamres.2012.10.009</v>
      </c>
      <c r="BG812" t="s">
        <v>74</v>
      </c>
      <c r="BH812" t="s">
        <v>74</v>
      </c>
      <c r="BI812">
        <v>22</v>
      </c>
      <c r="BJ812" t="s">
        <v>337</v>
      </c>
      <c r="BK812" t="s">
        <v>99</v>
      </c>
      <c r="BL812" t="s">
        <v>338</v>
      </c>
      <c r="BM812" t="s">
        <v>15439</v>
      </c>
      <c r="BN812" t="s">
        <v>74</v>
      </c>
      <c r="BO812" t="s">
        <v>74</v>
      </c>
      <c r="BP812" t="s">
        <v>74</v>
      </c>
      <c r="BQ812" t="s">
        <v>74</v>
      </c>
      <c r="BR812" t="s">
        <v>103</v>
      </c>
      <c r="BS812" t="s">
        <v>15506</v>
      </c>
      <c r="BT812" t="str">
        <f>HYPERLINK("https%3A%2F%2Fwww.webofscience.com%2Fwos%2Fwoscc%2Ffull-record%2FWOS:000324665500008","View Full Record in Web of Science")</f>
        <v>View Full Record in Web of Science</v>
      </c>
    </row>
    <row r="813" spans="1:72" x14ac:dyDescent="0.15">
      <c r="A813" t="s">
        <v>72</v>
      </c>
      <c r="B813" t="s">
        <v>15507</v>
      </c>
      <c r="C813" t="s">
        <v>74</v>
      </c>
      <c r="D813" t="s">
        <v>74</v>
      </c>
      <c r="E813" t="s">
        <v>74</v>
      </c>
      <c r="F813" t="s">
        <v>15508</v>
      </c>
      <c r="G813" t="s">
        <v>74</v>
      </c>
      <c r="H813" t="s">
        <v>74</v>
      </c>
      <c r="I813" t="s">
        <v>15509</v>
      </c>
      <c r="J813" t="s">
        <v>13854</v>
      </c>
      <c r="K813" t="s">
        <v>74</v>
      </c>
      <c r="L813" t="s">
        <v>74</v>
      </c>
      <c r="M813" t="s">
        <v>78</v>
      </c>
      <c r="N813" t="s">
        <v>79</v>
      </c>
      <c r="O813" t="s">
        <v>74</v>
      </c>
      <c r="P813" t="s">
        <v>74</v>
      </c>
      <c r="Q813" t="s">
        <v>74</v>
      </c>
      <c r="R813" t="s">
        <v>74</v>
      </c>
      <c r="S813" t="s">
        <v>74</v>
      </c>
      <c r="T813" t="s">
        <v>15510</v>
      </c>
      <c r="U813" t="s">
        <v>15511</v>
      </c>
      <c r="V813" t="s">
        <v>15512</v>
      </c>
      <c r="W813" t="s">
        <v>15513</v>
      </c>
      <c r="X813" t="s">
        <v>15514</v>
      </c>
      <c r="Y813" t="s">
        <v>15515</v>
      </c>
      <c r="Z813" t="s">
        <v>15516</v>
      </c>
      <c r="AA813" t="s">
        <v>15517</v>
      </c>
      <c r="AB813" t="s">
        <v>15468</v>
      </c>
      <c r="AC813" t="s">
        <v>15518</v>
      </c>
      <c r="AD813" t="s">
        <v>15519</v>
      </c>
      <c r="AE813" t="s">
        <v>15520</v>
      </c>
      <c r="AF813" t="s">
        <v>74</v>
      </c>
      <c r="AG813">
        <v>56</v>
      </c>
      <c r="AH813">
        <v>16</v>
      </c>
      <c r="AI813">
        <v>17</v>
      </c>
      <c r="AJ813">
        <v>1</v>
      </c>
      <c r="AK813">
        <v>18</v>
      </c>
      <c r="AL813" t="s">
        <v>304</v>
      </c>
      <c r="AM813" t="s">
        <v>305</v>
      </c>
      <c r="AN813" t="s">
        <v>306</v>
      </c>
      <c r="AO813" t="s">
        <v>13867</v>
      </c>
      <c r="AP813" t="s">
        <v>13868</v>
      </c>
      <c r="AQ813" t="s">
        <v>74</v>
      </c>
      <c r="AR813" t="s">
        <v>13869</v>
      </c>
      <c r="AS813" t="s">
        <v>13870</v>
      </c>
      <c r="AT813" t="s">
        <v>14663</v>
      </c>
      <c r="AU813">
        <v>2013</v>
      </c>
      <c r="AV813">
        <v>234</v>
      </c>
      <c r="AW813" t="s">
        <v>74</v>
      </c>
      <c r="AX813" t="s">
        <v>74</v>
      </c>
      <c r="AY813" t="s">
        <v>74</v>
      </c>
      <c r="AZ813" t="s">
        <v>283</v>
      </c>
      <c r="BA813" t="s">
        <v>74</v>
      </c>
      <c r="BB813">
        <v>183</v>
      </c>
      <c r="BC813">
        <v>209</v>
      </c>
      <c r="BD813" t="s">
        <v>74</v>
      </c>
      <c r="BE813" t="s">
        <v>15521</v>
      </c>
      <c r="BF813" t="str">
        <f>HYPERLINK("http://dx.doi.org/10.1016/j.precamres.2012.12.002","http://dx.doi.org/10.1016/j.precamres.2012.12.002")</f>
        <v>http://dx.doi.org/10.1016/j.precamres.2012.12.002</v>
      </c>
      <c r="BG813" t="s">
        <v>74</v>
      </c>
      <c r="BH813" t="s">
        <v>74</v>
      </c>
      <c r="BI813">
        <v>27</v>
      </c>
      <c r="BJ813" t="s">
        <v>337</v>
      </c>
      <c r="BK813" t="s">
        <v>99</v>
      </c>
      <c r="BL813" t="s">
        <v>338</v>
      </c>
      <c r="BM813" t="s">
        <v>15439</v>
      </c>
      <c r="BN813" t="s">
        <v>74</v>
      </c>
      <c r="BO813" t="s">
        <v>74</v>
      </c>
      <c r="BP813" t="s">
        <v>74</v>
      </c>
      <c r="BQ813" t="s">
        <v>74</v>
      </c>
      <c r="BR813" t="s">
        <v>103</v>
      </c>
      <c r="BS813" t="s">
        <v>15522</v>
      </c>
      <c r="BT813" t="str">
        <f>HYPERLINK("https%3A%2F%2Fwww.webofscience.com%2Fwos%2Fwoscc%2Ffull-record%2FWOS:000324665500009","View Full Record in Web of Science")</f>
        <v>View Full Record in Web of Science</v>
      </c>
    </row>
    <row r="814" spans="1:72" x14ac:dyDescent="0.15">
      <c r="A814" t="s">
        <v>72</v>
      </c>
      <c r="B814" t="s">
        <v>15523</v>
      </c>
      <c r="C814" t="s">
        <v>74</v>
      </c>
      <c r="D814" t="s">
        <v>74</v>
      </c>
      <c r="E814" t="s">
        <v>74</v>
      </c>
      <c r="F814" t="s">
        <v>15524</v>
      </c>
      <c r="G814" t="s">
        <v>74</v>
      </c>
      <c r="H814" t="s">
        <v>74</v>
      </c>
      <c r="I814" t="s">
        <v>15525</v>
      </c>
      <c r="J814" t="s">
        <v>13854</v>
      </c>
      <c r="K814" t="s">
        <v>74</v>
      </c>
      <c r="L814" t="s">
        <v>74</v>
      </c>
      <c r="M814" t="s">
        <v>78</v>
      </c>
      <c r="N814" t="s">
        <v>79</v>
      </c>
      <c r="O814" t="s">
        <v>74</v>
      </c>
      <c r="P814" t="s">
        <v>74</v>
      </c>
      <c r="Q814" t="s">
        <v>74</v>
      </c>
      <c r="R814" t="s">
        <v>74</v>
      </c>
      <c r="S814" t="s">
        <v>74</v>
      </c>
      <c r="T814" t="s">
        <v>15526</v>
      </c>
      <c r="U814" t="s">
        <v>15527</v>
      </c>
      <c r="V814" t="s">
        <v>15528</v>
      </c>
      <c r="W814" t="s">
        <v>15529</v>
      </c>
      <c r="X814" t="s">
        <v>15530</v>
      </c>
      <c r="Y814" t="s">
        <v>15531</v>
      </c>
      <c r="Z814" t="s">
        <v>15532</v>
      </c>
      <c r="AA814" t="s">
        <v>15533</v>
      </c>
      <c r="AB814" t="s">
        <v>15534</v>
      </c>
      <c r="AC814" t="s">
        <v>15535</v>
      </c>
      <c r="AD814" t="s">
        <v>15503</v>
      </c>
      <c r="AE814" t="s">
        <v>15536</v>
      </c>
      <c r="AF814" t="s">
        <v>74</v>
      </c>
      <c r="AG814">
        <v>33</v>
      </c>
      <c r="AH814">
        <v>11</v>
      </c>
      <c r="AI814">
        <v>12</v>
      </c>
      <c r="AJ814">
        <v>2</v>
      </c>
      <c r="AK814">
        <v>9</v>
      </c>
      <c r="AL814" t="s">
        <v>582</v>
      </c>
      <c r="AM814" t="s">
        <v>305</v>
      </c>
      <c r="AN814" t="s">
        <v>583</v>
      </c>
      <c r="AO814" t="s">
        <v>13867</v>
      </c>
      <c r="AP814" t="s">
        <v>74</v>
      </c>
      <c r="AQ814" t="s">
        <v>74</v>
      </c>
      <c r="AR814" t="s">
        <v>13869</v>
      </c>
      <c r="AS814" t="s">
        <v>13870</v>
      </c>
      <c r="AT814" t="s">
        <v>14663</v>
      </c>
      <c r="AU814">
        <v>2013</v>
      </c>
      <c r="AV814">
        <v>234</v>
      </c>
      <c r="AW814" t="s">
        <v>74</v>
      </c>
      <c r="AX814" t="s">
        <v>74</v>
      </c>
      <c r="AY814" t="s">
        <v>74</v>
      </c>
      <c r="AZ814" t="s">
        <v>283</v>
      </c>
      <c r="BA814" t="s">
        <v>74</v>
      </c>
      <c r="BB814">
        <v>247</v>
      </c>
      <c r="BC814">
        <v>256</v>
      </c>
      <c r="BD814" t="s">
        <v>74</v>
      </c>
      <c r="BE814" t="s">
        <v>15537</v>
      </c>
      <c r="BF814" t="str">
        <f>HYPERLINK("http://dx.doi.org/10.1016/j.precamres.2013.04.015","http://dx.doi.org/10.1016/j.precamres.2013.04.015")</f>
        <v>http://dx.doi.org/10.1016/j.precamres.2013.04.015</v>
      </c>
      <c r="BG814" t="s">
        <v>74</v>
      </c>
      <c r="BH814" t="s">
        <v>74</v>
      </c>
      <c r="BI814">
        <v>10</v>
      </c>
      <c r="BJ814" t="s">
        <v>337</v>
      </c>
      <c r="BK814" t="s">
        <v>99</v>
      </c>
      <c r="BL814" t="s">
        <v>338</v>
      </c>
      <c r="BM814" t="s">
        <v>15439</v>
      </c>
      <c r="BN814" t="s">
        <v>74</v>
      </c>
      <c r="BO814" t="s">
        <v>74</v>
      </c>
      <c r="BP814" t="s">
        <v>74</v>
      </c>
      <c r="BQ814" t="s">
        <v>74</v>
      </c>
      <c r="BR814" t="s">
        <v>103</v>
      </c>
      <c r="BS814" t="s">
        <v>15538</v>
      </c>
      <c r="BT814" t="str">
        <f>HYPERLINK("https%3A%2F%2Fwww.webofscience.com%2Fwos%2Fwoscc%2Ffull-record%2FWOS:000324665500012","View Full Record in Web of Science")</f>
        <v>View Full Record in Web of Science</v>
      </c>
    </row>
    <row r="815" spans="1:72" x14ac:dyDescent="0.15">
      <c r="A815" t="s">
        <v>72</v>
      </c>
      <c r="B815" t="s">
        <v>15539</v>
      </c>
      <c r="C815" t="s">
        <v>74</v>
      </c>
      <c r="D815" t="s">
        <v>74</v>
      </c>
      <c r="E815" t="s">
        <v>74</v>
      </c>
      <c r="F815" t="s">
        <v>15540</v>
      </c>
      <c r="G815" t="s">
        <v>74</v>
      </c>
      <c r="H815" t="s">
        <v>74</v>
      </c>
      <c r="I815" t="s">
        <v>15541</v>
      </c>
      <c r="J815" t="s">
        <v>13854</v>
      </c>
      <c r="K815" t="s">
        <v>74</v>
      </c>
      <c r="L815" t="s">
        <v>74</v>
      </c>
      <c r="M815" t="s">
        <v>78</v>
      </c>
      <c r="N815" t="s">
        <v>79</v>
      </c>
      <c r="O815" t="s">
        <v>74</v>
      </c>
      <c r="P815" t="s">
        <v>74</v>
      </c>
      <c r="Q815" t="s">
        <v>74</v>
      </c>
      <c r="R815" t="s">
        <v>74</v>
      </c>
      <c r="S815" t="s">
        <v>74</v>
      </c>
      <c r="T815" t="s">
        <v>15542</v>
      </c>
      <c r="U815" t="s">
        <v>15543</v>
      </c>
      <c r="V815" t="s">
        <v>15544</v>
      </c>
      <c r="W815" t="s">
        <v>15545</v>
      </c>
      <c r="X815" t="s">
        <v>15546</v>
      </c>
      <c r="Y815" t="s">
        <v>15547</v>
      </c>
      <c r="Z815" t="s">
        <v>15548</v>
      </c>
      <c r="AA815" t="s">
        <v>74</v>
      </c>
      <c r="AB815" t="s">
        <v>15549</v>
      </c>
      <c r="AC815" t="s">
        <v>15550</v>
      </c>
      <c r="AD815" t="s">
        <v>15551</v>
      </c>
      <c r="AE815" t="s">
        <v>15552</v>
      </c>
      <c r="AF815" t="s">
        <v>74</v>
      </c>
      <c r="AG815">
        <v>38</v>
      </c>
      <c r="AH815">
        <v>24</v>
      </c>
      <c r="AI815">
        <v>25</v>
      </c>
      <c r="AJ815">
        <v>0</v>
      </c>
      <c r="AK815">
        <v>17</v>
      </c>
      <c r="AL815" t="s">
        <v>582</v>
      </c>
      <c r="AM815" t="s">
        <v>305</v>
      </c>
      <c r="AN815" t="s">
        <v>583</v>
      </c>
      <c r="AO815" t="s">
        <v>13867</v>
      </c>
      <c r="AP815" t="s">
        <v>13868</v>
      </c>
      <c r="AQ815" t="s">
        <v>74</v>
      </c>
      <c r="AR815" t="s">
        <v>13869</v>
      </c>
      <c r="AS815" t="s">
        <v>13870</v>
      </c>
      <c r="AT815" t="s">
        <v>14663</v>
      </c>
      <c r="AU815">
        <v>2013</v>
      </c>
      <c r="AV815">
        <v>234</v>
      </c>
      <c r="AW815" t="s">
        <v>74</v>
      </c>
      <c r="AX815" t="s">
        <v>74</v>
      </c>
      <c r="AY815" t="s">
        <v>74</v>
      </c>
      <c r="AZ815" t="s">
        <v>283</v>
      </c>
      <c r="BA815" t="s">
        <v>74</v>
      </c>
      <c r="BB815">
        <v>279</v>
      </c>
      <c r="BC815">
        <v>287</v>
      </c>
      <c r="BD815" t="s">
        <v>74</v>
      </c>
      <c r="BE815" t="s">
        <v>15553</v>
      </c>
      <c r="BF815" t="str">
        <f>HYPERLINK("http://dx.doi.org/10.1016/j.precamres.2013.02.008","http://dx.doi.org/10.1016/j.precamres.2013.02.008")</f>
        <v>http://dx.doi.org/10.1016/j.precamres.2013.02.008</v>
      </c>
      <c r="BG815" t="s">
        <v>74</v>
      </c>
      <c r="BH815" t="s">
        <v>74</v>
      </c>
      <c r="BI815">
        <v>9</v>
      </c>
      <c r="BJ815" t="s">
        <v>337</v>
      </c>
      <c r="BK815" t="s">
        <v>99</v>
      </c>
      <c r="BL815" t="s">
        <v>338</v>
      </c>
      <c r="BM815" t="s">
        <v>15439</v>
      </c>
      <c r="BN815" t="s">
        <v>74</v>
      </c>
      <c r="BO815" t="s">
        <v>74</v>
      </c>
      <c r="BP815" t="s">
        <v>74</v>
      </c>
      <c r="BQ815" t="s">
        <v>74</v>
      </c>
      <c r="BR815" t="s">
        <v>103</v>
      </c>
      <c r="BS815" t="s">
        <v>15554</v>
      </c>
      <c r="BT815" t="str">
        <f>HYPERLINK("https%3A%2F%2Fwww.webofscience.com%2Fwos%2Fwoscc%2Ffull-record%2FWOS:000324665500014","View Full Record in Web of Science")</f>
        <v>View Full Record in Web of Science</v>
      </c>
    </row>
    <row r="816" spans="1:72" x14ac:dyDescent="0.15">
      <c r="A816" t="s">
        <v>72</v>
      </c>
      <c r="B816" t="s">
        <v>15555</v>
      </c>
      <c r="C816" t="s">
        <v>74</v>
      </c>
      <c r="D816" t="s">
        <v>74</v>
      </c>
      <c r="E816" t="s">
        <v>74</v>
      </c>
      <c r="F816" t="s">
        <v>15556</v>
      </c>
      <c r="G816" t="s">
        <v>74</v>
      </c>
      <c r="H816" t="s">
        <v>74</v>
      </c>
      <c r="I816" t="s">
        <v>15557</v>
      </c>
      <c r="J816" t="s">
        <v>15558</v>
      </c>
      <c r="K816" t="s">
        <v>74</v>
      </c>
      <c r="L816" t="s">
        <v>74</v>
      </c>
      <c r="M816" t="s">
        <v>78</v>
      </c>
      <c r="N816" t="s">
        <v>79</v>
      </c>
      <c r="O816" t="s">
        <v>74</v>
      </c>
      <c r="P816" t="s">
        <v>74</v>
      </c>
      <c r="Q816" t="s">
        <v>74</v>
      </c>
      <c r="R816" t="s">
        <v>74</v>
      </c>
      <c r="S816" t="s">
        <v>74</v>
      </c>
      <c r="T816" t="s">
        <v>15559</v>
      </c>
      <c r="U816" t="s">
        <v>15560</v>
      </c>
      <c r="V816" t="s">
        <v>15561</v>
      </c>
      <c r="W816" t="s">
        <v>15562</v>
      </c>
      <c r="X816" t="s">
        <v>15563</v>
      </c>
      <c r="Y816" t="s">
        <v>15564</v>
      </c>
      <c r="Z816" t="s">
        <v>15565</v>
      </c>
      <c r="AA816" t="s">
        <v>74</v>
      </c>
      <c r="AB816" t="s">
        <v>74</v>
      </c>
      <c r="AC816" t="s">
        <v>15566</v>
      </c>
      <c r="AD816" t="s">
        <v>10098</v>
      </c>
      <c r="AE816" t="s">
        <v>74</v>
      </c>
      <c r="AF816" t="s">
        <v>74</v>
      </c>
      <c r="AG816">
        <v>38</v>
      </c>
      <c r="AH816">
        <v>21</v>
      </c>
      <c r="AI816">
        <v>25</v>
      </c>
      <c r="AJ816">
        <v>0</v>
      </c>
      <c r="AK816">
        <v>35</v>
      </c>
      <c r="AL816" t="s">
        <v>624</v>
      </c>
      <c r="AM816" t="s">
        <v>411</v>
      </c>
      <c r="AN816" t="s">
        <v>412</v>
      </c>
      <c r="AO816" t="s">
        <v>15567</v>
      </c>
      <c r="AP816" t="s">
        <v>74</v>
      </c>
      <c r="AQ816" t="s">
        <v>74</v>
      </c>
      <c r="AR816" t="s">
        <v>15568</v>
      </c>
      <c r="AS816" t="s">
        <v>15569</v>
      </c>
      <c r="AT816" t="s">
        <v>14663</v>
      </c>
      <c r="AU816">
        <v>2013</v>
      </c>
      <c r="AV816">
        <v>44</v>
      </c>
      <c r="AW816">
        <v>10</v>
      </c>
      <c r="AX816" t="s">
        <v>74</v>
      </c>
      <c r="AY816" t="s">
        <v>74</v>
      </c>
      <c r="AZ816" t="s">
        <v>74</v>
      </c>
      <c r="BA816" t="s">
        <v>74</v>
      </c>
      <c r="BB816">
        <v>1531</v>
      </c>
      <c r="BC816">
        <v>1538</v>
      </c>
      <c r="BD816" t="s">
        <v>74</v>
      </c>
      <c r="BE816" t="s">
        <v>15570</v>
      </c>
      <c r="BF816" t="str">
        <f>HYPERLINK("http://dx.doi.org/10.1111/j.1365-2109.2012.03160.x","http://dx.doi.org/10.1111/j.1365-2109.2012.03160.x")</f>
        <v>http://dx.doi.org/10.1111/j.1365-2109.2012.03160.x</v>
      </c>
      <c r="BG816" t="s">
        <v>74</v>
      </c>
      <c r="BH816" t="s">
        <v>74</v>
      </c>
      <c r="BI816">
        <v>8</v>
      </c>
      <c r="BJ816" t="s">
        <v>589</v>
      </c>
      <c r="BK816" t="s">
        <v>99</v>
      </c>
      <c r="BL816" t="s">
        <v>589</v>
      </c>
      <c r="BM816" t="s">
        <v>15571</v>
      </c>
      <c r="BN816" t="s">
        <v>74</v>
      </c>
      <c r="BO816" t="s">
        <v>657</v>
      </c>
      <c r="BP816" t="s">
        <v>74</v>
      </c>
      <c r="BQ816" t="s">
        <v>74</v>
      </c>
      <c r="BR816" t="s">
        <v>103</v>
      </c>
      <c r="BS816" t="s">
        <v>15572</v>
      </c>
      <c r="BT816" t="str">
        <f>HYPERLINK("https%3A%2F%2Fwww.webofscience.com%2Fwos%2Fwoscc%2Ffull-record%2FWOS:000323930400005","View Full Record in Web of Science")</f>
        <v>View Full Record in Web of Science</v>
      </c>
    </row>
    <row r="817" spans="1:72" x14ac:dyDescent="0.15">
      <c r="A817" t="s">
        <v>72</v>
      </c>
      <c r="B817" t="s">
        <v>15573</v>
      </c>
      <c r="C817" t="s">
        <v>74</v>
      </c>
      <c r="D817" t="s">
        <v>74</v>
      </c>
      <c r="E817" t="s">
        <v>74</v>
      </c>
      <c r="F817" t="s">
        <v>15574</v>
      </c>
      <c r="G817" t="s">
        <v>74</v>
      </c>
      <c r="H817" t="s">
        <v>74</v>
      </c>
      <c r="I817" t="s">
        <v>15575</v>
      </c>
      <c r="J817" t="s">
        <v>7691</v>
      </c>
      <c r="K817" t="s">
        <v>74</v>
      </c>
      <c r="L817" t="s">
        <v>74</v>
      </c>
      <c r="M817" t="s">
        <v>78</v>
      </c>
      <c r="N817" t="s">
        <v>79</v>
      </c>
      <c r="O817" t="s">
        <v>74</v>
      </c>
      <c r="P817" t="s">
        <v>74</v>
      </c>
      <c r="Q817" t="s">
        <v>74</v>
      </c>
      <c r="R817" t="s">
        <v>74</v>
      </c>
      <c r="S817" t="s">
        <v>74</v>
      </c>
      <c r="T817" t="s">
        <v>15576</v>
      </c>
      <c r="U817" t="s">
        <v>15577</v>
      </c>
      <c r="V817" t="s">
        <v>15578</v>
      </c>
      <c r="W817" t="s">
        <v>15579</v>
      </c>
      <c r="X817" t="s">
        <v>15580</v>
      </c>
      <c r="Y817" t="s">
        <v>15581</v>
      </c>
      <c r="Z817" t="s">
        <v>15582</v>
      </c>
      <c r="AA817" t="s">
        <v>15583</v>
      </c>
      <c r="AB817" t="s">
        <v>15584</v>
      </c>
      <c r="AC817" t="s">
        <v>15585</v>
      </c>
      <c r="AD817" t="s">
        <v>15585</v>
      </c>
      <c r="AE817" t="s">
        <v>15586</v>
      </c>
      <c r="AF817" t="s">
        <v>74</v>
      </c>
      <c r="AG817">
        <v>12</v>
      </c>
      <c r="AH817">
        <v>7</v>
      </c>
      <c r="AI817">
        <v>8</v>
      </c>
      <c r="AJ817">
        <v>3</v>
      </c>
      <c r="AK817">
        <v>44</v>
      </c>
      <c r="AL817" t="s">
        <v>1067</v>
      </c>
      <c r="AM817" t="s">
        <v>1068</v>
      </c>
      <c r="AN817" t="s">
        <v>1163</v>
      </c>
      <c r="AO817" t="s">
        <v>7704</v>
      </c>
      <c r="AP817" t="s">
        <v>7705</v>
      </c>
      <c r="AQ817" t="s">
        <v>74</v>
      </c>
      <c r="AR817" t="s">
        <v>7706</v>
      </c>
      <c r="AS817" t="s">
        <v>7707</v>
      </c>
      <c r="AT817" t="s">
        <v>14663</v>
      </c>
      <c r="AU817">
        <v>2013</v>
      </c>
      <c r="AV817">
        <v>5</v>
      </c>
      <c r="AW817">
        <v>3</v>
      </c>
      <c r="AX817" t="s">
        <v>74</v>
      </c>
      <c r="AY817" t="s">
        <v>74</v>
      </c>
      <c r="AZ817" t="s">
        <v>74</v>
      </c>
      <c r="BA817" t="s">
        <v>74</v>
      </c>
      <c r="BB817">
        <v>607</v>
      </c>
      <c r="BC817">
        <v>610</v>
      </c>
      <c r="BD817" t="s">
        <v>74</v>
      </c>
      <c r="BE817" t="s">
        <v>15587</v>
      </c>
      <c r="BF817" t="str">
        <f>HYPERLINK("http://dx.doi.org/10.1007/s12686-013-9862-3","http://dx.doi.org/10.1007/s12686-013-9862-3")</f>
        <v>http://dx.doi.org/10.1007/s12686-013-9862-3</v>
      </c>
      <c r="BG817" t="s">
        <v>74</v>
      </c>
      <c r="BH817" t="s">
        <v>74</v>
      </c>
      <c r="BI817">
        <v>4</v>
      </c>
      <c r="BJ817" t="s">
        <v>7709</v>
      </c>
      <c r="BK817" t="s">
        <v>99</v>
      </c>
      <c r="BL817" t="s">
        <v>7710</v>
      </c>
      <c r="BM817" t="s">
        <v>15588</v>
      </c>
      <c r="BN817" t="s">
        <v>74</v>
      </c>
      <c r="BO817" t="s">
        <v>1145</v>
      </c>
      <c r="BP817" t="s">
        <v>74</v>
      </c>
      <c r="BQ817" t="s">
        <v>74</v>
      </c>
      <c r="BR817" t="s">
        <v>103</v>
      </c>
      <c r="BS817" t="s">
        <v>15589</v>
      </c>
      <c r="BT817" t="str">
        <f>HYPERLINK("https%3A%2F%2Fwww.webofscience.com%2Fwos%2Fwoscc%2Ffull-record%2FWOS:000322619900003","View Full Record in Web of Science")</f>
        <v>View Full Record in Web of Science</v>
      </c>
    </row>
    <row r="818" spans="1:72" x14ac:dyDescent="0.15">
      <c r="A818" t="s">
        <v>72</v>
      </c>
      <c r="B818" t="s">
        <v>15590</v>
      </c>
      <c r="C818" t="s">
        <v>74</v>
      </c>
      <c r="D818" t="s">
        <v>74</v>
      </c>
      <c r="E818" t="s">
        <v>74</v>
      </c>
      <c r="F818" t="s">
        <v>15591</v>
      </c>
      <c r="G818" t="s">
        <v>74</v>
      </c>
      <c r="H818" t="s">
        <v>74</v>
      </c>
      <c r="I818" t="s">
        <v>15592</v>
      </c>
      <c r="J818" t="s">
        <v>6692</v>
      </c>
      <c r="K818" t="s">
        <v>74</v>
      </c>
      <c r="L818" t="s">
        <v>74</v>
      </c>
      <c r="M818" t="s">
        <v>78</v>
      </c>
      <c r="N818" t="s">
        <v>79</v>
      </c>
      <c r="O818" t="s">
        <v>74</v>
      </c>
      <c r="P818" t="s">
        <v>74</v>
      </c>
      <c r="Q818" t="s">
        <v>74</v>
      </c>
      <c r="R818" t="s">
        <v>74</v>
      </c>
      <c r="S818" t="s">
        <v>74</v>
      </c>
      <c r="T818" t="s">
        <v>15593</v>
      </c>
      <c r="U818" t="s">
        <v>15594</v>
      </c>
      <c r="V818" t="s">
        <v>15595</v>
      </c>
      <c r="W818" t="s">
        <v>15596</v>
      </c>
      <c r="X818" t="s">
        <v>15597</v>
      </c>
      <c r="Y818" t="s">
        <v>15598</v>
      </c>
      <c r="Z818" t="s">
        <v>15599</v>
      </c>
      <c r="AA818" t="s">
        <v>74</v>
      </c>
      <c r="AB818" t="s">
        <v>74</v>
      </c>
      <c r="AC818" t="s">
        <v>15600</v>
      </c>
      <c r="AD818" t="s">
        <v>15601</v>
      </c>
      <c r="AE818" t="s">
        <v>15602</v>
      </c>
      <c r="AF818" t="s">
        <v>74</v>
      </c>
      <c r="AG818">
        <v>57</v>
      </c>
      <c r="AH818">
        <v>30</v>
      </c>
      <c r="AI818">
        <v>34</v>
      </c>
      <c r="AJ818">
        <v>1</v>
      </c>
      <c r="AK818">
        <v>68</v>
      </c>
      <c r="AL818" t="s">
        <v>410</v>
      </c>
      <c r="AM818" t="s">
        <v>411</v>
      </c>
      <c r="AN818" t="s">
        <v>412</v>
      </c>
      <c r="AO818" t="s">
        <v>6705</v>
      </c>
      <c r="AP818" t="s">
        <v>6706</v>
      </c>
      <c r="AQ818" t="s">
        <v>74</v>
      </c>
      <c r="AR818" t="s">
        <v>6707</v>
      </c>
      <c r="AS818" t="s">
        <v>6708</v>
      </c>
      <c r="AT818" t="s">
        <v>14663</v>
      </c>
      <c r="AU818">
        <v>2013</v>
      </c>
      <c r="AV818">
        <v>23</v>
      </c>
      <c r="AW818">
        <v>6</v>
      </c>
      <c r="AX818" t="s">
        <v>74</v>
      </c>
      <c r="AY818" t="s">
        <v>74</v>
      </c>
      <c r="AZ818" t="s">
        <v>74</v>
      </c>
      <c r="BA818" t="s">
        <v>74</v>
      </c>
      <c r="BB818">
        <v>1475</v>
      </c>
      <c r="BC818">
        <v>1487</v>
      </c>
      <c r="BD818" t="s">
        <v>74</v>
      </c>
      <c r="BE818" t="s">
        <v>15603</v>
      </c>
      <c r="BF818" t="str">
        <f>HYPERLINK("http://dx.doi.org/10.1890/12-0670.1","http://dx.doi.org/10.1890/12-0670.1")</f>
        <v>http://dx.doi.org/10.1890/12-0670.1</v>
      </c>
      <c r="BG818" t="s">
        <v>74</v>
      </c>
      <c r="BH818" t="s">
        <v>74</v>
      </c>
      <c r="BI818">
        <v>13</v>
      </c>
      <c r="BJ818" t="s">
        <v>3238</v>
      </c>
      <c r="BK818" t="s">
        <v>99</v>
      </c>
      <c r="BL818" t="s">
        <v>420</v>
      </c>
      <c r="BM818" t="s">
        <v>15604</v>
      </c>
      <c r="BN818">
        <v>24147417</v>
      </c>
      <c r="BO818" t="s">
        <v>74</v>
      </c>
      <c r="BP818" t="s">
        <v>74</v>
      </c>
      <c r="BQ818" t="s">
        <v>74</v>
      </c>
      <c r="BR818" t="s">
        <v>103</v>
      </c>
      <c r="BS818" t="s">
        <v>15605</v>
      </c>
      <c r="BT818" t="str">
        <f>HYPERLINK("https%3A%2F%2Fwww.webofscience.com%2Fwos%2Fwoscc%2Ffull-record%2FWOS:000323935700020","View Full Record in Web of Science")</f>
        <v>View Full Record in Web of Science</v>
      </c>
    </row>
    <row r="819" spans="1:72" x14ac:dyDescent="0.15">
      <c r="A819" t="s">
        <v>72</v>
      </c>
      <c r="B819" t="s">
        <v>15606</v>
      </c>
      <c r="C819" t="s">
        <v>74</v>
      </c>
      <c r="D819" t="s">
        <v>74</v>
      </c>
      <c r="E819" t="s">
        <v>74</v>
      </c>
      <c r="F819" t="s">
        <v>15607</v>
      </c>
      <c r="G819" t="s">
        <v>74</v>
      </c>
      <c r="H819" t="s">
        <v>74</v>
      </c>
      <c r="I819" t="s">
        <v>15608</v>
      </c>
      <c r="J819" t="s">
        <v>5907</v>
      </c>
      <c r="K819" t="s">
        <v>74</v>
      </c>
      <c r="L819" t="s">
        <v>74</v>
      </c>
      <c r="M819" t="s">
        <v>78</v>
      </c>
      <c r="N819" t="s">
        <v>79</v>
      </c>
      <c r="O819" t="s">
        <v>74</v>
      </c>
      <c r="P819" t="s">
        <v>74</v>
      </c>
      <c r="Q819" t="s">
        <v>74</v>
      </c>
      <c r="R819" t="s">
        <v>74</v>
      </c>
      <c r="S819" t="s">
        <v>74</v>
      </c>
      <c r="T819" t="s">
        <v>15609</v>
      </c>
      <c r="U819" t="s">
        <v>15610</v>
      </c>
      <c r="V819" t="s">
        <v>15611</v>
      </c>
      <c r="W819" t="s">
        <v>15612</v>
      </c>
      <c r="X819" t="s">
        <v>15613</v>
      </c>
      <c r="Y819" t="s">
        <v>15614</v>
      </c>
      <c r="Z819" t="s">
        <v>15615</v>
      </c>
      <c r="AA819" t="s">
        <v>74</v>
      </c>
      <c r="AB819" t="s">
        <v>15616</v>
      </c>
      <c r="AC819" t="s">
        <v>15617</v>
      </c>
      <c r="AD819" t="s">
        <v>15618</v>
      </c>
      <c r="AE819" t="s">
        <v>15619</v>
      </c>
      <c r="AF819" t="s">
        <v>74</v>
      </c>
      <c r="AG819">
        <v>51</v>
      </c>
      <c r="AH819">
        <v>1</v>
      </c>
      <c r="AI819">
        <v>1</v>
      </c>
      <c r="AJ819">
        <v>0</v>
      </c>
      <c r="AK819">
        <v>12</v>
      </c>
      <c r="AL819" t="s">
        <v>5915</v>
      </c>
      <c r="AM819" t="s">
        <v>5916</v>
      </c>
      <c r="AN819" t="s">
        <v>5917</v>
      </c>
      <c r="AO819" t="s">
        <v>5918</v>
      </c>
      <c r="AP819" t="s">
        <v>74</v>
      </c>
      <c r="AQ819" t="s">
        <v>74</v>
      </c>
      <c r="AR819" t="s">
        <v>5920</v>
      </c>
      <c r="AS819" t="s">
        <v>5921</v>
      </c>
      <c r="AT819" t="s">
        <v>14663</v>
      </c>
      <c r="AU819">
        <v>2013</v>
      </c>
      <c r="AV819">
        <v>17</v>
      </c>
      <c r="AW819">
        <v>3</v>
      </c>
      <c r="AX819" t="s">
        <v>74</v>
      </c>
      <c r="AY819" t="s">
        <v>74</v>
      </c>
      <c r="AZ819" t="s">
        <v>74</v>
      </c>
      <c r="BA819" t="s">
        <v>74</v>
      </c>
      <c r="BB819">
        <v>255</v>
      </c>
      <c r="BC819">
        <v>265</v>
      </c>
      <c r="BD819" t="s">
        <v>74</v>
      </c>
      <c r="BE819" t="s">
        <v>15620</v>
      </c>
      <c r="BF819" t="str">
        <f>HYPERLINK("http://dx.doi.org/10.1007/s12303-013-0032-0","http://dx.doi.org/10.1007/s12303-013-0032-0")</f>
        <v>http://dx.doi.org/10.1007/s12303-013-0032-0</v>
      </c>
      <c r="BG819" t="s">
        <v>74</v>
      </c>
      <c r="BH819" t="s">
        <v>74</v>
      </c>
      <c r="BI819">
        <v>11</v>
      </c>
      <c r="BJ819" t="s">
        <v>337</v>
      </c>
      <c r="BK819" t="s">
        <v>99</v>
      </c>
      <c r="BL819" t="s">
        <v>338</v>
      </c>
      <c r="BM819" t="s">
        <v>15621</v>
      </c>
      <c r="BN819" t="s">
        <v>74</v>
      </c>
      <c r="BO819" t="s">
        <v>74</v>
      </c>
      <c r="BP819" t="s">
        <v>74</v>
      </c>
      <c r="BQ819" t="s">
        <v>74</v>
      </c>
      <c r="BR819" t="s">
        <v>103</v>
      </c>
      <c r="BS819" t="s">
        <v>15622</v>
      </c>
      <c r="BT819" t="str">
        <f>HYPERLINK("https%3A%2F%2Fwww.webofscience.com%2Fwos%2Fwoscc%2Ffull-record%2FWOS:000324073900003","View Full Record in Web of Science")</f>
        <v>View Full Record in Web of Science</v>
      </c>
    </row>
    <row r="820" spans="1:72" x14ac:dyDescent="0.15">
      <c r="A820" t="s">
        <v>72</v>
      </c>
      <c r="B820" t="s">
        <v>15623</v>
      </c>
      <c r="C820" t="s">
        <v>74</v>
      </c>
      <c r="D820" t="s">
        <v>74</v>
      </c>
      <c r="E820" t="s">
        <v>74</v>
      </c>
      <c r="F820" t="s">
        <v>15624</v>
      </c>
      <c r="G820" t="s">
        <v>74</v>
      </c>
      <c r="H820" t="s">
        <v>74</v>
      </c>
      <c r="I820" t="s">
        <v>15625</v>
      </c>
      <c r="J820" t="s">
        <v>15626</v>
      </c>
      <c r="K820" t="s">
        <v>74</v>
      </c>
      <c r="L820" t="s">
        <v>74</v>
      </c>
      <c r="M820" t="s">
        <v>78</v>
      </c>
      <c r="N820" t="s">
        <v>7910</v>
      </c>
      <c r="O820" t="s">
        <v>15627</v>
      </c>
      <c r="P820" t="s">
        <v>15628</v>
      </c>
      <c r="Q820" t="s">
        <v>15629</v>
      </c>
      <c r="R820" t="s">
        <v>74</v>
      </c>
      <c r="S820" t="s">
        <v>15630</v>
      </c>
      <c r="T820" t="s">
        <v>15631</v>
      </c>
      <c r="U820" t="s">
        <v>15632</v>
      </c>
      <c r="V820" t="s">
        <v>15633</v>
      </c>
      <c r="W820" t="s">
        <v>15634</v>
      </c>
      <c r="X820" t="s">
        <v>15635</v>
      </c>
      <c r="Y820" t="s">
        <v>15636</v>
      </c>
      <c r="Z820" t="s">
        <v>15637</v>
      </c>
      <c r="AA820" t="s">
        <v>15638</v>
      </c>
      <c r="AB820" t="s">
        <v>15639</v>
      </c>
      <c r="AC820" t="s">
        <v>15640</v>
      </c>
      <c r="AD820" t="s">
        <v>15641</v>
      </c>
      <c r="AE820" t="s">
        <v>15642</v>
      </c>
      <c r="AF820" t="s">
        <v>74</v>
      </c>
      <c r="AG820">
        <v>20</v>
      </c>
      <c r="AH820">
        <v>30</v>
      </c>
      <c r="AI820">
        <v>36</v>
      </c>
      <c r="AJ820">
        <v>0</v>
      </c>
      <c r="AK820">
        <v>16</v>
      </c>
      <c r="AL820" t="s">
        <v>12008</v>
      </c>
      <c r="AM820" t="s">
        <v>12009</v>
      </c>
      <c r="AN820" t="s">
        <v>12010</v>
      </c>
      <c r="AO820" t="s">
        <v>15643</v>
      </c>
      <c r="AP820" t="s">
        <v>15644</v>
      </c>
      <c r="AQ820" t="s">
        <v>74</v>
      </c>
      <c r="AR820" t="s">
        <v>15645</v>
      </c>
      <c r="AS820" t="s">
        <v>15646</v>
      </c>
      <c r="AT820" t="s">
        <v>14663</v>
      </c>
      <c r="AU820">
        <v>2013</v>
      </c>
      <c r="AV820">
        <v>51</v>
      </c>
      <c r="AW820">
        <v>9</v>
      </c>
      <c r="AX820" t="s">
        <v>74</v>
      </c>
      <c r="AY820" t="s">
        <v>74</v>
      </c>
      <c r="AZ820" t="s">
        <v>283</v>
      </c>
      <c r="BA820" t="s">
        <v>74</v>
      </c>
      <c r="BB820">
        <v>4718</v>
      </c>
      <c r="BC820">
        <v>4730</v>
      </c>
      <c r="BD820" t="s">
        <v>74</v>
      </c>
      <c r="BE820" t="s">
        <v>15647</v>
      </c>
      <c r="BF820" t="str">
        <f>HYPERLINK("http://dx.doi.org/10.1109/TGRS.2013.2277921","http://dx.doi.org/10.1109/TGRS.2013.2277921")</f>
        <v>http://dx.doi.org/10.1109/TGRS.2013.2277921</v>
      </c>
      <c r="BG820" t="s">
        <v>74</v>
      </c>
      <c r="BH820" t="s">
        <v>74</v>
      </c>
      <c r="BI820">
        <v>13</v>
      </c>
      <c r="BJ820" t="s">
        <v>15648</v>
      </c>
      <c r="BK820" t="s">
        <v>11482</v>
      </c>
      <c r="BL820" t="s">
        <v>15649</v>
      </c>
      <c r="BM820" t="s">
        <v>15650</v>
      </c>
      <c r="BN820" t="s">
        <v>74</v>
      </c>
      <c r="BO820" t="s">
        <v>74</v>
      </c>
      <c r="BP820" t="s">
        <v>74</v>
      </c>
      <c r="BQ820" t="s">
        <v>74</v>
      </c>
      <c r="BR820" t="s">
        <v>103</v>
      </c>
      <c r="BS820" t="s">
        <v>15651</v>
      </c>
      <c r="BT820" t="str">
        <f>HYPERLINK("https%3A%2F%2Fwww.webofscience.com%2Fwos%2Fwoscc%2Ffull-record%2FWOS:000324434900010","View Full Record in Web of Science")</f>
        <v>View Full Record in Web of Science</v>
      </c>
    </row>
    <row r="821" spans="1:72" x14ac:dyDescent="0.15">
      <c r="A821" t="s">
        <v>72</v>
      </c>
      <c r="B821" t="s">
        <v>15652</v>
      </c>
      <c r="C821" t="s">
        <v>74</v>
      </c>
      <c r="D821" t="s">
        <v>74</v>
      </c>
      <c r="E821" t="s">
        <v>74</v>
      </c>
      <c r="F821" t="s">
        <v>15653</v>
      </c>
      <c r="G821" t="s">
        <v>74</v>
      </c>
      <c r="H821" t="s">
        <v>74</v>
      </c>
      <c r="I821" t="s">
        <v>15654</v>
      </c>
      <c r="J821" t="s">
        <v>15626</v>
      </c>
      <c r="K821" t="s">
        <v>74</v>
      </c>
      <c r="L821" t="s">
        <v>74</v>
      </c>
      <c r="M821" t="s">
        <v>78</v>
      </c>
      <c r="N821" t="s">
        <v>7910</v>
      </c>
      <c r="O821" t="s">
        <v>15627</v>
      </c>
      <c r="P821" t="s">
        <v>15628</v>
      </c>
      <c r="Q821" t="s">
        <v>15629</v>
      </c>
      <c r="R821" t="s">
        <v>74</v>
      </c>
      <c r="S821" t="s">
        <v>15630</v>
      </c>
      <c r="T821" t="s">
        <v>15655</v>
      </c>
      <c r="U821" t="s">
        <v>15656</v>
      </c>
      <c r="V821" t="s">
        <v>15657</v>
      </c>
      <c r="W821" t="s">
        <v>15658</v>
      </c>
      <c r="X821" t="s">
        <v>15659</v>
      </c>
      <c r="Y821" t="s">
        <v>74</v>
      </c>
      <c r="Z821" t="s">
        <v>15660</v>
      </c>
      <c r="AA821" t="s">
        <v>15661</v>
      </c>
      <c r="AB821" t="s">
        <v>15662</v>
      </c>
      <c r="AC821" t="s">
        <v>15663</v>
      </c>
      <c r="AD821" t="s">
        <v>15664</v>
      </c>
      <c r="AE821" t="s">
        <v>15665</v>
      </c>
      <c r="AF821" t="s">
        <v>74</v>
      </c>
      <c r="AG821">
        <v>14</v>
      </c>
      <c r="AH821">
        <v>31</v>
      </c>
      <c r="AI821">
        <v>52</v>
      </c>
      <c r="AJ821">
        <v>0</v>
      </c>
      <c r="AK821">
        <v>19</v>
      </c>
      <c r="AL821" t="s">
        <v>12008</v>
      </c>
      <c r="AM821" t="s">
        <v>12009</v>
      </c>
      <c r="AN821" t="s">
        <v>12010</v>
      </c>
      <c r="AO821" t="s">
        <v>15643</v>
      </c>
      <c r="AP821" t="s">
        <v>15644</v>
      </c>
      <c r="AQ821" t="s">
        <v>74</v>
      </c>
      <c r="AR821" t="s">
        <v>15645</v>
      </c>
      <c r="AS821" t="s">
        <v>15646</v>
      </c>
      <c r="AT821" t="s">
        <v>14663</v>
      </c>
      <c r="AU821">
        <v>2013</v>
      </c>
      <c r="AV821">
        <v>51</v>
      </c>
      <c r="AW821">
        <v>9</v>
      </c>
      <c r="AX821" t="s">
        <v>74</v>
      </c>
      <c r="AY821" t="s">
        <v>74</v>
      </c>
      <c r="AZ821" t="s">
        <v>283</v>
      </c>
      <c r="BA821" t="s">
        <v>74</v>
      </c>
      <c r="BB821">
        <v>4830</v>
      </c>
      <c r="BC821">
        <v>4839</v>
      </c>
      <c r="BD821" t="s">
        <v>74</v>
      </c>
      <c r="BE821" t="s">
        <v>15666</v>
      </c>
      <c r="BF821" t="str">
        <f>HYPERLINK("http://dx.doi.org/10.1109/TGRS.2012.2230634","http://dx.doi.org/10.1109/TGRS.2012.2230634")</f>
        <v>http://dx.doi.org/10.1109/TGRS.2012.2230634</v>
      </c>
      <c r="BG821" t="s">
        <v>74</v>
      </c>
      <c r="BH821" t="s">
        <v>74</v>
      </c>
      <c r="BI821">
        <v>10</v>
      </c>
      <c r="BJ821" t="s">
        <v>15648</v>
      </c>
      <c r="BK821" t="s">
        <v>11482</v>
      </c>
      <c r="BL821" t="s">
        <v>15649</v>
      </c>
      <c r="BM821" t="s">
        <v>15650</v>
      </c>
      <c r="BN821" t="s">
        <v>74</v>
      </c>
      <c r="BO821" t="s">
        <v>74</v>
      </c>
      <c r="BP821" t="s">
        <v>74</v>
      </c>
      <c r="BQ821" t="s">
        <v>74</v>
      </c>
      <c r="BR821" t="s">
        <v>103</v>
      </c>
      <c r="BS821" t="s">
        <v>15667</v>
      </c>
      <c r="BT821" t="str">
        <f>HYPERLINK("https%3A%2F%2Fwww.webofscience.com%2Fwos%2Fwoscc%2Ffull-record%2FWOS:000324434900019","View Full Record in Web of Science")</f>
        <v>View Full Record in Web of Science</v>
      </c>
    </row>
    <row r="822" spans="1:72" x14ac:dyDescent="0.15">
      <c r="A822" t="s">
        <v>72</v>
      </c>
      <c r="B822" t="s">
        <v>15668</v>
      </c>
      <c r="C822" t="s">
        <v>74</v>
      </c>
      <c r="D822" t="s">
        <v>74</v>
      </c>
      <c r="E822" t="s">
        <v>74</v>
      </c>
      <c r="F822" t="s">
        <v>15669</v>
      </c>
      <c r="G822" t="s">
        <v>74</v>
      </c>
      <c r="H822" t="s">
        <v>74</v>
      </c>
      <c r="I822" t="s">
        <v>15670</v>
      </c>
      <c r="J822" t="s">
        <v>5566</v>
      </c>
      <c r="K822" t="s">
        <v>74</v>
      </c>
      <c r="L822" t="s">
        <v>74</v>
      </c>
      <c r="M822" t="s">
        <v>78</v>
      </c>
      <c r="N822" t="s">
        <v>79</v>
      </c>
      <c r="O822" t="s">
        <v>74</v>
      </c>
      <c r="P822" t="s">
        <v>74</v>
      </c>
      <c r="Q822" t="s">
        <v>74</v>
      </c>
      <c r="R822" t="s">
        <v>74</v>
      </c>
      <c r="S822" t="s">
        <v>74</v>
      </c>
      <c r="T822" t="s">
        <v>15671</v>
      </c>
      <c r="U822" t="s">
        <v>15672</v>
      </c>
      <c r="V822" t="s">
        <v>15673</v>
      </c>
      <c r="W822" t="s">
        <v>15674</v>
      </c>
      <c r="X822" t="s">
        <v>15675</v>
      </c>
      <c r="Y822" t="s">
        <v>15676</v>
      </c>
      <c r="Z822" t="s">
        <v>15677</v>
      </c>
      <c r="AA822" t="s">
        <v>15678</v>
      </c>
      <c r="AB822" t="s">
        <v>15679</v>
      </c>
      <c r="AC822" t="s">
        <v>15680</v>
      </c>
      <c r="AD822" t="s">
        <v>15681</v>
      </c>
      <c r="AE822" t="s">
        <v>15682</v>
      </c>
      <c r="AF822" t="s">
        <v>74</v>
      </c>
      <c r="AG822">
        <v>16</v>
      </c>
      <c r="AH822">
        <v>11</v>
      </c>
      <c r="AI822">
        <v>14</v>
      </c>
      <c r="AJ822">
        <v>0</v>
      </c>
      <c r="AK822">
        <v>8</v>
      </c>
      <c r="AL822" t="s">
        <v>872</v>
      </c>
      <c r="AM822" t="s">
        <v>252</v>
      </c>
      <c r="AN822" t="s">
        <v>873</v>
      </c>
      <c r="AO822" t="s">
        <v>5577</v>
      </c>
      <c r="AP822" t="s">
        <v>5578</v>
      </c>
      <c r="AQ822" t="s">
        <v>74</v>
      </c>
      <c r="AR822" t="s">
        <v>5579</v>
      </c>
      <c r="AS822" t="s">
        <v>5580</v>
      </c>
      <c r="AT822" t="s">
        <v>14663</v>
      </c>
      <c r="AU822">
        <v>2013</v>
      </c>
      <c r="AV822">
        <v>102</v>
      </c>
      <c r="AW822" t="s">
        <v>74</v>
      </c>
      <c r="AX822" t="s">
        <v>74</v>
      </c>
      <c r="AY822" t="s">
        <v>74</v>
      </c>
      <c r="AZ822" t="s">
        <v>74</v>
      </c>
      <c r="BA822" t="s">
        <v>74</v>
      </c>
      <c r="BB822">
        <v>222</v>
      </c>
      <c r="BC822">
        <v>227</v>
      </c>
      <c r="BD822" t="s">
        <v>74</v>
      </c>
      <c r="BE822" t="s">
        <v>15683</v>
      </c>
      <c r="BF822" t="str">
        <f>HYPERLINK("http://dx.doi.org/10.1016/j.jastp.2013.06.002","http://dx.doi.org/10.1016/j.jastp.2013.06.002")</f>
        <v>http://dx.doi.org/10.1016/j.jastp.2013.06.002</v>
      </c>
      <c r="BG822" t="s">
        <v>74</v>
      </c>
      <c r="BH822" t="s">
        <v>74</v>
      </c>
      <c r="BI822">
        <v>6</v>
      </c>
      <c r="BJ822" t="s">
        <v>5582</v>
      </c>
      <c r="BK822" t="s">
        <v>99</v>
      </c>
      <c r="BL822" t="s">
        <v>5582</v>
      </c>
      <c r="BM822" t="s">
        <v>15684</v>
      </c>
      <c r="BN822" t="s">
        <v>74</v>
      </c>
      <c r="BO822" t="s">
        <v>74</v>
      </c>
      <c r="BP822" t="s">
        <v>74</v>
      </c>
      <c r="BQ822" t="s">
        <v>74</v>
      </c>
      <c r="BR822" t="s">
        <v>103</v>
      </c>
      <c r="BS822" t="s">
        <v>15685</v>
      </c>
      <c r="BT822" t="str">
        <f>HYPERLINK("https%3A%2F%2Fwww.webofscience.com%2Fwos%2Fwoscc%2Ffull-record%2FWOS:000324014100024","View Full Record in Web of Science")</f>
        <v>View Full Record in Web of Science</v>
      </c>
    </row>
    <row r="823" spans="1:72" x14ac:dyDescent="0.15">
      <c r="A823" t="s">
        <v>72</v>
      </c>
      <c r="B823" t="s">
        <v>15686</v>
      </c>
      <c r="C823" t="s">
        <v>74</v>
      </c>
      <c r="D823" t="s">
        <v>74</v>
      </c>
      <c r="E823" t="s">
        <v>74</v>
      </c>
      <c r="F823" t="s">
        <v>15687</v>
      </c>
      <c r="G823" t="s">
        <v>74</v>
      </c>
      <c r="H823" t="s">
        <v>74</v>
      </c>
      <c r="I823" t="s">
        <v>15688</v>
      </c>
      <c r="J823" t="s">
        <v>1484</v>
      </c>
      <c r="K823" t="s">
        <v>74</v>
      </c>
      <c r="L823" t="s">
        <v>74</v>
      </c>
      <c r="M823" t="s">
        <v>78</v>
      </c>
      <c r="N823" t="s">
        <v>79</v>
      </c>
      <c r="O823" t="s">
        <v>74</v>
      </c>
      <c r="P823" t="s">
        <v>74</v>
      </c>
      <c r="Q823" t="s">
        <v>74</v>
      </c>
      <c r="R823" t="s">
        <v>74</v>
      </c>
      <c r="S823" t="s">
        <v>74</v>
      </c>
      <c r="T823" t="s">
        <v>15689</v>
      </c>
      <c r="U823" t="s">
        <v>15690</v>
      </c>
      <c r="V823" t="s">
        <v>15691</v>
      </c>
      <c r="W823" t="s">
        <v>15692</v>
      </c>
      <c r="X823" t="s">
        <v>15693</v>
      </c>
      <c r="Y823" t="s">
        <v>15694</v>
      </c>
      <c r="Z823" t="s">
        <v>15695</v>
      </c>
      <c r="AA823" t="s">
        <v>15696</v>
      </c>
      <c r="AB823" t="s">
        <v>15697</v>
      </c>
      <c r="AC823" t="s">
        <v>15698</v>
      </c>
      <c r="AD823" t="s">
        <v>15699</v>
      </c>
      <c r="AE823" t="s">
        <v>15700</v>
      </c>
      <c r="AF823" t="s">
        <v>74</v>
      </c>
      <c r="AG823">
        <v>26</v>
      </c>
      <c r="AH823">
        <v>60</v>
      </c>
      <c r="AI823">
        <v>73</v>
      </c>
      <c r="AJ823">
        <v>1</v>
      </c>
      <c r="AK823">
        <v>45</v>
      </c>
      <c r="AL823" t="s">
        <v>1495</v>
      </c>
      <c r="AM823" t="s">
        <v>1496</v>
      </c>
      <c r="AN823" t="s">
        <v>1497</v>
      </c>
      <c r="AO823" t="s">
        <v>1498</v>
      </c>
      <c r="AP823" t="s">
        <v>1499</v>
      </c>
      <c r="AQ823" t="s">
        <v>74</v>
      </c>
      <c r="AR823" t="s">
        <v>1500</v>
      </c>
      <c r="AS823" t="s">
        <v>1501</v>
      </c>
      <c r="AT823" t="s">
        <v>14663</v>
      </c>
      <c r="AU823">
        <v>2013</v>
      </c>
      <c r="AV823">
        <v>26</v>
      </c>
      <c r="AW823">
        <v>18</v>
      </c>
      <c r="AX823" t="s">
        <v>74</v>
      </c>
      <c r="AY823" t="s">
        <v>74</v>
      </c>
      <c r="AZ823" t="s">
        <v>74</v>
      </c>
      <c r="BA823" t="s">
        <v>74</v>
      </c>
      <c r="BB823">
        <v>6904</v>
      </c>
      <c r="BC823">
        <v>6914</v>
      </c>
      <c r="BD823" t="s">
        <v>74</v>
      </c>
      <c r="BE823" t="s">
        <v>15701</v>
      </c>
      <c r="BF823" t="str">
        <f>HYPERLINK("http://dx.doi.org/10.1175/JCLI-D-12-00563.1","http://dx.doi.org/10.1175/JCLI-D-12-00563.1")</f>
        <v>http://dx.doi.org/10.1175/JCLI-D-12-00563.1</v>
      </c>
      <c r="BG823" t="s">
        <v>74</v>
      </c>
      <c r="BH823" t="s">
        <v>74</v>
      </c>
      <c r="BI823">
        <v>11</v>
      </c>
      <c r="BJ823" t="s">
        <v>1503</v>
      </c>
      <c r="BK823" t="s">
        <v>99</v>
      </c>
      <c r="BL823" t="s">
        <v>1503</v>
      </c>
      <c r="BM823" t="s">
        <v>15702</v>
      </c>
      <c r="BN823" t="s">
        <v>74</v>
      </c>
      <c r="BO823" t="s">
        <v>15703</v>
      </c>
      <c r="BP823" t="s">
        <v>74</v>
      </c>
      <c r="BQ823" t="s">
        <v>74</v>
      </c>
      <c r="BR823" t="s">
        <v>103</v>
      </c>
      <c r="BS823" t="s">
        <v>15704</v>
      </c>
      <c r="BT823" t="str">
        <f>HYPERLINK("https%3A%2F%2Fwww.webofscience.com%2Fwos%2Fwoscc%2Ffull-record%2FWOS:000324057600009","View Full Record in Web of Science")</f>
        <v>View Full Record in Web of Science</v>
      </c>
    </row>
    <row r="824" spans="1:72" x14ac:dyDescent="0.15">
      <c r="A824" t="s">
        <v>72</v>
      </c>
      <c r="B824" t="s">
        <v>15705</v>
      </c>
      <c r="C824" t="s">
        <v>74</v>
      </c>
      <c r="D824" t="s">
        <v>74</v>
      </c>
      <c r="E824" t="s">
        <v>74</v>
      </c>
      <c r="F824" t="s">
        <v>15706</v>
      </c>
      <c r="G824" t="s">
        <v>74</v>
      </c>
      <c r="H824" t="s">
        <v>74</v>
      </c>
      <c r="I824" t="s">
        <v>15707</v>
      </c>
      <c r="J824" t="s">
        <v>1484</v>
      </c>
      <c r="K824" t="s">
        <v>74</v>
      </c>
      <c r="L824" t="s">
        <v>74</v>
      </c>
      <c r="M824" t="s">
        <v>78</v>
      </c>
      <c r="N824" t="s">
        <v>79</v>
      </c>
      <c r="O824" t="s">
        <v>74</v>
      </c>
      <c r="P824" t="s">
        <v>74</v>
      </c>
      <c r="Q824" t="s">
        <v>74</v>
      </c>
      <c r="R824" t="s">
        <v>74</v>
      </c>
      <c r="S824" t="s">
        <v>74</v>
      </c>
      <c r="T824" t="s">
        <v>15708</v>
      </c>
      <c r="U824" t="s">
        <v>15709</v>
      </c>
      <c r="V824" t="s">
        <v>15710</v>
      </c>
      <c r="W824" t="s">
        <v>15711</v>
      </c>
      <c r="X824" t="s">
        <v>15712</v>
      </c>
      <c r="Y824" t="s">
        <v>15713</v>
      </c>
      <c r="Z824" t="s">
        <v>15714</v>
      </c>
      <c r="AA824" t="s">
        <v>15715</v>
      </c>
      <c r="AB824" t="s">
        <v>15716</v>
      </c>
      <c r="AC824" t="s">
        <v>74</v>
      </c>
      <c r="AD824" t="s">
        <v>74</v>
      </c>
      <c r="AE824" t="s">
        <v>74</v>
      </c>
      <c r="AF824" t="s">
        <v>74</v>
      </c>
      <c r="AG824">
        <v>66</v>
      </c>
      <c r="AH824">
        <v>52</v>
      </c>
      <c r="AI824">
        <v>58</v>
      </c>
      <c r="AJ824">
        <v>3</v>
      </c>
      <c r="AK824">
        <v>33</v>
      </c>
      <c r="AL824" t="s">
        <v>1495</v>
      </c>
      <c r="AM824" t="s">
        <v>1496</v>
      </c>
      <c r="AN824" t="s">
        <v>1497</v>
      </c>
      <c r="AO824" t="s">
        <v>1498</v>
      </c>
      <c r="AP824" t="s">
        <v>1499</v>
      </c>
      <c r="AQ824" t="s">
        <v>74</v>
      </c>
      <c r="AR824" t="s">
        <v>1500</v>
      </c>
      <c r="AS824" t="s">
        <v>1501</v>
      </c>
      <c r="AT824" t="s">
        <v>14663</v>
      </c>
      <c r="AU824">
        <v>2013</v>
      </c>
      <c r="AV824">
        <v>26</v>
      </c>
      <c r="AW824">
        <v>18</v>
      </c>
      <c r="AX824" t="s">
        <v>74</v>
      </c>
      <c r="AY824" t="s">
        <v>74</v>
      </c>
      <c r="AZ824" t="s">
        <v>74</v>
      </c>
      <c r="BA824" t="s">
        <v>74</v>
      </c>
      <c r="BB824">
        <v>7136</v>
      </c>
      <c r="BC824">
        <v>7150</v>
      </c>
      <c r="BD824" t="s">
        <v>74</v>
      </c>
      <c r="BE824" t="s">
        <v>15717</v>
      </c>
      <c r="BF824" t="str">
        <f>HYPERLINK("http://dx.doi.org/10.1175/JCLI-D-12-00636.1","http://dx.doi.org/10.1175/JCLI-D-12-00636.1")</f>
        <v>http://dx.doi.org/10.1175/JCLI-D-12-00636.1</v>
      </c>
      <c r="BG824" t="s">
        <v>74</v>
      </c>
      <c r="BH824" t="s">
        <v>74</v>
      </c>
      <c r="BI824">
        <v>15</v>
      </c>
      <c r="BJ824" t="s">
        <v>1503</v>
      </c>
      <c r="BK824" t="s">
        <v>99</v>
      </c>
      <c r="BL824" t="s">
        <v>1503</v>
      </c>
      <c r="BM824" t="s">
        <v>15702</v>
      </c>
      <c r="BN824" t="s">
        <v>74</v>
      </c>
      <c r="BO824" t="s">
        <v>1733</v>
      </c>
      <c r="BP824" t="s">
        <v>74</v>
      </c>
      <c r="BQ824" t="s">
        <v>74</v>
      </c>
      <c r="BR824" t="s">
        <v>103</v>
      </c>
      <c r="BS824" t="s">
        <v>15718</v>
      </c>
      <c r="BT824" t="str">
        <f>HYPERLINK("https%3A%2F%2Fwww.webofscience.com%2Fwos%2Fwoscc%2Ffull-record%2FWOS:000324057600022","View Full Record in Web of Science")</f>
        <v>View Full Record in Web of Science</v>
      </c>
    </row>
    <row r="825" spans="1:72" x14ac:dyDescent="0.15">
      <c r="A825" t="s">
        <v>72</v>
      </c>
      <c r="B825" t="s">
        <v>15719</v>
      </c>
      <c r="C825" t="s">
        <v>74</v>
      </c>
      <c r="D825" t="s">
        <v>74</v>
      </c>
      <c r="E825" t="s">
        <v>74</v>
      </c>
      <c r="F825" t="s">
        <v>15720</v>
      </c>
      <c r="G825" t="s">
        <v>74</v>
      </c>
      <c r="H825" t="s">
        <v>74</v>
      </c>
      <c r="I825" t="s">
        <v>15721</v>
      </c>
      <c r="J825" t="s">
        <v>15722</v>
      </c>
      <c r="K825" t="s">
        <v>74</v>
      </c>
      <c r="L825" t="s">
        <v>74</v>
      </c>
      <c r="M825" t="s">
        <v>78</v>
      </c>
      <c r="N825" t="s">
        <v>79</v>
      </c>
      <c r="O825" t="s">
        <v>74</v>
      </c>
      <c r="P825" t="s">
        <v>74</v>
      </c>
      <c r="Q825" t="s">
        <v>74</v>
      </c>
      <c r="R825" t="s">
        <v>74</v>
      </c>
      <c r="S825" t="s">
        <v>74</v>
      </c>
      <c r="T825" t="s">
        <v>15723</v>
      </c>
      <c r="U825" t="s">
        <v>15724</v>
      </c>
      <c r="V825" t="s">
        <v>15725</v>
      </c>
      <c r="W825" t="s">
        <v>15726</v>
      </c>
      <c r="X825" t="s">
        <v>15727</v>
      </c>
      <c r="Y825" t="s">
        <v>15728</v>
      </c>
      <c r="Z825" t="s">
        <v>15729</v>
      </c>
      <c r="AA825" t="s">
        <v>74</v>
      </c>
      <c r="AB825" t="s">
        <v>12253</v>
      </c>
      <c r="AC825" t="s">
        <v>15730</v>
      </c>
      <c r="AD825" t="s">
        <v>15730</v>
      </c>
      <c r="AE825" t="s">
        <v>15731</v>
      </c>
      <c r="AF825" t="s">
        <v>74</v>
      </c>
      <c r="AG825">
        <v>44</v>
      </c>
      <c r="AH825">
        <v>22</v>
      </c>
      <c r="AI825">
        <v>22</v>
      </c>
      <c r="AJ825">
        <v>0</v>
      </c>
      <c r="AK825">
        <v>15</v>
      </c>
      <c r="AL825" t="s">
        <v>1067</v>
      </c>
      <c r="AM825" t="s">
        <v>921</v>
      </c>
      <c r="AN825" t="s">
        <v>2690</v>
      </c>
      <c r="AO825" t="s">
        <v>15732</v>
      </c>
      <c r="AP825" t="s">
        <v>15733</v>
      </c>
      <c r="AQ825" t="s">
        <v>74</v>
      </c>
      <c r="AR825" t="s">
        <v>15734</v>
      </c>
      <c r="AS825" t="s">
        <v>15735</v>
      </c>
      <c r="AT825" t="s">
        <v>14663</v>
      </c>
      <c r="AU825">
        <v>2013</v>
      </c>
      <c r="AV825">
        <v>17</v>
      </c>
      <c r="AW825">
        <v>3</v>
      </c>
      <c r="AX825" t="s">
        <v>74</v>
      </c>
      <c r="AY825" t="s">
        <v>74</v>
      </c>
      <c r="AZ825" t="s">
        <v>74</v>
      </c>
      <c r="BA825" t="s">
        <v>74</v>
      </c>
      <c r="BB825">
        <v>327</v>
      </c>
      <c r="BC825">
        <v>337</v>
      </c>
      <c r="BD825" t="s">
        <v>74</v>
      </c>
      <c r="BE825" t="s">
        <v>15736</v>
      </c>
      <c r="BF825" t="str">
        <f>HYPERLINK("http://dx.doi.org/10.1007/s11852-013-0259-y","http://dx.doi.org/10.1007/s11852-013-0259-y")</f>
        <v>http://dx.doi.org/10.1007/s11852-013-0259-y</v>
      </c>
      <c r="BG825" t="s">
        <v>74</v>
      </c>
      <c r="BH825" t="s">
        <v>74</v>
      </c>
      <c r="BI825">
        <v>11</v>
      </c>
      <c r="BJ825" t="s">
        <v>15737</v>
      </c>
      <c r="BK825" t="s">
        <v>99</v>
      </c>
      <c r="BL825" t="s">
        <v>15738</v>
      </c>
      <c r="BM825" t="s">
        <v>15739</v>
      </c>
      <c r="BN825" t="s">
        <v>74</v>
      </c>
      <c r="BO825" t="s">
        <v>74</v>
      </c>
      <c r="BP825" t="s">
        <v>74</v>
      </c>
      <c r="BQ825" t="s">
        <v>74</v>
      </c>
      <c r="BR825" t="s">
        <v>103</v>
      </c>
      <c r="BS825" t="s">
        <v>15740</v>
      </c>
      <c r="BT825" t="str">
        <f>HYPERLINK("https%3A%2F%2Fwww.webofscience.com%2Fwos%2Fwoscc%2Ffull-record%2FWOS:000324110200003","View Full Record in Web of Science")</f>
        <v>View Full Record in Web of Science</v>
      </c>
    </row>
    <row r="826" spans="1:72" x14ac:dyDescent="0.15">
      <c r="A826" t="s">
        <v>72</v>
      </c>
      <c r="B826" t="s">
        <v>15741</v>
      </c>
      <c r="C826" t="s">
        <v>74</v>
      </c>
      <c r="D826" t="s">
        <v>74</v>
      </c>
      <c r="E826" t="s">
        <v>74</v>
      </c>
      <c r="F826" t="s">
        <v>15742</v>
      </c>
      <c r="G826" t="s">
        <v>74</v>
      </c>
      <c r="H826" t="s">
        <v>74</v>
      </c>
      <c r="I826" t="s">
        <v>15743</v>
      </c>
      <c r="J826" t="s">
        <v>15744</v>
      </c>
      <c r="K826" t="s">
        <v>74</v>
      </c>
      <c r="L826" t="s">
        <v>74</v>
      </c>
      <c r="M826" t="s">
        <v>78</v>
      </c>
      <c r="N826" t="s">
        <v>79</v>
      </c>
      <c r="O826" t="s">
        <v>74</v>
      </c>
      <c r="P826" t="s">
        <v>74</v>
      </c>
      <c r="Q826" t="s">
        <v>74</v>
      </c>
      <c r="R826" t="s">
        <v>74</v>
      </c>
      <c r="S826" t="s">
        <v>74</v>
      </c>
      <c r="T826" t="s">
        <v>15745</v>
      </c>
      <c r="U826" t="s">
        <v>15746</v>
      </c>
      <c r="V826" t="s">
        <v>15747</v>
      </c>
      <c r="W826" t="s">
        <v>15748</v>
      </c>
      <c r="X826" t="s">
        <v>15749</v>
      </c>
      <c r="Y826" t="s">
        <v>15750</v>
      </c>
      <c r="Z826" t="s">
        <v>15751</v>
      </c>
      <c r="AA826" t="s">
        <v>15752</v>
      </c>
      <c r="AB826" t="s">
        <v>15753</v>
      </c>
      <c r="AC826" t="s">
        <v>15754</v>
      </c>
      <c r="AD826" t="s">
        <v>15755</v>
      </c>
      <c r="AE826" t="s">
        <v>15756</v>
      </c>
      <c r="AF826" t="s">
        <v>74</v>
      </c>
      <c r="AG826">
        <v>70</v>
      </c>
      <c r="AH826">
        <v>31</v>
      </c>
      <c r="AI826">
        <v>33</v>
      </c>
      <c r="AJ826">
        <v>0</v>
      </c>
      <c r="AK826">
        <v>9</v>
      </c>
      <c r="AL826" t="s">
        <v>410</v>
      </c>
      <c r="AM826" t="s">
        <v>411</v>
      </c>
      <c r="AN826" t="s">
        <v>412</v>
      </c>
      <c r="AO826" t="s">
        <v>15757</v>
      </c>
      <c r="AP826" t="s">
        <v>15758</v>
      </c>
      <c r="AQ826" t="s">
        <v>74</v>
      </c>
      <c r="AR826" t="s">
        <v>15759</v>
      </c>
      <c r="AS826" t="s">
        <v>15760</v>
      </c>
      <c r="AT826" t="s">
        <v>14663</v>
      </c>
      <c r="AU826">
        <v>2013</v>
      </c>
      <c r="AV826">
        <v>60</v>
      </c>
      <c r="AW826">
        <v>5</v>
      </c>
      <c r="AX826" t="s">
        <v>74</v>
      </c>
      <c r="AY826" t="s">
        <v>74</v>
      </c>
      <c r="AZ826" t="s">
        <v>74</v>
      </c>
      <c r="BA826" t="s">
        <v>74</v>
      </c>
      <c r="BB826">
        <v>497</v>
      </c>
      <c r="BC826">
        <v>513</v>
      </c>
      <c r="BD826" t="s">
        <v>74</v>
      </c>
      <c r="BE826" t="s">
        <v>15761</v>
      </c>
      <c r="BF826" t="str">
        <f>HYPERLINK("http://dx.doi.org/10.1111/jeu.12057","http://dx.doi.org/10.1111/jeu.12057")</f>
        <v>http://dx.doi.org/10.1111/jeu.12057</v>
      </c>
      <c r="BG826" t="s">
        <v>74</v>
      </c>
      <c r="BH826" t="s">
        <v>74</v>
      </c>
      <c r="BI826">
        <v>17</v>
      </c>
      <c r="BJ826" t="s">
        <v>815</v>
      </c>
      <c r="BK826" t="s">
        <v>99</v>
      </c>
      <c r="BL826" t="s">
        <v>815</v>
      </c>
      <c r="BM826" t="s">
        <v>15762</v>
      </c>
      <c r="BN826">
        <v>23865618</v>
      </c>
      <c r="BO826" t="s">
        <v>74</v>
      </c>
      <c r="BP826" t="s">
        <v>74</v>
      </c>
      <c r="BQ826" t="s">
        <v>74</v>
      </c>
      <c r="BR826" t="s">
        <v>103</v>
      </c>
      <c r="BS826" t="s">
        <v>15763</v>
      </c>
      <c r="BT826" t="str">
        <f>HYPERLINK("https%3A%2F%2Fwww.webofscience.com%2Fwos%2Fwoscc%2Ffull-record%2FWOS:000324094600007","View Full Record in Web of Science")</f>
        <v>View Full Record in Web of Science</v>
      </c>
    </row>
    <row r="827" spans="1:72" x14ac:dyDescent="0.15">
      <c r="A827" t="s">
        <v>72</v>
      </c>
      <c r="B827" t="s">
        <v>15764</v>
      </c>
      <c r="C827" t="s">
        <v>74</v>
      </c>
      <c r="D827" t="s">
        <v>74</v>
      </c>
      <c r="E827" t="s">
        <v>74</v>
      </c>
      <c r="F827" t="s">
        <v>15765</v>
      </c>
      <c r="G827" t="s">
        <v>74</v>
      </c>
      <c r="H827" t="s">
        <v>74</v>
      </c>
      <c r="I827" t="s">
        <v>15766</v>
      </c>
      <c r="J827" t="s">
        <v>15767</v>
      </c>
      <c r="K827" t="s">
        <v>74</v>
      </c>
      <c r="L827" t="s">
        <v>74</v>
      </c>
      <c r="M827" t="s">
        <v>78</v>
      </c>
      <c r="N827" t="s">
        <v>79</v>
      </c>
      <c r="O827" t="s">
        <v>74</v>
      </c>
      <c r="P827" t="s">
        <v>74</v>
      </c>
      <c r="Q827" t="s">
        <v>74</v>
      </c>
      <c r="R827" t="s">
        <v>74</v>
      </c>
      <c r="S827" t="s">
        <v>74</v>
      </c>
      <c r="T827" t="s">
        <v>15768</v>
      </c>
      <c r="U827" t="s">
        <v>15769</v>
      </c>
      <c r="V827" t="s">
        <v>15770</v>
      </c>
      <c r="W827" t="s">
        <v>15771</v>
      </c>
      <c r="X827" t="s">
        <v>15772</v>
      </c>
      <c r="Y827" t="s">
        <v>15773</v>
      </c>
      <c r="Z827" t="s">
        <v>15774</v>
      </c>
      <c r="AA827" t="s">
        <v>15775</v>
      </c>
      <c r="AB827" t="s">
        <v>15776</v>
      </c>
      <c r="AC827" t="s">
        <v>15777</v>
      </c>
      <c r="AD827" t="s">
        <v>15777</v>
      </c>
      <c r="AE827" t="s">
        <v>15778</v>
      </c>
      <c r="AF827" t="s">
        <v>74</v>
      </c>
      <c r="AG827">
        <v>47</v>
      </c>
      <c r="AH827">
        <v>16</v>
      </c>
      <c r="AI827">
        <v>17</v>
      </c>
      <c r="AJ827">
        <v>0</v>
      </c>
      <c r="AK827">
        <v>10</v>
      </c>
      <c r="AL827" t="s">
        <v>783</v>
      </c>
      <c r="AM827" t="s">
        <v>252</v>
      </c>
      <c r="AN827" t="s">
        <v>784</v>
      </c>
      <c r="AO827" t="s">
        <v>15779</v>
      </c>
      <c r="AP827" t="s">
        <v>15780</v>
      </c>
      <c r="AQ827" t="s">
        <v>74</v>
      </c>
      <c r="AR827" t="s">
        <v>15781</v>
      </c>
      <c r="AS827" t="s">
        <v>15782</v>
      </c>
      <c r="AT827" t="s">
        <v>14663</v>
      </c>
      <c r="AU827">
        <v>2013</v>
      </c>
      <c r="AV827">
        <v>46</v>
      </c>
      <c r="AW827" t="s">
        <v>74</v>
      </c>
      <c r="AX827" t="s">
        <v>74</v>
      </c>
      <c r="AY827" t="s">
        <v>74</v>
      </c>
      <c r="AZ827" t="s">
        <v>74</v>
      </c>
      <c r="BA827" t="s">
        <v>74</v>
      </c>
      <c r="BB827">
        <v>304</v>
      </c>
      <c r="BC827">
        <v>318</v>
      </c>
      <c r="BD827" t="s">
        <v>74</v>
      </c>
      <c r="BE827" t="s">
        <v>15783</v>
      </c>
      <c r="BF827" t="str">
        <f>HYPERLINK("http://dx.doi.org/10.1016/j.marpetgeo.2013.07.005","http://dx.doi.org/10.1016/j.marpetgeo.2013.07.005")</f>
        <v>http://dx.doi.org/10.1016/j.marpetgeo.2013.07.005</v>
      </c>
      <c r="BG827" t="s">
        <v>74</v>
      </c>
      <c r="BH827" t="s">
        <v>74</v>
      </c>
      <c r="BI827">
        <v>15</v>
      </c>
      <c r="BJ827" t="s">
        <v>337</v>
      </c>
      <c r="BK827" t="s">
        <v>99</v>
      </c>
      <c r="BL827" t="s">
        <v>338</v>
      </c>
      <c r="BM827" t="s">
        <v>15784</v>
      </c>
      <c r="BN827" t="s">
        <v>74</v>
      </c>
      <c r="BO827" t="s">
        <v>74</v>
      </c>
      <c r="BP827" t="s">
        <v>74</v>
      </c>
      <c r="BQ827" t="s">
        <v>74</v>
      </c>
      <c r="BR827" t="s">
        <v>103</v>
      </c>
      <c r="BS827" t="s">
        <v>15785</v>
      </c>
      <c r="BT827" t="str">
        <f>HYPERLINK("https%3A%2F%2Fwww.webofscience.com%2Fwos%2Fwoscc%2Ffull-record%2FWOS:000324223400019","View Full Record in Web of Science")</f>
        <v>View Full Record in Web of Science</v>
      </c>
    </row>
    <row r="828" spans="1:72" x14ac:dyDescent="0.15">
      <c r="A828" t="s">
        <v>72</v>
      </c>
      <c r="B828" t="s">
        <v>15786</v>
      </c>
      <c r="C828" t="s">
        <v>74</v>
      </c>
      <c r="D828" t="s">
        <v>74</v>
      </c>
      <c r="E828" t="s">
        <v>74</v>
      </c>
      <c r="F828" t="s">
        <v>15787</v>
      </c>
      <c r="G828" t="s">
        <v>74</v>
      </c>
      <c r="H828" t="s">
        <v>74</v>
      </c>
      <c r="I828" t="s">
        <v>15788</v>
      </c>
      <c r="J828" t="s">
        <v>15789</v>
      </c>
      <c r="K828" t="s">
        <v>74</v>
      </c>
      <c r="L828" t="s">
        <v>74</v>
      </c>
      <c r="M828" t="s">
        <v>78</v>
      </c>
      <c r="N828" t="s">
        <v>79</v>
      </c>
      <c r="O828" t="s">
        <v>74</v>
      </c>
      <c r="P828" t="s">
        <v>74</v>
      </c>
      <c r="Q828" t="s">
        <v>74</v>
      </c>
      <c r="R828" t="s">
        <v>74</v>
      </c>
      <c r="S828" t="s">
        <v>74</v>
      </c>
      <c r="T828" t="s">
        <v>15790</v>
      </c>
      <c r="U828" t="s">
        <v>15791</v>
      </c>
      <c r="V828" t="s">
        <v>15792</v>
      </c>
      <c r="W828" t="s">
        <v>15793</v>
      </c>
      <c r="X828" t="s">
        <v>15794</v>
      </c>
      <c r="Y828" t="s">
        <v>15795</v>
      </c>
      <c r="Z828" t="s">
        <v>15796</v>
      </c>
      <c r="AA828" t="s">
        <v>15797</v>
      </c>
      <c r="AB828" t="s">
        <v>15798</v>
      </c>
      <c r="AC828" t="s">
        <v>15799</v>
      </c>
      <c r="AD828" t="s">
        <v>15800</v>
      </c>
      <c r="AE828" t="s">
        <v>15801</v>
      </c>
      <c r="AF828" t="s">
        <v>74</v>
      </c>
      <c r="AG828">
        <v>58</v>
      </c>
      <c r="AH828">
        <v>32</v>
      </c>
      <c r="AI828">
        <v>40</v>
      </c>
      <c r="AJ828">
        <v>0</v>
      </c>
      <c r="AK828">
        <v>26</v>
      </c>
      <c r="AL828" t="s">
        <v>872</v>
      </c>
      <c r="AM828" t="s">
        <v>252</v>
      </c>
      <c r="AN828" t="s">
        <v>873</v>
      </c>
      <c r="AO828" t="s">
        <v>15802</v>
      </c>
      <c r="AP828" t="s">
        <v>74</v>
      </c>
      <c r="AQ828" t="s">
        <v>74</v>
      </c>
      <c r="AR828" t="s">
        <v>15803</v>
      </c>
      <c r="AS828" t="s">
        <v>15804</v>
      </c>
      <c r="AT828" t="s">
        <v>14858</v>
      </c>
      <c r="AU828">
        <v>2013</v>
      </c>
      <c r="AV828">
        <v>85</v>
      </c>
      <c r="AW828" t="s">
        <v>74</v>
      </c>
      <c r="AX828" t="s">
        <v>74</v>
      </c>
      <c r="AY828" t="s">
        <v>74</v>
      </c>
      <c r="AZ828" t="s">
        <v>74</v>
      </c>
      <c r="BA828" t="s">
        <v>74</v>
      </c>
      <c r="BB828">
        <v>53</v>
      </c>
      <c r="BC828">
        <v>58</v>
      </c>
      <c r="BD828" t="s">
        <v>74</v>
      </c>
      <c r="BE828" t="s">
        <v>15805</v>
      </c>
      <c r="BF828" t="str">
        <f>HYPERLINK("http://dx.doi.org/10.1016/j.pss.2013.05.019","http://dx.doi.org/10.1016/j.pss.2013.05.019")</f>
        <v>http://dx.doi.org/10.1016/j.pss.2013.05.019</v>
      </c>
      <c r="BG828" t="s">
        <v>74</v>
      </c>
      <c r="BH828" t="s">
        <v>74</v>
      </c>
      <c r="BI828">
        <v>6</v>
      </c>
      <c r="BJ828" t="s">
        <v>1705</v>
      </c>
      <c r="BK828" t="s">
        <v>99</v>
      </c>
      <c r="BL828" t="s">
        <v>1705</v>
      </c>
      <c r="BM828" t="s">
        <v>15806</v>
      </c>
      <c r="BN828" t="s">
        <v>74</v>
      </c>
      <c r="BO828" t="s">
        <v>74</v>
      </c>
      <c r="BP828" t="s">
        <v>74</v>
      </c>
      <c r="BQ828" t="s">
        <v>74</v>
      </c>
      <c r="BR828" t="s">
        <v>103</v>
      </c>
      <c r="BS828" t="s">
        <v>15807</v>
      </c>
      <c r="BT828" t="str">
        <f>HYPERLINK("https%3A%2F%2Fwww.webofscience.com%2Fwos%2Fwoscc%2Ffull-record%2FWOS:000324364100005","View Full Record in Web of Science")</f>
        <v>View Full Record in Web of Science</v>
      </c>
    </row>
    <row r="829" spans="1:72" x14ac:dyDescent="0.15">
      <c r="A829" t="s">
        <v>72</v>
      </c>
      <c r="B829" t="s">
        <v>15808</v>
      </c>
      <c r="C829" t="s">
        <v>74</v>
      </c>
      <c r="D829" t="s">
        <v>74</v>
      </c>
      <c r="E829" t="s">
        <v>74</v>
      </c>
      <c r="F829" t="s">
        <v>15809</v>
      </c>
      <c r="G829" t="s">
        <v>74</v>
      </c>
      <c r="H829" t="s">
        <v>74</v>
      </c>
      <c r="I829" t="s">
        <v>15810</v>
      </c>
      <c r="J829" t="s">
        <v>15811</v>
      </c>
      <c r="K829" t="s">
        <v>74</v>
      </c>
      <c r="L829" t="s">
        <v>74</v>
      </c>
      <c r="M829" t="s">
        <v>78</v>
      </c>
      <c r="N829" t="s">
        <v>79</v>
      </c>
      <c r="O829" t="s">
        <v>74</v>
      </c>
      <c r="P829" t="s">
        <v>74</v>
      </c>
      <c r="Q829" t="s">
        <v>74</v>
      </c>
      <c r="R829" t="s">
        <v>74</v>
      </c>
      <c r="S829" t="s">
        <v>74</v>
      </c>
      <c r="T829" t="s">
        <v>15812</v>
      </c>
      <c r="U829" t="s">
        <v>15813</v>
      </c>
      <c r="V829" t="s">
        <v>15814</v>
      </c>
      <c r="W829" t="s">
        <v>15815</v>
      </c>
      <c r="X829" t="s">
        <v>15816</v>
      </c>
      <c r="Y829" t="s">
        <v>15817</v>
      </c>
      <c r="Z829" t="s">
        <v>15818</v>
      </c>
      <c r="AA829" t="s">
        <v>15819</v>
      </c>
      <c r="AB829" t="s">
        <v>15820</v>
      </c>
      <c r="AC829" t="s">
        <v>15821</v>
      </c>
      <c r="AD829" t="s">
        <v>15822</v>
      </c>
      <c r="AE829" t="s">
        <v>15823</v>
      </c>
      <c r="AF829" t="s">
        <v>74</v>
      </c>
      <c r="AG829">
        <v>95</v>
      </c>
      <c r="AH829">
        <v>46</v>
      </c>
      <c r="AI829">
        <v>53</v>
      </c>
      <c r="AJ829">
        <v>0</v>
      </c>
      <c r="AK829">
        <v>61</v>
      </c>
      <c r="AL829" t="s">
        <v>582</v>
      </c>
      <c r="AM829" t="s">
        <v>305</v>
      </c>
      <c r="AN829" t="s">
        <v>583</v>
      </c>
      <c r="AO829" t="s">
        <v>15824</v>
      </c>
      <c r="AP829" t="s">
        <v>74</v>
      </c>
      <c r="AQ829" t="s">
        <v>74</v>
      </c>
      <c r="AR829" t="s">
        <v>15825</v>
      </c>
      <c r="AS829" t="s">
        <v>15826</v>
      </c>
      <c r="AT829" t="s">
        <v>14858</v>
      </c>
      <c r="AU829">
        <v>2013</v>
      </c>
      <c r="AV829">
        <v>461</v>
      </c>
      <c r="AW829" t="s">
        <v>74</v>
      </c>
      <c r="AX829" t="s">
        <v>74</v>
      </c>
      <c r="AY829" t="s">
        <v>74</v>
      </c>
      <c r="AZ829" t="s">
        <v>74</v>
      </c>
      <c r="BA829" t="s">
        <v>74</v>
      </c>
      <c r="BB829">
        <v>723</v>
      </c>
      <c r="BC829">
        <v>733</v>
      </c>
      <c r="BD829" t="s">
        <v>74</v>
      </c>
      <c r="BE829" t="s">
        <v>15827</v>
      </c>
      <c r="BF829" t="str">
        <f>HYPERLINK("http://dx.doi.org/10.1016/j.scitotenv.2013.05.059","http://dx.doi.org/10.1016/j.scitotenv.2013.05.059")</f>
        <v>http://dx.doi.org/10.1016/j.scitotenv.2013.05.059</v>
      </c>
      <c r="BG829" t="s">
        <v>74</v>
      </c>
      <c r="BH829" t="s">
        <v>74</v>
      </c>
      <c r="BI829">
        <v>11</v>
      </c>
      <c r="BJ829" t="s">
        <v>9250</v>
      </c>
      <c r="BK829" t="s">
        <v>99</v>
      </c>
      <c r="BL829" t="s">
        <v>420</v>
      </c>
      <c r="BM829" t="s">
        <v>15828</v>
      </c>
      <c r="BN829">
        <v>23770553</v>
      </c>
      <c r="BO829" t="s">
        <v>450</v>
      </c>
      <c r="BP829" t="s">
        <v>74</v>
      </c>
      <c r="BQ829" t="s">
        <v>74</v>
      </c>
      <c r="BR829" t="s">
        <v>103</v>
      </c>
      <c r="BS829" t="s">
        <v>15829</v>
      </c>
      <c r="BT829" t="str">
        <f>HYPERLINK("https%3A%2F%2Fwww.webofscience.com%2Fwos%2Fwoscc%2Ffull-record%2FWOS:000323851500075","View Full Record in Web of Science")</f>
        <v>View Full Record in Web of Science</v>
      </c>
    </row>
    <row r="830" spans="1:72" x14ac:dyDescent="0.15">
      <c r="A830" t="s">
        <v>72</v>
      </c>
      <c r="B830" t="s">
        <v>15830</v>
      </c>
      <c r="C830" t="s">
        <v>74</v>
      </c>
      <c r="D830" t="s">
        <v>74</v>
      </c>
      <c r="E830" t="s">
        <v>74</v>
      </c>
      <c r="F830" t="s">
        <v>15831</v>
      </c>
      <c r="G830" t="s">
        <v>74</v>
      </c>
      <c r="H830" t="s">
        <v>74</v>
      </c>
      <c r="I830" t="s">
        <v>15832</v>
      </c>
      <c r="J830" t="s">
        <v>11323</v>
      </c>
      <c r="K830" t="s">
        <v>74</v>
      </c>
      <c r="L830" t="s">
        <v>74</v>
      </c>
      <c r="M830" t="s">
        <v>78</v>
      </c>
      <c r="N830" t="s">
        <v>79</v>
      </c>
      <c r="O830" t="s">
        <v>74</v>
      </c>
      <c r="P830" t="s">
        <v>74</v>
      </c>
      <c r="Q830" t="s">
        <v>74</v>
      </c>
      <c r="R830" t="s">
        <v>74</v>
      </c>
      <c r="S830" t="s">
        <v>74</v>
      </c>
      <c r="T830" t="s">
        <v>15833</v>
      </c>
      <c r="U830" t="s">
        <v>15834</v>
      </c>
      <c r="V830" t="s">
        <v>15835</v>
      </c>
      <c r="W830" t="s">
        <v>15836</v>
      </c>
      <c r="X830" t="s">
        <v>15837</v>
      </c>
      <c r="Y830" t="s">
        <v>15838</v>
      </c>
      <c r="Z830" t="s">
        <v>15839</v>
      </c>
      <c r="AA830" t="s">
        <v>15840</v>
      </c>
      <c r="AB830" t="s">
        <v>15841</v>
      </c>
      <c r="AC830" t="s">
        <v>15842</v>
      </c>
      <c r="AD830" t="s">
        <v>15843</v>
      </c>
      <c r="AE830" t="s">
        <v>15844</v>
      </c>
      <c r="AF830" t="s">
        <v>74</v>
      </c>
      <c r="AG830">
        <v>36</v>
      </c>
      <c r="AH830">
        <v>1</v>
      </c>
      <c r="AI830">
        <v>1</v>
      </c>
      <c r="AJ830">
        <v>0</v>
      </c>
      <c r="AK830">
        <v>7</v>
      </c>
      <c r="AL830" t="s">
        <v>783</v>
      </c>
      <c r="AM830" t="s">
        <v>252</v>
      </c>
      <c r="AN830" t="s">
        <v>784</v>
      </c>
      <c r="AO830" t="s">
        <v>11335</v>
      </c>
      <c r="AP830" t="s">
        <v>74</v>
      </c>
      <c r="AQ830" t="s">
        <v>74</v>
      </c>
      <c r="AR830" t="s">
        <v>11337</v>
      </c>
      <c r="AS830" t="s">
        <v>11338</v>
      </c>
      <c r="AT830" t="s">
        <v>14858</v>
      </c>
      <c r="AU830">
        <v>2013</v>
      </c>
      <c r="AV830">
        <v>52</v>
      </c>
      <c r="AW830">
        <v>5</v>
      </c>
      <c r="AX830" t="s">
        <v>74</v>
      </c>
      <c r="AY830" t="s">
        <v>74</v>
      </c>
      <c r="AZ830" t="s">
        <v>74</v>
      </c>
      <c r="BA830" t="s">
        <v>74</v>
      </c>
      <c r="BB830">
        <v>853</v>
      </c>
      <c r="BC830">
        <v>864</v>
      </c>
      <c r="BD830" t="s">
        <v>74</v>
      </c>
      <c r="BE830" t="s">
        <v>15845</v>
      </c>
      <c r="BF830" t="str">
        <f>HYPERLINK("http://dx.doi.org/10.1016/j.asr.2013.05.001","http://dx.doi.org/10.1016/j.asr.2013.05.001")</f>
        <v>http://dx.doi.org/10.1016/j.asr.2013.05.001</v>
      </c>
      <c r="BG830" t="s">
        <v>74</v>
      </c>
      <c r="BH830" t="s">
        <v>74</v>
      </c>
      <c r="BI830">
        <v>12</v>
      </c>
      <c r="BJ830" t="s">
        <v>11340</v>
      </c>
      <c r="BK830" t="s">
        <v>99</v>
      </c>
      <c r="BL830" t="s">
        <v>11341</v>
      </c>
      <c r="BM830" t="s">
        <v>15846</v>
      </c>
      <c r="BN830" t="s">
        <v>74</v>
      </c>
      <c r="BO830" t="s">
        <v>74</v>
      </c>
      <c r="BP830" t="s">
        <v>74</v>
      </c>
      <c r="BQ830" t="s">
        <v>74</v>
      </c>
      <c r="BR830" t="s">
        <v>103</v>
      </c>
      <c r="BS830" t="s">
        <v>15847</v>
      </c>
      <c r="BT830" t="str">
        <f>HYPERLINK("https%3A%2F%2Fwww.webofscience.com%2Fwos%2Fwoscc%2Ffull-record%2FWOS:000323857700007","View Full Record in Web of Science")</f>
        <v>View Full Record in Web of Science</v>
      </c>
    </row>
    <row r="831" spans="1:72" x14ac:dyDescent="0.15">
      <c r="A831" t="s">
        <v>72</v>
      </c>
      <c r="B831" t="s">
        <v>15848</v>
      </c>
      <c r="C831" t="s">
        <v>74</v>
      </c>
      <c r="D831" t="s">
        <v>74</v>
      </c>
      <c r="E831" t="s">
        <v>74</v>
      </c>
      <c r="F831" t="s">
        <v>15849</v>
      </c>
      <c r="G831" t="s">
        <v>74</v>
      </c>
      <c r="H831" t="s">
        <v>74</v>
      </c>
      <c r="I831" t="s">
        <v>15850</v>
      </c>
      <c r="J831" t="s">
        <v>15851</v>
      </c>
      <c r="K831" t="s">
        <v>74</v>
      </c>
      <c r="L831" t="s">
        <v>74</v>
      </c>
      <c r="M831" t="s">
        <v>78</v>
      </c>
      <c r="N831" t="s">
        <v>79</v>
      </c>
      <c r="O831" t="s">
        <v>74</v>
      </c>
      <c r="P831" t="s">
        <v>74</v>
      </c>
      <c r="Q831" t="s">
        <v>74</v>
      </c>
      <c r="R831" t="s">
        <v>74</v>
      </c>
      <c r="S831" t="s">
        <v>74</v>
      </c>
      <c r="T831" t="s">
        <v>74</v>
      </c>
      <c r="U831" t="s">
        <v>15852</v>
      </c>
      <c r="V831" t="s">
        <v>15853</v>
      </c>
      <c r="W831" t="s">
        <v>15854</v>
      </c>
      <c r="X831" t="s">
        <v>15855</v>
      </c>
      <c r="Y831" t="s">
        <v>15856</v>
      </c>
      <c r="Z831" t="s">
        <v>5708</v>
      </c>
      <c r="AA831" t="s">
        <v>15857</v>
      </c>
      <c r="AB831" t="s">
        <v>15858</v>
      </c>
      <c r="AC831" t="s">
        <v>15859</v>
      </c>
      <c r="AD831" t="s">
        <v>15860</v>
      </c>
      <c r="AE831" t="s">
        <v>15861</v>
      </c>
      <c r="AF831" t="s">
        <v>74</v>
      </c>
      <c r="AG831">
        <v>35</v>
      </c>
      <c r="AH831">
        <v>8</v>
      </c>
      <c r="AI831">
        <v>8</v>
      </c>
      <c r="AJ831">
        <v>0</v>
      </c>
      <c r="AK831">
        <v>16</v>
      </c>
      <c r="AL831" t="s">
        <v>15862</v>
      </c>
      <c r="AM831" t="s">
        <v>808</v>
      </c>
      <c r="AN831" t="s">
        <v>15863</v>
      </c>
      <c r="AO831" t="s">
        <v>15864</v>
      </c>
      <c r="AP831" t="s">
        <v>15865</v>
      </c>
      <c r="AQ831" t="s">
        <v>74</v>
      </c>
      <c r="AR831" t="s">
        <v>15866</v>
      </c>
      <c r="AS831" t="s">
        <v>15867</v>
      </c>
      <c r="AT831" t="s">
        <v>14858</v>
      </c>
      <c r="AU831">
        <v>2013</v>
      </c>
      <c r="AV831">
        <v>52</v>
      </c>
      <c r="AW831">
        <v>25</v>
      </c>
      <c r="AX831" t="s">
        <v>74</v>
      </c>
      <c r="AY831" t="s">
        <v>74</v>
      </c>
      <c r="AZ831" t="s">
        <v>74</v>
      </c>
      <c r="BA831" t="s">
        <v>74</v>
      </c>
      <c r="BB831">
        <v>6287</v>
      </c>
      <c r="BC831">
        <v>6294</v>
      </c>
      <c r="BD831" t="s">
        <v>74</v>
      </c>
      <c r="BE831" t="s">
        <v>15868</v>
      </c>
      <c r="BF831" t="str">
        <f>HYPERLINK("http://dx.doi.org/10.1364/AO.52.006287","http://dx.doi.org/10.1364/AO.52.006287")</f>
        <v>http://dx.doi.org/10.1364/AO.52.006287</v>
      </c>
      <c r="BG831" t="s">
        <v>74</v>
      </c>
      <c r="BH831" t="s">
        <v>74</v>
      </c>
      <c r="BI831">
        <v>8</v>
      </c>
      <c r="BJ831" t="s">
        <v>15869</v>
      </c>
      <c r="BK831" t="s">
        <v>99</v>
      </c>
      <c r="BL831" t="s">
        <v>15869</v>
      </c>
      <c r="BM831" t="s">
        <v>15870</v>
      </c>
      <c r="BN831">
        <v>24085089</v>
      </c>
      <c r="BO831" t="s">
        <v>74</v>
      </c>
      <c r="BP831" t="s">
        <v>74</v>
      </c>
      <c r="BQ831" t="s">
        <v>74</v>
      </c>
      <c r="BR831" t="s">
        <v>103</v>
      </c>
      <c r="BS831" t="s">
        <v>15871</v>
      </c>
      <c r="BT831" t="str">
        <f>HYPERLINK("https%3A%2F%2Fwww.webofscience.com%2Fwos%2Fwoscc%2Ffull-record%2FWOS:000323881700026","View Full Record in Web of Science")</f>
        <v>View Full Record in Web of Science</v>
      </c>
    </row>
    <row r="832" spans="1:72" x14ac:dyDescent="0.15">
      <c r="A832" t="s">
        <v>72</v>
      </c>
      <c r="B832" t="s">
        <v>15872</v>
      </c>
      <c r="C832" t="s">
        <v>74</v>
      </c>
      <c r="D832" t="s">
        <v>74</v>
      </c>
      <c r="E832" t="s">
        <v>74</v>
      </c>
      <c r="F832" t="s">
        <v>15873</v>
      </c>
      <c r="G832" t="s">
        <v>74</v>
      </c>
      <c r="H832" t="s">
        <v>74</v>
      </c>
      <c r="I832" t="s">
        <v>15874</v>
      </c>
      <c r="J832" t="s">
        <v>12854</v>
      </c>
      <c r="K832" t="s">
        <v>74</v>
      </c>
      <c r="L832" t="s">
        <v>74</v>
      </c>
      <c r="M832" t="s">
        <v>78</v>
      </c>
      <c r="N832" t="s">
        <v>7135</v>
      </c>
      <c r="O832" t="s">
        <v>74</v>
      </c>
      <c r="P832" t="s">
        <v>74</v>
      </c>
      <c r="Q832" t="s">
        <v>74</v>
      </c>
      <c r="R832" t="s">
        <v>74</v>
      </c>
      <c r="S832" t="s">
        <v>74</v>
      </c>
      <c r="T832" t="s">
        <v>74</v>
      </c>
      <c r="U832" t="s">
        <v>74</v>
      </c>
      <c r="V832" t="s">
        <v>74</v>
      </c>
      <c r="W832" t="s">
        <v>15875</v>
      </c>
      <c r="X832" t="s">
        <v>15876</v>
      </c>
      <c r="Y832" t="s">
        <v>15877</v>
      </c>
      <c r="Z832" t="s">
        <v>15878</v>
      </c>
      <c r="AA832" t="s">
        <v>74</v>
      </c>
      <c r="AB832" t="s">
        <v>15879</v>
      </c>
      <c r="AC832" t="s">
        <v>15880</v>
      </c>
      <c r="AD832" t="s">
        <v>15881</v>
      </c>
      <c r="AE832" t="s">
        <v>74</v>
      </c>
      <c r="AF832" t="s">
        <v>74</v>
      </c>
      <c r="AG832">
        <v>3</v>
      </c>
      <c r="AH832">
        <v>2</v>
      </c>
      <c r="AI832">
        <v>2</v>
      </c>
      <c r="AJ832">
        <v>0</v>
      </c>
      <c r="AK832">
        <v>14</v>
      </c>
      <c r="AL832" t="s">
        <v>783</v>
      </c>
      <c r="AM832" t="s">
        <v>252</v>
      </c>
      <c r="AN832" t="s">
        <v>784</v>
      </c>
      <c r="AO832" t="s">
        <v>12867</v>
      </c>
      <c r="AP832" t="s">
        <v>74</v>
      </c>
      <c r="AQ832" t="s">
        <v>74</v>
      </c>
      <c r="AR832" t="s">
        <v>12869</v>
      </c>
      <c r="AS832" t="s">
        <v>12870</v>
      </c>
      <c r="AT832" t="s">
        <v>14663</v>
      </c>
      <c r="AU832">
        <v>2013</v>
      </c>
      <c r="AV832">
        <v>165</v>
      </c>
      <c r="AW832" t="s">
        <v>74</v>
      </c>
      <c r="AX832" t="s">
        <v>74</v>
      </c>
      <c r="AY832" t="s">
        <v>74</v>
      </c>
      <c r="AZ832" t="s">
        <v>74</v>
      </c>
      <c r="BA832" t="s">
        <v>74</v>
      </c>
      <c r="BB832">
        <v>214</v>
      </c>
      <c r="BC832">
        <v>215</v>
      </c>
      <c r="BD832" t="s">
        <v>74</v>
      </c>
      <c r="BE832" t="s">
        <v>15882</v>
      </c>
      <c r="BF832" t="str">
        <f>HYPERLINK("http://dx.doi.org/10.1016/j.biocon.2013.06.003","http://dx.doi.org/10.1016/j.biocon.2013.06.003")</f>
        <v>http://dx.doi.org/10.1016/j.biocon.2013.06.003</v>
      </c>
      <c r="BG832" t="s">
        <v>74</v>
      </c>
      <c r="BH832" t="s">
        <v>74</v>
      </c>
      <c r="BI832">
        <v>2</v>
      </c>
      <c r="BJ832" t="s">
        <v>1049</v>
      </c>
      <c r="BK832" t="s">
        <v>99</v>
      </c>
      <c r="BL832" t="s">
        <v>1050</v>
      </c>
      <c r="BM832" t="s">
        <v>15883</v>
      </c>
      <c r="BN832" t="s">
        <v>74</v>
      </c>
      <c r="BO832" t="s">
        <v>74</v>
      </c>
      <c r="BP832" t="s">
        <v>74</v>
      </c>
      <c r="BQ832" t="s">
        <v>74</v>
      </c>
      <c r="BR832" t="s">
        <v>103</v>
      </c>
      <c r="BS832" t="s">
        <v>15884</v>
      </c>
      <c r="BT832" t="str">
        <f>HYPERLINK("https%3A%2F%2Fwww.webofscience.com%2Fwos%2Fwoscc%2Ffull-record%2FWOS:000323871700026","View Full Record in Web of Science")</f>
        <v>View Full Record in Web of Science</v>
      </c>
    </row>
    <row r="833" spans="1:72" x14ac:dyDescent="0.15">
      <c r="A833" t="s">
        <v>72</v>
      </c>
      <c r="B833" t="s">
        <v>15885</v>
      </c>
      <c r="C833" t="s">
        <v>74</v>
      </c>
      <c r="D833" t="s">
        <v>74</v>
      </c>
      <c r="E833" t="s">
        <v>74</v>
      </c>
      <c r="F833" t="s">
        <v>15886</v>
      </c>
      <c r="G833" t="s">
        <v>74</v>
      </c>
      <c r="H833" t="s">
        <v>74</v>
      </c>
      <c r="I833" t="s">
        <v>15887</v>
      </c>
      <c r="J833" t="s">
        <v>15888</v>
      </c>
      <c r="K833" t="s">
        <v>74</v>
      </c>
      <c r="L833" t="s">
        <v>74</v>
      </c>
      <c r="M833" t="s">
        <v>78</v>
      </c>
      <c r="N833" t="s">
        <v>79</v>
      </c>
      <c r="O833" t="s">
        <v>74</v>
      </c>
      <c r="P833" t="s">
        <v>74</v>
      </c>
      <c r="Q833" t="s">
        <v>74</v>
      </c>
      <c r="R833" t="s">
        <v>74</v>
      </c>
      <c r="S833" t="s">
        <v>74</v>
      </c>
      <c r="T833" t="s">
        <v>15889</v>
      </c>
      <c r="U833" t="s">
        <v>15890</v>
      </c>
      <c r="V833" t="s">
        <v>15891</v>
      </c>
      <c r="W833" t="s">
        <v>15892</v>
      </c>
      <c r="X833" t="s">
        <v>15893</v>
      </c>
      <c r="Y833" t="s">
        <v>15894</v>
      </c>
      <c r="Z833" t="s">
        <v>15895</v>
      </c>
      <c r="AA833" t="s">
        <v>74</v>
      </c>
      <c r="AB833" t="s">
        <v>15896</v>
      </c>
      <c r="AC833" t="s">
        <v>15897</v>
      </c>
      <c r="AD833" t="s">
        <v>15898</v>
      </c>
      <c r="AE833" t="s">
        <v>15899</v>
      </c>
      <c r="AF833" t="s">
        <v>74</v>
      </c>
      <c r="AG833">
        <v>24</v>
      </c>
      <c r="AH833">
        <v>9</v>
      </c>
      <c r="AI833">
        <v>13</v>
      </c>
      <c r="AJ833">
        <v>0</v>
      </c>
      <c r="AK833">
        <v>11</v>
      </c>
      <c r="AL833" t="s">
        <v>848</v>
      </c>
      <c r="AM833" t="s">
        <v>849</v>
      </c>
      <c r="AN833" t="s">
        <v>850</v>
      </c>
      <c r="AO833" t="s">
        <v>15900</v>
      </c>
      <c r="AP833" t="s">
        <v>15901</v>
      </c>
      <c r="AQ833" t="s">
        <v>74</v>
      </c>
      <c r="AR833" t="s">
        <v>15902</v>
      </c>
      <c r="AS833" t="s">
        <v>15903</v>
      </c>
      <c r="AT833" t="s">
        <v>14663</v>
      </c>
      <c r="AU833">
        <v>2013</v>
      </c>
      <c r="AV833">
        <v>67</v>
      </c>
      <c r="AW833">
        <v>3</v>
      </c>
      <c r="AX833" t="s">
        <v>74</v>
      </c>
      <c r="AY833" t="s">
        <v>74</v>
      </c>
      <c r="AZ833" t="s">
        <v>74</v>
      </c>
      <c r="BA833" t="s">
        <v>74</v>
      </c>
      <c r="BB833">
        <v>423</v>
      </c>
      <c r="BC833">
        <v>443</v>
      </c>
      <c r="BD833" t="s">
        <v>74</v>
      </c>
      <c r="BE833" t="s">
        <v>15904</v>
      </c>
      <c r="BF833" t="str">
        <f>HYPERLINK("http://dx.doi.org/10.1007/s10152-012-0333-0","http://dx.doi.org/10.1007/s10152-012-0333-0")</f>
        <v>http://dx.doi.org/10.1007/s10152-012-0333-0</v>
      </c>
      <c r="BG833" t="s">
        <v>74</v>
      </c>
      <c r="BH833" t="s">
        <v>74</v>
      </c>
      <c r="BI833">
        <v>21</v>
      </c>
      <c r="BJ833" t="s">
        <v>2266</v>
      </c>
      <c r="BK833" t="s">
        <v>99</v>
      </c>
      <c r="BL833" t="s">
        <v>2266</v>
      </c>
      <c r="BM833" t="s">
        <v>15905</v>
      </c>
      <c r="BN833" t="s">
        <v>74</v>
      </c>
      <c r="BO833" t="s">
        <v>475</v>
      </c>
      <c r="BP833" t="s">
        <v>74</v>
      </c>
      <c r="BQ833" t="s">
        <v>74</v>
      </c>
      <c r="BR833" t="s">
        <v>103</v>
      </c>
      <c r="BS833" t="s">
        <v>15906</v>
      </c>
      <c r="BT833" t="str">
        <f>HYPERLINK("https%3A%2F%2Fwww.webofscience.com%2Fwos%2Fwoscc%2Ffull-record%2FWOS:000323623800002","View Full Record in Web of Science")</f>
        <v>View Full Record in Web of Science</v>
      </c>
    </row>
    <row r="834" spans="1:72" x14ac:dyDescent="0.15">
      <c r="A834" t="s">
        <v>72</v>
      </c>
      <c r="B834" t="s">
        <v>15907</v>
      </c>
      <c r="C834" t="s">
        <v>74</v>
      </c>
      <c r="D834" t="s">
        <v>74</v>
      </c>
      <c r="E834" t="s">
        <v>74</v>
      </c>
      <c r="F834" t="s">
        <v>15908</v>
      </c>
      <c r="G834" t="s">
        <v>74</v>
      </c>
      <c r="H834" t="s">
        <v>74</v>
      </c>
      <c r="I834" t="s">
        <v>15909</v>
      </c>
      <c r="J834" t="s">
        <v>15888</v>
      </c>
      <c r="K834" t="s">
        <v>74</v>
      </c>
      <c r="L834" t="s">
        <v>74</v>
      </c>
      <c r="M834" t="s">
        <v>78</v>
      </c>
      <c r="N834" t="s">
        <v>79</v>
      </c>
      <c r="O834" t="s">
        <v>74</v>
      </c>
      <c r="P834" t="s">
        <v>74</v>
      </c>
      <c r="Q834" t="s">
        <v>74</v>
      </c>
      <c r="R834" t="s">
        <v>74</v>
      </c>
      <c r="S834" t="s">
        <v>74</v>
      </c>
      <c r="T834" t="s">
        <v>15910</v>
      </c>
      <c r="U834" t="s">
        <v>15911</v>
      </c>
      <c r="V834" t="s">
        <v>15912</v>
      </c>
      <c r="W834" t="s">
        <v>15913</v>
      </c>
      <c r="X834" t="s">
        <v>74</v>
      </c>
      <c r="Y834" t="s">
        <v>15914</v>
      </c>
      <c r="Z834" t="s">
        <v>15915</v>
      </c>
      <c r="AA834" t="s">
        <v>74</v>
      </c>
      <c r="AB834" t="s">
        <v>15916</v>
      </c>
      <c r="AC834" t="s">
        <v>15917</v>
      </c>
      <c r="AD834" t="s">
        <v>15918</v>
      </c>
      <c r="AE834" t="s">
        <v>15919</v>
      </c>
      <c r="AF834" t="s">
        <v>74</v>
      </c>
      <c r="AG834">
        <v>52</v>
      </c>
      <c r="AH834">
        <v>11</v>
      </c>
      <c r="AI834">
        <v>12</v>
      </c>
      <c r="AJ834">
        <v>3</v>
      </c>
      <c r="AK834">
        <v>25</v>
      </c>
      <c r="AL834" t="s">
        <v>848</v>
      </c>
      <c r="AM834" t="s">
        <v>849</v>
      </c>
      <c r="AN834" t="s">
        <v>850</v>
      </c>
      <c r="AO834" t="s">
        <v>15900</v>
      </c>
      <c r="AP834" t="s">
        <v>15901</v>
      </c>
      <c r="AQ834" t="s">
        <v>74</v>
      </c>
      <c r="AR834" t="s">
        <v>15902</v>
      </c>
      <c r="AS834" t="s">
        <v>15903</v>
      </c>
      <c r="AT834" t="s">
        <v>14663</v>
      </c>
      <c r="AU834">
        <v>2013</v>
      </c>
      <c r="AV834">
        <v>67</v>
      </c>
      <c r="AW834">
        <v>3</v>
      </c>
      <c r="AX834" t="s">
        <v>74</v>
      </c>
      <c r="AY834" t="s">
        <v>74</v>
      </c>
      <c r="AZ834" t="s">
        <v>74</v>
      </c>
      <c r="BA834" t="s">
        <v>74</v>
      </c>
      <c r="BB834">
        <v>555</v>
      </c>
      <c r="BC834">
        <v>566</v>
      </c>
      <c r="BD834" t="s">
        <v>74</v>
      </c>
      <c r="BE834" t="s">
        <v>15920</v>
      </c>
      <c r="BF834" t="str">
        <f>HYPERLINK("http://dx.doi.org/10.1007/s10152-012-0343-y","http://dx.doi.org/10.1007/s10152-012-0343-y")</f>
        <v>http://dx.doi.org/10.1007/s10152-012-0343-y</v>
      </c>
      <c r="BG834" t="s">
        <v>74</v>
      </c>
      <c r="BH834" t="s">
        <v>74</v>
      </c>
      <c r="BI834">
        <v>12</v>
      </c>
      <c r="BJ834" t="s">
        <v>2266</v>
      </c>
      <c r="BK834" t="s">
        <v>99</v>
      </c>
      <c r="BL834" t="s">
        <v>2266</v>
      </c>
      <c r="BM834" t="s">
        <v>15905</v>
      </c>
      <c r="BN834" t="s">
        <v>74</v>
      </c>
      <c r="BO834" t="s">
        <v>475</v>
      </c>
      <c r="BP834" t="s">
        <v>74</v>
      </c>
      <c r="BQ834" t="s">
        <v>74</v>
      </c>
      <c r="BR834" t="s">
        <v>103</v>
      </c>
      <c r="BS834" t="s">
        <v>15921</v>
      </c>
      <c r="BT834" t="str">
        <f>HYPERLINK("https%3A%2F%2Fwww.webofscience.com%2Fwos%2Fwoscc%2Ffull-record%2FWOS:000323623800012","View Full Record in Web of Science")</f>
        <v>View Full Record in Web of Science</v>
      </c>
    </row>
    <row r="835" spans="1:72" x14ac:dyDescent="0.15">
      <c r="A835" t="s">
        <v>72</v>
      </c>
      <c r="B835" t="s">
        <v>15922</v>
      </c>
      <c r="C835" t="s">
        <v>74</v>
      </c>
      <c r="D835" t="s">
        <v>74</v>
      </c>
      <c r="E835" t="s">
        <v>74</v>
      </c>
      <c r="F835" t="s">
        <v>15923</v>
      </c>
      <c r="G835" t="s">
        <v>74</v>
      </c>
      <c r="H835" t="s">
        <v>74</v>
      </c>
      <c r="I835" t="s">
        <v>15924</v>
      </c>
      <c r="J835" t="s">
        <v>15925</v>
      </c>
      <c r="K835" t="s">
        <v>74</v>
      </c>
      <c r="L835" t="s">
        <v>74</v>
      </c>
      <c r="M835" t="s">
        <v>78</v>
      </c>
      <c r="N835" t="s">
        <v>79</v>
      </c>
      <c r="O835" t="s">
        <v>74</v>
      </c>
      <c r="P835" t="s">
        <v>74</v>
      </c>
      <c r="Q835" t="s">
        <v>74</v>
      </c>
      <c r="R835" t="s">
        <v>74</v>
      </c>
      <c r="S835" t="s">
        <v>74</v>
      </c>
      <c r="T835" t="s">
        <v>15926</v>
      </c>
      <c r="U835" t="s">
        <v>15927</v>
      </c>
      <c r="V835" t="s">
        <v>15928</v>
      </c>
      <c r="W835" t="s">
        <v>15929</v>
      </c>
      <c r="X835" t="s">
        <v>15930</v>
      </c>
      <c r="Y835" t="s">
        <v>15931</v>
      </c>
      <c r="Z835" t="s">
        <v>15932</v>
      </c>
      <c r="AA835" t="s">
        <v>74</v>
      </c>
      <c r="AB835" t="s">
        <v>74</v>
      </c>
      <c r="AC835" t="s">
        <v>15933</v>
      </c>
      <c r="AD835" t="s">
        <v>15934</v>
      </c>
      <c r="AE835" t="s">
        <v>15935</v>
      </c>
      <c r="AF835" t="s">
        <v>74</v>
      </c>
      <c r="AG835">
        <v>12</v>
      </c>
      <c r="AH835">
        <v>2</v>
      </c>
      <c r="AI835">
        <v>2</v>
      </c>
      <c r="AJ835">
        <v>0</v>
      </c>
      <c r="AK835">
        <v>8</v>
      </c>
      <c r="AL835" t="s">
        <v>1748</v>
      </c>
      <c r="AM835" t="s">
        <v>921</v>
      </c>
      <c r="AN835" t="s">
        <v>3232</v>
      </c>
      <c r="AO835" t="s">
        <v>15936</v>
      </c>
      <c r="AP835" t="s">
        <v>15937</v>
      </c>
      <c r="AQ835" t="s">
        <v>74</v>
      </c>
      <c r="AR835" t="s">
        <v>15938</v>
      </c>
      <c r="AS835" t="s">
        <v>15939</v>
      </c>
      <c r="AT835" t="s">
        <v>14663</v>
      </c>
      <c r="AU835">
        <v>2013</v>
      </c>
      <c r="AV835">
        <v>93</v>
      </c>
      <c r="AW835">
        <v>6</v>
      </c>
      <c r="AX835" t="s">
        <v>74</v>
      </c>
      <c r="AY835" t="s">
        <v>74</v>
      </c>
      <c r="AZ835" t="s">
        <v>74</v>
      </c>
      <c r="BA835" t="s">
        <v>74</v>
      </c>
      <c r="BB835">
        <v>1567</v>
      </c>
      <c r="BC835">
        <v>1577</v>
      </c>
      <c r="BD835" t="s">
        <v>74</v>
      </c>
      <c r="BE835" t="s">
        <v>15940</v>
      </c>
      <c r="BF835" t="str">
        <f>HYPERLINK("http://dx.doi.org/10.1017/S0025315412002007","http://dx.doi.org/10.1017/S0025315412002007")</f>
        <v>http://dx.doi.org/10.1017/S0025315412002007</v>
      </c>
      <c r="BG835" t="s">
        <v>74</v>
      </c>
      <c r="BH835" t="s">
        <v>74</v>
      </c>
      <c r="BI835">
        <v>11</v>
      </c>
      <c r="BJ835" t="s">
        <v>285</v>
      </c>
      <c r="BK835" t="s">
        <v>99</v>
      </c>
      <c r="BL835" t="s">
        <v>285</v>
      </c>
      <c r="BM835" t="s">
        <v>15941</v>
      </c>
      <c r="BN835" t="s">
        <v>74</v>
      </c>
      <c r="BO835" t="s">
        <v>74</v>
      </c>
      <c r="BP835" t="s">
        <v>74</v>
      </c>
      <c r="BQ835" t="s">
        <v>74</v>
      </c>
      <c r="BR835" t="s">
        <v>103</v>
      </c>
      <c r="BS835" t="s">
        <v>15942</v>
      </c>
      <c r="BT835" t="str">
        <f>HYPERLINK("https%3A%2F%2Fwww.webofscience.com%2Fwos%2Fwoscc%2Ffull-record%2FWOS:000322960700013","View Full Record in Web of Science")</f>
        <v>View Full Record in Web of Science</v>
      </c>
    </row>
    <row r="836" spans="1:72" x14ac:dyDescent="0.15">
      <c r="A836" t="s">
        <v>72</v>
      </c>
      <c r="B836" t="s">
        <v>9556</v>
      </c>
      <c r="C836" t="s">
        <v>74</v>
      </c>
      <c r="D836" t="s">
        <v>74</v>
      </c>
      <c r="E836" t="s">
        <v>74</v>
      </c>
      <c r="F836" t="s">
        <v>9557</v>
      </c>
      <c r="G836" t="s">
        <v>74</v>
      </c>
      <c r="H836" t="s">
        <v>74</v>
      </c>
      <c r="I836" t="s">
        <v>15943</v>
      </c>
      <c r="J836" t="s">
        <v>9559</v>
      </c>
      <c r="K836" t="s">
        <v>74</v>
      </c>
      <c r="L836" t="s">
        <v>74</v>
      </c>
      <c r="M836" t="s">
        <v>78</v>
      </c>
      <c r="N836" t="s">
        <v>79</v>
      </c>
      <c r="O836" t="s">
        <v>74</v>
      </c>
      <c r="P836" t="s">
        <v>74</v>
      </c>
      <c r="Q836" t="s">
        <v>74</v>
      </c>
      <c r="R836" t="s">
        <v>74</v>
      </c>
      <c r="S836" t="s">
        <v>74</v>
      </c>
      <c r="T836" t="s">
        <v>15944</v>
      </c>
      <c r="U836" t="s">
        <v>15945</v>
      </c>
      <c r="V836" t="s">
        <v>15946</v>
      </c>
      <c r="W836" t="s">
        <v>9563</v>
      </c>
      <c r="X836" t="s">
        <v>9564</v>
      </c>
      <c r="Y836" t="s">
        <v>9565</v>
      </c>
      <c r="Z836" t="s">
        <v>9566</v>
      </c>
      <c r="AA836" t="s">
        <v>74</v>
      </c>
      <c r="AB836" t="s">
        <v>74</v>
      </c>
      <c r="AC836" t="s">
        <v>15947</v>
      </c>
      <c r="AD836" t="s">
        <v>15948</v>
      </c>
      <c r="AE836" t="s">
        <v>15949</v>
      </c>
      <c r="AF836" t="s">
        <v>74</v>
      </c>
      <c r="AG836">
        <v>55</v>
      </c>
      <c r="AH836">
        <v>7</v>
      </c>
      <c r="AI836">
        <v>7</v>
      </c>
      <c r="AJ836">
        <v>1</v>
      </c>
      <c r="AK836">
        <v>4</v>
      </c>
      <c r="AL836" t="s">
        <v>3992</v>
      </c>
      <c r="AM836" t="s">
        <v>252</v>
      </c>
      <c r="AN836" t="s">
        <v>3993</v>
      </c>
      <c r="AO836" t="s">
        <v>9570</v>
      </c>
      <c r="AP836" t="s">
        <v>9571</v>
      </c>
      <c r="AQ836" t="s">
        <v>74</v>
      </c>
      <c r="AR836" t="s">
        <v>9572</v>
      </c>
      <c r="AS836" t="s">
        <v>9573</v>
      </c>
      <c r="AT836" t="s">
        <v>14663</v>
      </c>
      <c r="AU836">
        <v>2013</v>
      </c>
      <c r="AV836">
        <v>434</v>
      </c>
      <c r="AW836">
        <v>3</v>
      </c>
      <c r="AX836" t="s">
        <v>74</v>
      </c>
      <c r="AY836" t="s">
        <v>74</v>
      </c>
      <c r="AZ836" t="s">
        <v>74</v>
      </c>
      <c r="BA836" t="s">
        <v>74</v>
      </c>
      <c r="BB836">
        <v>2664</v>
      </c>
      <c r="BC836">
        <v>2678</v>
      </c>
      <c r="BD836" t="s">
        <v>74</v>
      </c>
      <c r="BE836" t="s">
        <v>15950</v>
      </c>
      <c r="BF836" t="str">
        <f>HYPERLINK("http://dx.doi.org/10.1093/mnras/stt1211","http://dx.doi.org/10.1093/mnras/stt1211")</f>
        <v>http://dx.doi.org/10.1093/mnras/stt1211</v>
      </c>
      <c r="BG836" t="s">
        <v>74</v>
      </c>
      <c r="BH836" t="s">
        <v>74</v>
      </c>
      <c r="BI836">
        <v>15</v>
      </c>
      <c r="BJ836" t="s">
        <v>1705</v>
      </c>
      <c r="BK836" t="s">
        <v>99</v>
      </c>
      <c r="BL836" t="s">
        <v>1705</v>
      </c>
      <c r="BM836" t="s">
        <v>15951</v>
      </c>
      <c r="BN836" t="s">
        <v>74</v>
      </c>
      <c r="BO836" t="s">
        <v>1145</v>
      </c>
      <c r="BP836" t="s">
        <v>74</v>
      </c>
      <c r="BQ836" t="s">
        <v>74</v>
      </c>
      <c r="BR836" t="s">
        <v>103</v>
      </c>
      <c r="BS836" t="s">
        <v>15952</v>
      </c>
      <c r="BT836" t="str">
        <f>HYPERLINK("https%3A%2F%2Fwww.webofscience.com%2Fwos%2Fwoscc%2Ffull-record%2FWOS:000323639900067","View Full Record in Web of Science")</f>
        <v>View Full Record in Web of Science</v>
      </c>
    </row>
    <row r="837" spans="1:72" x14ac:dyDescent="0.15">
      <c r="A837" t="s">
        <v>72</v>
      </c>
      <c r="B837" t="s">
        <v>15953</v>
      </c>
      <c r="C837" t="s">
        <v>74</v>
      </c>
      <c r="D837" t="s">
        <v>74</v>
      </c>
      <c r="E837" t="s">
        <v>74</v>
      </c>
      <c r="F837" t="s">
        <v>15954</v>
      </c>
      <c r="G837" t="s">
        <v>74</v>
      </c>
      <c r="H837" t="s">
        <v>74</v>
      </c>
      <c r="I837" t="s">
        <v>15955</v>
      </c>
      <c r="J837" t="s">
        <v>4934</v>
      </c>
      <c r="K837" t="s">
        <v>74</v>
      </c>
      <c r="L837" t="s">
        <v>74</v>
      </c>
      <c r="M837" t="s">
        <v>78</v>
      </c>
      <c r="N837" t="s">
        <v>79</v>
      </c>
      <c r="O837" t="s">
        <v>74</v>
      </c>
      <c r="P837" t="s">
        <v>74</v>
      </c>
      <c r="Q837" t="s">
        <v>74</v>
      </c>
      <c r="R837" t="s">
        <v>74</v>
      </c>
      <c r="S837" t="s">
        <v>74</v>
      </c>
      <c r="T837" t="s">
        <v>74</v>
      </c>
      <c r="U837" t="s">
        <v>15956</v>
      </c>
      <c r="V837" t="s">
        <v>15957</v>
      </c>
      <c r="W837" t="s">
        <v>15958</v>
      </c>
      <c r="X837" t="s">
        <v>15959</v>
      </c>
      <c r="Y837" t="s">
        <v>15960</v>
      </c>
      <c r="Z837" t="s">
        <v>15961</v>
      </c>
      <c r="AA837" t="s">
        <v>74</v>
      </c>
      <c r="AB837" t="s">
        <v>15962</v>
      </c>
      <c r="AC837" t="s">
        <v>15963</v>
      </c>
      <c r="AD837" t="s">
        <v>15964</v>
      </c>
      <c r="AE837" t="s">
        <v>15965</v>
      </c>
      <c r="AF837" t="s">
        <v>74</v>
      </c>
      <c r="AG837">
        <v>79</v>
      </c>
      <c r="AH837">
        <v>15</v>
      </c>
      <c r="AI837">
        <v>18</v>
      </c>
      <c r="AJ837">
        <v>0</v>
      </c>
      <c r="AK837">
        <v>59</v>
      </c>
      <c r="AL837" t="s">
        <v>4945</v>
      </c>
      <c r="AM837" t="s">
        <v>4946</v>
      </c>
      <c r="AN837" t="s">
        <v>4947</v>
      </c>
      <c r="AO837" t="s">
        <v>4948</v>
      </c>
      <c r="AP837" t="s">
        <v>74</v>
      </c>
      <c r="AQ837" t="s">
        <v>74</v>
      </c>
      <c r="AR837" t="s">
        <v>4934</v>
      </c>
      <c r="AS837" t="s">
        <v>1613</v>
      </c>
      <c r="AT837" t="s">
        <v>14663</v>
      </c>
      <c r="AU837">
        <v>2013</v>
      </c>
      <c r="AV837">
        <v>26</v>
      </c>
      <c r="AW837">
        <v>3</v>
      </c>
      <c r="AX837" t="s">
        <v>74</v>
      </c>
      <c r="AY837" t="s">
        <v>74</v>
      </c>
      <c r="AZ837" t="s">
        <v>283</v>
      </c>
      <c r="BA837" t="s">
        <v>74</v>
      </c>
      <c r="BB837">
        <v>140</v>
      </c>
      <c r="BC837">
        <v>148</v>
      </c>
      <c r="BD837" t="s">
        <v>74</v>
      </c>
      <c r="BE837" t="s">
        <v>15966</v>
      </c>
      <c r="BF837" t="str">
        <f>HYPERLINK("http://dx.doi.org/10.5670/oceanog.2013.56","http://dx.doi.org/10.5670/oceanog.2013.56")</f>
        <v>http://dx.doi.org/10.5670/oceanog.2013.56</v>
      </c>
      <c r="BG837" t="s">
        <v>74</v>
      </c>
      <c r="BH837" t="s">
        <v>74</v>
      </c>
      <c r="BI837">
        <v>9</v>
      </c>
      <c r="BJ837" t="s">
        <v>1613</v>
      </c>
      <c r="BK837" t="s">
        <v>99</v>
      </c>
      <c r="BL837" t="s">
        <v>1613</v>
      </c>
      <c r="BM837" t="s">
        <v>15967</v>
      </c>
      <c r="BN837" t="s">
        <v>74</v>
      </c>
      <c r="BO837" t="s">
        <v>657</v>
      </c>
      <c r="BP837" t="s">
        <v>74</v>
      </c>
      <c r="BQ837" t="s">
        <v>74</v>
      </c>
      <c r="BR837" t="s">
        <v>103</v>
      </c>
      <c r="BS837" t="s">
        <v>15968</v>
      </c>
      <c r="BT837" t="str">
        <f>HYPERLINK("https%3A%2F%2Fwww.webofscience.com%2Fwos%2Fwoscc%2Ffull-record%2FWOS:000323808600020","View Full Record in Web of Science")</f>
        <v>View Full Record in Web of Science</v>
      </c>
    </row>
    <row r="838" spans="1:72" x14ac:dyDescent="0.15">
      <c r="A838" t="s">
        <v>72</v>
      </c>
      <c r="B838" t="s">
        <v>15969</v>
      </c>
      <c r="C838" t="s">
        <v>74</v>
      </c>
      <c r="D838" t="s">
        <v>74</v>
      </c>
      <c r="E838" t="s">
        <v>74</v>
      </c>
      <c r="F838" t="s">
        <v>15970</v>
      </c>
      <c r="G838" t="s">
        <v>74</v>
      </c>
      <c r="H838" t="s">
        <v>74</v>
      </c>
      <c r="I838" t="s">
        <v>15971</v>
      </c>
      <c r="J838" t="s">
        <v>3167</v>
      </c>
      <c r="K838" t="s">
        <v>74</v>
      </c>
      <c r="L838" t="s">
        <v>74</v>
      </c>
      <c r="M838" t="s">
        <v>78</v>
      </c>
      <c r="N838" t="s">
        <v>79</v>
      </c>
      <c r="O838" t="s">
        <v>74</v>
      </c>
      <c r="P838" t="s">
        <v>74</v>
      </c>
      <c r="Q838" t="s">
        <v>74</v>
      </c>
      <c r="R838" t="s">
        <v>74</v>
      </c>
      <c r="S838" t="s">
        <v>74</v>
      </c>
      <c r="T838" t="s">
        <v>15972</v>
      </c>
      <c r="U838" t="s">
        <v>15973</v>
      </c>
      <c r="V838" t="s">
        <v>15974</v>
      </c>
      <c r="W838" t="s">
        <v>15975</v>
      </c>
      <c r="X838" t="s">
        <v>15976</v>
      </c>
      <c r="Y838" t="s">
        <v>15977</v>
      </c>
      <c r="Z838" t="s">
        <v>15978</v>
      </c>
      <c r="AA838" t="s">
        <v>15979</v>
      </c>
      <c r="AB838" t="s">
        <v>15980</v>
      </c>
      <c r="AC838" t="s">
        <v>15981</v>
      </c>
      <c r="AD838" t="s">
        <v>1564</v>
      </c>
      <c r="AE838" t="s">
        <v>15982</v>
      </c>
      <c r="AF838" t="s">
        <v>74</v>
      </c>
      <c r="AG838">
        <v>51</v>
      </c>
      <c r="AH838">
        <v>8</v>
      </c>
      <c r="AI838">
        <v>9</v>
      </c>
      <c r="AJ838">
        <v>1</v>
      </c>
      <c r="AK838">
        <v>22</v>
      </c>
      <c r="AL838" t="s">
        <v>1067</v>
      </c>
      <c r="AM838" t="s">
        <v>921</v>
      </c>
      <c r="AN838" t="s">
        <v>2690</v>
      </c>
      <c r="AO838" t="s">
        <v>3178</v>
      </c>
      <c r="AP838" t="s">
        <v>3179</v>
      </c>
      <c r="AQ838" t="s">
        <v>74</v>
      </c>
      <c r="AR838" t="s">
        <v>3180</v>
      </c>
      <c r="AS838" t="s">
        <v>3181</v>
      </c>
      <c r="AT838" t="s">
        <v>14663</v>
      </c>
      <c r="AU838">
        <v>2013</v>
      </c>
      <c r="AV838">
        <v>36</v>
      </c>
      <c r="AW838">
        <v>9</v>
      </c>
      <c r="AX838" t="s">
        <v>74</v>
      </c>
      <c r="AY838" t="s">
        <v>74</v>
      </c>
      <c r="AZ838" t="s">
        <v>74</v>
      </c>
      <c r="BA838" t="s">
        <v>74</v>
      </c>
      <c r="BB838">
        <v>1257</v>
      </c>
      <c r="BC838">
        <v>1267</v>
      </c>
      <c r="BD838" t="s">
        <v>74</v>
      </c>
      <c r="BE838" t="s">
        <v>15983</v>
      </c>
      <c r="BF838" t="str">
        <f>HYPERLINK("http://dx.doi.org/10.1007/s00300-013-1345-1","http://dx.doi.org/10.1007/s00300-013-1345-1")</f>
        <v>http://dx.doi.org/10.1007/s00300-013-1345-1</v>
      </c>
      <c r="BG838" t="s">
        <v>74</v>
      </c>
      <c r="BH838" t="s">
        <v>74</v>
      </c>
      <c r="BI838">
        <v>11</v>
      </c>
      <c r="BJ838" t="s">
        <v>3183</v>
      </c>
      <c r="BK838" t="s">
        <v>99</v>
      </c>
      <c r="BL838" t="s">
        <v>1050</v>
      </c>
      <c r="BM838" t="s">
        <v>15984</v>
      </c>
      <c r="BN838" t="s">
        <v>74</v>
      </c>
      <c r="BO838" t="s">
        <v>74</v>
      </c>
      <c r="BP838" t="s">
        <v>74</v>
      </c>
      <c r="BQ838" t="s">
        <v>74</v>
      </c>
      <c r="BR838" t="s">
        <v>103</v>
      </c>
      <c r="BS838" t="s">
        <v>15985</v>
      </c>
      <c r="BT838" t="str">
        <f>HYPERLINK("https%3A%2F%2Fwww.webofscience.com%2Fwos%2Fwoscc%2Ffull-record%2FWOS:000322879600003","View Full Record in Web of Science")</f>
        <v>View Full Record in Web of Science</v>
      </c>
    </row>
    <row r="839" spans="1:72" x14ac:dyDescent="0.15">
      <c r="A839" t="s">
        <v>72</v>
      </c>
      <c r="B839" t="s">
        <v>15986</v>
      </c>
      <c r="C839" t="s">
        <v>74</v>
      </c>
      <c r="D839" t="s">
        <v>74</v>
      </c>
      <c r="E839" t="s">
        <v>74</v>
      </c>
      <c r="F839" t="s">
        <v>15987</v>
      </c>
      <c r="G839" t="s">
        <v>74</v>
      </c>
      <c r="H839" t="s">
        <v>74</v>
      </c>
      <c r="I839" t="s">
        <v>15988</v>
      </c>
      <c r="J839" t="s">
        <v>3167</v>
      </c>
      <c r="K839" t="s">
        <v>74</v>
      </c>
      <c r="L839" t="s">
        <v>74</v>
      </c>
      <c r="M839" t="s">
        <v>78</v>
      </c>
      <c r="N839" t="s">
        <v>213</v>
      </c>
      <c r="O839" t="s">
        <v>74</v>
      </c>
      <c r="P839" t="s">
        <v>74</v>
      </c>
      <c r="Q839" t="s">
        <v>74</v>
      </c>
      <c r="R839" t="s">
        <v>74</v>
      </c>
      <c r="S839" t="s">
        <v>74</v>
      </c>
      <c r="T839" t="s">
        <v>15989</v>
      </c>
      <c r="U839" t="s">
        <v>15990</v>
      </c>
      <c r="V839" t="s">
        <v>15991</v>
      </c>
      <c r="W839" t="s">
        <v>15992</v>
      </c>
      <c r="X839" t="s">
        <v>15993</v>
      </c>
      <c r="Y839" t="s">
        <v>15994</v>
      </c>
      <c r="Z839" t="s">
        <v>15995</v>
      </c>
      <c r="AA839" t="s">
        <v>15996</v>
      </c>
      <c r="AB839" t="s">
        <v>15997</v>
      </c>
      <c r="AC839" t="s">
        <v>15998</v>
      </c>
      <c r="AD839" t="s">
        <v>15999</v>
      </c>
      <c r="AE839" t="s">
        <v>16000</v>
      </c>
      <c r="AF839" t="s">
        <v>74</v>
      </c>
      <c r="AG839">
        <v>28</v>
      </c>
      <c r="AH839">
        <v>17</v>
      </c>
      <c r="AI839">
        <v>20</v>
      </c>
      <c r="AJ839">
        <v>0</v>
      </c>
      <c r="AK839">
        <v>33</v>
      </c>
      <c r="AL839" t="s">
        <v>1067</v>
      </c>
      <c r="AM839" t="s">
        <v>921</v>
      </c>
      <c r="AN839" t="s">
        <v>2690</v>
      </c>
      <c r="AO839" t="s">
        <v>3178</v>
      </c>
      <c r="AP839" t="s">
        <v>3179</v>
      </c>
      <c r="AQ839" t="s">
        <v>74</v>
      </c>
      <c r="AR839" t="s">
        <v>3180</v>
      </c>
      <c r="AS839" t="s">
        <v>3181</v>
      </c>
      <c r="AT839" t="s">
        <v>14663</v>
      </c>
      <c r="AU839">
        <v>2013</v>
      </c>
      <c r="AV839">
        <v>36</v>
      </c>
      <c r="AW839">
        <v>9</v>
      </c>
      <c r="AX839" t="s">
        <v>74</v>
      </c>
      <c r="AY839" t="s">
        <v>74</v>
      </c>
      <c r="AZ839" t="s">
        <v>74</v>
      </c>
      <c r="BA839" t="s">
        <v>74</v>
      </c>
      <c r="BB839">
        <v>1281</v>
      </c>
      <c r="BC839">
        <v>1291</v>
      </c>
      <c r="BD839" t="s">
        <v>74</v>
      </c>
      <c r="BE839" t="s">
        <v>16001</v>
      </c>
      <c r="BF839" t="str">
        <f>HYPERLINK("http://dx.doi.org/10.1007/s00300-013-1347-z","http://dx.doi.org/10.1007/s00300-013-1347-z")</f>
        <v>http://dx.doi.org/10.1007/s00300-013-1347-z</v>
      </c>
      <c r="BG839" t="s">
        <v>74</v>
      </c>
      <c r="BH839" t="s">
        <v>74</v>
      </c>
      <c r="BI839">
        <v>11</v>
      </c>
      <c r="BJ839" t="s">
        <v>3183</v>
      </c>
      <c r="BK839" t="s">
        <v>99</v>
      </c>
      <c r="BL839" t="s">
        <v>1050</v>
      </c>
      <c r="BM839" t="s">
        <v>15984</v>
      </c>
      <c r="BN839" t="s">
        <v>74</v>
      </c>
      <c r="BO839" t="s">
        <v>74</v>
      </c>
      <c r="BP839" t="s">
        <v>74</v>
      </c>
      <c r="BQ839" t="s">
        <v>74</v>
      </c>
      <c r="BR839" t="s">
        <v>103</v>
      </c>
      <c r="BS839" t="s">
        <v>16002</v>
      </c>
      <c r="BT839" t="str">
        <f>HYPERLINK("https%3A%2F%2Fwww.webofscience.com%2Fwos%2Fwoscc%2Ffull-record%2FWOS:000322879600005","View Full Record in Web of Science")</f>
        <v>View Full Record in Web of Science</v>
      </c>
    </row>
    <row r="840" spans="1:72" x14ac:dyDescent="0.15">
      <c r="A840" t="s">
        <v>72</v>
      </c>
      <c r="B840" t="s">
        <v>16003</v>
      </c>
      <c r="C840" t="s">
        <v>74</v>
      </c>
      <c r="D840" t="s">
        <v>74</v>
      </c>
      <c r="E840" t="s">
        <v>74</v>
      </c>
      <c r="F840" t="s">
        <v>16004</v>
      </c>
      <c r="G840" t="s">
        <v>74</v>
      </c>
      <c r="H840" t="s">
        <v>74</v>
      </c>
      <c r="I840" t="s">
        <v>16005</v>
      </c>
      <c r="J840" t="s">
        <v>3167</v>
      </c>
      <c r="K840" t="s">
        <v>74</v>
      </c>
      <c r="L840" t="s">
        <v>74</v>
      </c>
      <c r="M840" t="s">
        <v>78</v>
      </c>
      <c r="N840" t="s">
        <v>79</v>
      </c>
      <c r="O840" t="s">
        <v>74</v>
      </c>
      <c r="P840" t="s">
        <v>74</v>
      </c>
      <c r="Q840" t="s">
        <v>74</v>
      </c>
      <c r="R840" t="s">
        <v>74</v>
      </c>
      <c r="S840" t="s">
        <v>74</v>
      </c>
      <c r="T840" t="s">
        <v>16006</v>
      </c>
      <c r="U840" t="s">
        <v>16007</v>
      </c>
      <c r="V840" t="s">
        <v>16008</v>
      </c>
      <c r="W840" t="s">
        <v>16009</v>
      </c>
      <c r="X840" t="s">
        <v>16010</v>
      </c>
      <c r="Y840" t="s">
        <v>16011</v>
      </c>
      <c r="Z840" t="s">
        <v>16012</v>
      </c>
      <c r="AA840" t="s">
        <v>74</v>
      </c>
      <c r="AB840" t="s">
        <v>16013</v>
      </c>
      <c r="AC840" t="s">
        <v>16014</v>
      </c>
      <c r="AD840" t="s">
        <v>16015</v>
      </c>
      <c r="AE840" t="s">
        <v>16016</v>
      </c>
      <c r="AF840" t="s">
        <v>74</v>
      </c>
      <c r="AG840">
        <v>74</v>
      </c>
      <c r="AH840">
        <v>28</v>
      </c>
      <c r="AI840">
        <v>31</v>
      </c>
      <c r="AJ840">
        <v>0</v>
      </c>
      <c r="AK840">
        <v>68</v>
      </c>
      <c r="AL840" t="s">
        <v>1067</v>
      </c>
      <c r="AM840" t="s">
        <v>921</v>
      </c>
      <c r="AN840" t="s">
        <v>2690</v>
      </c>
      <c r="AO840" t="s">
        <v>3178</v>
      </c>
      <c r="AP840" t="s">
        <v>74</v>
      </c>
      <c r="AQ840" t="s">
        <v>74</v>
      </c>
      <c r="AR840" t="s">
        <v>3180</v>
      </c>
      <c r="AS840" t="s">
        <v>3181</v>
      </c>
      <c r="AT840" t="s">
        <v>14663</v>
      </c>
      <c r="AU840">
        <v>2013</v>
      </c>
      <c r="AV840">
        <v>36</v>
      </c>
      <c r="AW840">
        <v>9</v>
      </c>
      <c r="AX840" t="s">
        <v>74</v>
      </c>
      <c r="AY840" t="s">
        <v>74</v>
      </c>
      <c r="AZ840" t="s">
        <v>74</v>
      </c>
      <c r="BA840" t="s">
        <v>74</v>
      </c>
      <c r="BB840">
        <v>1319</v>
      </c>
      <c r="BC840">
        <v>1332</v>
      </c>
      <c r="BD840" t="s">
        <v>74</v>
      </c>
      <c r="BE840" t="s">
        <v>16017</v>
      </c>
      <c r="BF840" t="str">
        <f>HYPERLINK("http://dx.doi.org/10.1007/s00300-013-1351-3","http://dx.doi.org/10.1007/s00300-013-1351-3")</f>
        <v>http://dx.doi.org/10.1007/s00300-013-1351-3</v>
      </c>
      <c r="BG840" t="s">
        <v>74</v>
      </c>
      <c r="BH840" t="s">
        <v>74</v>
      </c>
      <c r="BI840">
        <v>14</v>
      </c>
      <c r="BJ840" t="s">
        <v>3183</v>
      </c>
      <c r="BK840" t="s">
        <v>99</v>
      </c>
      <c r="BL840" t="s">
        <v>1050</v>
      </c>
      <c r="BM840" t="s">
        <v>15984</v>
      </c>
      <c r="BN840" t="s">
        <v>74</v>
      </c>
      <c r="BO840" t="s">
        <v>74</v>
      </c>
      <c r="BP840" t="s">
        <v>74</v>
      </c>
      <c r="BQ840" t="s">
        <v>74</v>
      </c>
      <c r="BR840" t="s">
        <v>103</v>
      </c>
      <c r="BS840" t="s">
        <v>16018</v>
      </c>
      <c r="BT840" t="str">
        <f>HYPERLINK("https%3A%2F%2Fwww.webofscience.com%2Fwos%2Fwoscc%2Ffull-record%2FWOS:000322879600008","View Full Record in Web of Science")</f>
        <v>View Full Record in Web of Science</v>
      </c>
    </row>
    <row r="841" spans="1:72" x14ac:dyDescent="0.15">
      <c r="A841" t="s">
        <v>72</v>
      </c>
      <c r="B841" t="s">
        <v>16019</v>
      </c>
      <c r="C841" t="s">
        <v>74</v>
      </c>
      <c r="D841" t="s">
        <v>74</v>
      </c>
      <c r="E841" t="s">
        <v>74</v>
      </c>
      <c r="F841" t="s">
        <v>16020</v>
      </c>
      <c r="G841" t="s">
        <v>74</v>
      </c>
      <c r="H841" t="s">
        <v>74</v>
      </c>
      <c r="I841" t="s">
        <v>16021</v>
      </c>
      <c r="J841" t="s">
        <v>3167</v>
      </c>
      <c r="K841" t="s">
        <v>74</v>
      </c>
      <c r="L841" t="s">
        <v>74</v>
      </c>
      <c r="M841" t="s">
        <v>78</v>
      </c>
      <c r="N841" t="s">
        <v>79</v>
      </c>
      <c r="O841" t="s">
        <v>74</v>
      </c>
      <c r="P841" t="s">
        <v>74</v>
      </c>
      <c r="Q841" t="s">
        <v>74</v>
      </c>
      <c r="R841" t="s">
        <v>74</v>
      </c>
      <c r="S841" t="s">
        <v>74</v>
      </c>
      <c r="T841" t="s">
        <v>16022</v>
      </c>
      <c r="U841" t="s">
        <v>16023</v>
      </c>
      <c r="V841" t="s">
        <v>16024</v>
      </c>
      <c r="W841" t="s">
        <v>16025</v>
      </c>
      <c r="X841" t="s">
        <v>5663</v>
      </c>
      <c r="Y841" t="s">
        <v>5664</v>
      </c>
      <c r="Z841" t="s">
        <v>16026</v>
      </c>
      <c r="AA841" t="s">
        <v>16027</v>
      </c>
      <c r="AB841" t="s">
        <v>16028</v>
      </c>
      <c r="AC841" t="s">
        <v>16029</v>
      </c>
      <c r="AD841" t="s">
        <v>16030</v>
      </c>
      <c r="AE841" t="s">
        <v>16031</v>
      </c>
      <c r="AF841" t="s">
        <v>74</v>
      </c>
      <c r="AG841">
        <v>67</v>
      </c>
      <c r="AH841">
        <v>21</v>
      </c>
      <c r="AI841">
        <v>25</v>
      </c>
      <c r="AJ841">
        <v>3</v>
      </c>
      <c r="AK841">
        <v>84</v>
      </c>
      <c r="AL841" t="s">
        <v>1067</v>
      </c>
      <c r="AM841" t="s">
        <v>921</v>
      </c>
      <c r="AN841" t="s">
        <v>2690</v>
      </c>
      <c r="AO841" t="s">
        <v>3178</v>
      </c>
      <c r="AP841" t="s">
        <v>74</v>
      </c>
      <c r="AQ841" t="s">
        <v>74</v>
      </c>
      <c r="AR841" t="s">
        <v>3180</v>
      </c>
      <c r="AS841" t="s">
        <v>3181</v>
      </c>
      <c r="AT841" t="s">
        <v>14663</v>
      </c>
      <c r="AU841">
        <v>2013</v>
      </c>
      <c r="AV841">
        <v>36</v>
      </c>
      <c r="AW841">
        <v>9</v>
      </c>
      <c r="AX841" t="s">
        <v>74</v>
      </c>
      <c r="AY841" t="s">
        <v>74</v>
      </c>
      <c r="AZ841" t="s">
        <v>74</v>
      </c>
      <c r="BA841" t="s">
        <v>74</v>
      </c>
      <c r="BB841">
        <v>1347</v>
      </c>
      <c r="BC841">
        <v>1361</v>
      </c>
      <c r="BD841" t="s">
        <v>74</v>
      </c>
      <c r="BE841" t="s">
        <v>16032</v>
      </c>
      <c r="BF841" t="str">
        <f>HYPERLINK("http://dx.doi.org/10.1007/s00300-013-1355-z","http://dx.doi.org/10.1007/s00300-013-1355-z")</f>
        <v>http://dx.doi.org/10.1007/s00300-013-1355-z</v>
      </c>
      <c r="BG841" t="s">
        <v>74</v>
      </c>
      <c r="BH841" t="s">
        <v>74</v>
      </c>
      <c r="BI841">
        <v>15</v>
      </c>
      <c r="BJ841" t="s">
        <v>3183</v>
      </c>
      <c r="BK841" t="s">
        <v>99</v>
      </c>
      <c r="BL841" t="s">
        <v>1050</v>
      </c>
      <c r="BM841" t="s">
        <v>15984</v>
      </c>
      <c r="BN841" t="s">
        <v>74</v>
      </c>
      <c r="BO841" t="s">
        <v>74</v>
      </c>
      <c r="BP841" t="s">
        <v>74</v>
      </c>
      <c r="BQ841" t="s">
        <v>74</v>
      </c>
      <c r="BR841" t="s">
        <v>103</v>
      </c>
      <c r="BS841" t="s">
        <v>16033</v>
      </c>
      <c r="BT841" t="str">
        <f>HYPERLINK("https%3A%2F%2Fwww.webofscience.com%2Fwos%2Fwoscc%2Ffull-record%2FWOS:000322879600010","View Full Record in Web of Science")</f>
        <v>View Full Record in Web of Science</v>
      </c>
    </row>
    <row r="842" spans="1:72" x14ac:dyDescent="0.15">
      <c r="A842" t="s">
        <v>72</v>
      </c>
      <c r="B842" t="s">
        <v>16034</v>
      </c>
      <c r="C842" t="s">
        <v>74</v>
      </c>
      <c r="D842" t="s">
        <v>74</v>
      </c>
      <c r="E842" t="s">
        <v>74</v>
      </c>
      <c r="F842" t="s">
        <v>16035</v>
      </c>
      <c r="G842" t="s">
        <v>74</v>
      </c>
      <c r="H842" t="s">
        <v>74</v>
      </c>
      <c r="I842" t="s">
        <v>16036</v>
      </c>
      <c r="J842" t="s">
        <v>16037</v>
      </c>
      <c r="K842" t="s">
        <v>74</v>
      </c>
      <c r="L842" t="s">
        <v>74</v>
      </c>
      <c r="M842" t="s">
        <v>78</v>
      </c>
      <c r="N842" t="s">
        <v>79</v>
      </c>
      <c r="O842" t="s">
        <v>74</v>
      </c>
      <c r="P842" t="s">
        <v>74</v>
      </c>
      <c r="Q842" t="s">
        <v>74</v>
      </c>
      <c r="R842" t="s">
        <v>74</v>
      </c>
      <c r="S842" t="s">
        <v>74</v>
      </c>
      <c r="T842" t="s">
        <v>74</v>
      </c>
      <c r="U842" t="s">
        <v>16038</v>
      </c>
      <c r="V842" t="s">
        <v>16039</v>
      </c>
      <c r="W842" t="s">
        <v>16040</v>
      </c>
      <c r="X842" t="s">
        <v>16041</v>
      </c>
      <c r="Y842" t="s">
        <v>16042</v>
      </c>
      <c r="Z842" t="s">
        <v>16043</v>
      </c>
      <c r="AA842" t="s">
        <v>16044</v>
      </c>
      <c r="AB842" t="s">
        <v>16045</v>
      </c>
      <c r="AC842" t="s">
        <v>16046</v>
      </c>
      <c r="AD842" t="s">
        <v>16047</v>
      </c>
      <c r="AE842" t="s">
        <v>16048</v>
      </c>
      <c r="AF842" t="s">
        <v>74</v>
      </c>
      <c r="AG842">
        <v>30</v>
      </c>
      <c r="AH842">
        <v>4</v>
      </c>
      <c r="AI842">
        <v>6</v>
      </c>
      <c r="AJ842">
        <v>1</v>
      </c>
      <c r="AK842">
        <v>22</v>
      </c>
      <c r="AL842" t="s">
        <v>16049</v>
      </c>
      <c r="AM842" t="s">
        <v>16050</v>
      </c>
      <c r="AN842" t="s">
        <v>16051</v>
      </c>
      <c r="AO842" t="s">
        <v>74</v>
      </c>
      <c r="AP842" t="s">
        <v>16052</v>
      </c>
      <c r="AQ842" t="s">
        <v>74</v>
      </c>
      <c r="AR842" t="s">
        <v>16053</v>
      </c>
      <c r="AS842" t="s">
        <v>16054</v>
      </c>
      <c r="AT842" t="s">
        <v>14663</v>
      </c>
      <c r="AU842">
        <v>2013</v>
      </c>
      <c r="AV842">
        <v>69</v>
      </c>
      <c r="AW842" t="s">
        <v>74</v>
      </c>
      <c r="AX842">
        <v>9</v>
      </c>
      <c r="AY842" t="s">
        <v>74</v>
      </c>
      <c r="AZ842" t="s">
        <v>74</v>
      </c>
      <c r="BA842" t="s">
        <v>74</v>
      </c>
      <c r="BB842">
        <v>1007</v>
      </c>
      <c r="BC842">
        <v>1010</v>
      </c>
      <c r="BD842" t="s">
        <v>74</v>
      </c>
      <c r="BE842" t="s">
        <v>16055</v>
      </c>
      <c r="BF842" t="str">
        <f>HYPERLINK("http://dx.doi.org/10.1107/S1744309113020538","http://dx.doi.org/10.1107/S1744309113020538")</f>
        <v>http://dx.doi.org/10.1107/S1744309113020538</v>
      </c>
      <c r="BG842" t="s">
        <v>74</v>
      </c>
      <c r="BH842" t="s">
        <v>74</v>
      </c>
      <c r="BI842">
        <v>4</v>
      </c>
      <c r="BJ842" t="s">
        <v>16056</v>
      </c>
      <c r="BK842" t="s">
        <v>99</v>
      </c>
      <c r="BL842" t="s">
        <v>16057</v>
      </c>
      <c r="BM842" t="s">
        <v>16058</v>
      </c>
      <c r="BN842">
        <v>23989150</v>
      </c>
      <c r="BO842" t="s">
        <v>831</v>
      </c>
      <c r="BP842" t="s">
        <v>74</v>
      </c>
      <c r="BQ842" t="s">
        <v>74</v>
      </c>
      <c r="BR842" t="s">
        <v>103</v>
      </c>
      <c r="BS842" t="s">
        <v>16059</v>
      </c>
      <c r="BT842" t="str">
        <f>HYPERLINK("https%3A%2F%2Fwww.webofscience.com%2Fwos%2Fwoscc%2Ffull-record%2FWOS:000323719700012","View Full Record in Web of Science")</f>
        <v>View Full Record in Web of Science</v>
      </c>
    </row>
    <row r="843" spans="1:72" x14ac:dyDescent="0.15">
      <c r="A843" t="s">
        <v>72</v>
      </c>
      <c r="B843" t="s">
        <v>16060</v>
      </c>
      <c r="C843" t="s">
        <v>74</v>
      </c>
      <c r="D843" t="s">
        <v>74</v>
      </c>
      <c r="E843" t="s">
        <v>74</v>
      </c>
      <c r="F843" t="s">
        <v>16061</v>
      </c>
      <c r="G843" t="s">
        <v>74</v>
      </c>
      <c r="H843" t="s">
        <v>74</v>
      </c>
      <c r="I843" t="s">
        <v>16062</v>
      </c>
      <c r="J843" t="s">
        <v>16063</v>
      </c>
      <c r="K843" t="s">
        <v>74</v>
      </c>
      <c r="L843" t="s">
        <v>74</v>
      </c>
      <c r="M843" t="s">
        <v>78</v>
      </c>
      <c r="N843" t="s">
        <v>79</v>
      </c>
      <c r="O843" t="s">
        <v>74</v>
      </c>
      <c r="P843" t="s">
        <v>74</v>
      </c>
      <c r="Q843" t="s">
        <v>74</v>
      </c>
      <c r="R843" t="s">
        <v>74</v>
      </c>
      <c r="S843" t="s">
        <v>74</v>
      </c>
      <c r="T843" t="s">
        <v>16064</v>
      </c>
      <c r="U843" t="s">
        <v>16065</v>
      </c>
      <c r="V843" t="s">
        <v>16066</v>
      </c>
      <c r="W843" t="s">
        <v>16067</v>
      </c>
      <c r="X843" t="s">
        <v>16068</v>
      </c>
      <c r="Y843" t="s">
        <v>16069</v>
      </c>
      <c r="Z843" t="s">
        <v>16070</v>
      </c>
      <c r="AA843" t="s">
        <v>16071</v>
      </c>
      <c r="AB843" t="s">
        <v>16072</v>
      </c>
      <c r="AC843" t="s">
        <v>16073</v>
      </c>
      <c r="AD843" t="s">
        <v>16074</v>
      </c>
      <c r="AE843" t="s">
        <v>16075</v>
      </c>
      <c r="AF843" t="s">
        <v>74</v>
      </c>
      <c r="AG843">
        <v>29</v>
      </c>
      <c r="AH843">
        <v>8</v>
      </c>
      <c r="AI843">
        <v>8</v>
      </c>
      <c r="AJ843">
        <v>0</v>
      </c>
      <c r="AK843">
        <v>18</v>
      </c>
      <c r="AL843" t="s">
        <v>582</v>
      </c>
      <c r="AM843" t="s">
        <v>305</v>
      </c>
      <c r="AN843" t="s">
        <v>583</v>
      </c>
      <c r="AO843" t="s">
        <v>16076</v>
      </c>
      <c r="AP843" t="s">
        <v>74</v>
      </c>
      <c r="AQ843" t="s">
        <v>74</v>
      </c>
      <c r="AR843" t="s">
        <v>16077</v>
      </c>
      <c r="AS843" t="s">
        <v>16078</v>
      </c>
      <c r="AT843" t="s">
        <v>14663</v>
      </c>
      <c r="AU843">
        <v>2013</v>
      </c>
      <c r="AV843">
        <v>1834</v>
      </c>
      <c r="AW843">
        <v>9</v>
      </c>
      <c r="AX843" t="s">
        <v>74</v>
      </c>
      <c r="AY843" t="s">
        <v>74</v>
      </c>
      <c r="AZ843" t="s">
        <v>283</v>
      </c>
      <c r="BA843" t="s">
        <v>74</v>
      </c>
      <c r="BB843">
        <v>1757</v>
      </c>
      <c r="BC843">
        <v>1763</v>
      </c>
      <c r="BD843" t="s">
        <v>74</v>
      </c>
      <c r="BE843" t="s">
        <v>16079</v>
      </c>
      <c r="BF843" t="str">
        <f>HYPERLINK("http://dx.doi.org/10.1016/j.bbapap.2013.01.042","http://dx.doi.org/10.1016/j.bbapap.2013.01.042")</f>
        <v>http://dx.doi.org/10.1016/j.bbapap.2013.01.042</v>
      </c>
      <c r="BG843" t="s">
        <v>74</v>
      </c>
      <c r="BH843" t="s">
        <v>74</v>
      </c>
      <c r="BI843">
        <v>7</v>
      </c>
      <c r="BJ843" t="s">
        <v>16080</v>
      </c>
      <c r="BK843" t="s">
        <v>99</v>
      </c>
      <c r="BL843" t="s">
        <v>16080</v>
      </c>
      <c r="BM843" t="s">
        <v>16081</v>
      </c>
      <c r="BN843">
        <v>23403147</v>
      </c>
      <c r="BO843" t="s">
        <v>74</v>
      </c>
      <c r="BP843" t="s">
        <v>74</v>
      </c>
      <c r="BQ843" t="s">
        <v>74</v>
      </c>
      <c r="BR843" t="s">
        <v>103</v>
      </c>
      <c r="BS843" t="s">
        <v>16082</v>
      </c>
      <c r="BT843" t="str">
        <f>HYPERLINK("https%3A%2F%2Fwww.webofscience.com%2Fwos%2Fwoscc%2Ffull-record%2FWOS:000323191800010","View Full Record in Web of Science")</f>
        <v>View Full Record in Web of Science</v>
      </c>
    </row>
    <row r="844" spans="1:72" x14ac:dyDescent="0.15">
      <c r="A844" t="s">
        <v>72</v>
      </c>
      <c r="B844" t="s">
        <v>16083</v>
      </c>
      <c r="C844" t="s">
        <v>74</v>
      </c>
      <c r="D844" t="s">
        <v>74</v>
      </c>
      <c r="E844" t="s">
        <v>74</v>
      </c>
      <c r="F844" t="s">
        <v>16084</v>
      </c>
      <c r="G844" t="s">
        <v>74</v>
      </c>
      <c r="H844" t="s">
        <v>74</v>
      </c>
      <c r="I844" t="s">
        <v>16085</v>
      </c>
      <c r="J844" t="s">
        <v>16063</v>
      </c>
      <c r="K844" t="s">
        <v>74</v>
      </c>
      <c r="L844" t="s">
        <v>74</v>
      </c>
      <c r="M844" t="s">
        <v>78</v>
      </c>
      <c r="N844" t="s">
        <v>79</v>
      </c>
      <c r="O844" t="s">
        <v>74</v>
      </c>
      <c r="P844" t="s">
        <v>74</v>
      </c>
      <c r="Q844" t="s">
        <v>74</v>
      </c>
      <c r="R844" t="s">
        <v>74</v>
      </c>
      <c r="S844" t="s">
        <v>74</v>
      </c>
      <c r="T844" t="s">
        <v>16086</v>
      </c>
      <c r="U844" t="s">
        <v>16087</v>
      </c>
      <c r="V844" t="s">
        <v>16088</v>
      </c>
      <c r="W844" t="s">
        <v>16089</v>
      </c>
      <c r="X844" t="s">
        <v>16090</v>
      </c>
      <c r="Y844" t="s">
        <v>16091</v>
      </c>
      <c r="Z844" t="s">
        <v>16092</v>
      </c>
      <c r="AA844" t="s">
        <v>16093</v>
      </c>
      <c r="AB844" t="s">
        <v>16094</v>
      </c>
      <c r="AC844" t="s">
        <v>16095</v>
      </c>
      <c r="AD844" t="s">
        <v>16095</v>
      </c>
      <c r="AE844" t="s">
        <v>16096</v>
      </c>
      <c r="AF844" t="s">
        <v>74</v>
      </c>
      <c r="AG844">
        <v>62</v>
      </c>
      <c r="AH844">
        <v>8</v>
      </c>
      <c r="AI844">
        <v>8</v>
      </c>
      <c r="AJ844">
        <v>0</v>
      </c>
      <c r="AK844">
        <v>9</v>
      </c>
      <c r="AL844" t="s">
        <v>582</v>
      </c>
      <c r="AM844" t="s">
        <v>305</v>
      </c>
      <c r="AN844" t="s">
        <v>583</v>
      </c>
      <c r="AO844" t="s">
        <v>16076</v>
      </c>
      <c r="AP844" t="s">
        <v>74</v>
      </c>
      <c r="AQ844" t="s">
        <v>74</v>
      </c>
      <c r="AR844" t="s">
        <v>16077</v>
      </c>
      <c r="AS844" t="s">
        <v>16078</v>
      </c>
      <c r="AT844" t="s">
        <v>14663</v>
      </c>
      <c r="AU844">
        <v>2013</v>
      </c>
      <c r="AV844">
        <v>1834</v>
      </c>
      <c r="AW844">
        <v>9</v>
      </c>
      <c r="AX844" t="s">
        <v>74</v>
      </c>
      <c r="AY844" t="s">
        <v>74</v>
      </c>
      <c r="AZ844" t="s">
        <v>283</v>
      </c>
      <c r="BA844" t="s">
        <v>74</v>
      </c>
      <c r="BB844">
        <v>1885</v>
      </c>
      <c r="BC844">
        <v>1893</v>
      </c>
      <c r="BD844" t="s">
        <v>74</v>
      </c>
      <c r="BE844" t="s">
        <v>16097</v>
      </c>
      <c r="BF844" t="str">
        <f>HYPERLINK("http://dx.doi.org/10.1016/j.bbapap.2013.01.031","http://dx.doi.org/10.1016/j.bbapap.2013.01.031")</f>
        <v>http://dx.doi.org/10.1016/j.bbapap.2013.01.031</v>
      </c>
      <c r="BG844" t="s">
        <v>74</v>
      </c>
      <c r="BH844" t="s">
        <v>74</v>
      </c>
      <c r="BI844">
        <v>9</v>
      </c>
      <c r="BJ844" t="s">
        <v>16080</v>
      </c>
      <c r="BK844" t="s">
        <v>99</v>
      </c>
      <c r="BL844" t="s">
        <v>16080</v>
      </c>
      <c r="BM844" t="s">
        <v>16081</v>
      </c>
      <c r="BN844">
        <v>23376186</v>
      </c>
      <c r="BO844" t="s">
        <v>74</v>
      </c>
      <c r="BP844" t="s">
        <v>74</v>
      </c>
      <c r="BQ844" t="s">
        <v>74</v>
      </c>
      <c r="BR844" t="s">
        <v>103</v>
      </c>
      <c r="BS844" t="s">
        <v>16098</v>
      </c>
      <c r="BT844" t="str">
        <f>HYPERLINK("https%3A%2F%2Fwww.webofscience.com%2Fwos%2Fwoscc%2Ffull-record%2FWOS:000323191800023","View Full Record in Web of Science")</f>
        <v>View Full Record in Web of Science</v>
      </c>
    </row>
    <row r="845" spans="1:72" x14ac:dyDescent="0.15">
      <c r="A845" t="s">
        <v>72</v>
      </c>
      <c r="B845" t="s">
        <v>16099</v>
      </c>
      <c r="C845" t="s">
        <v>74</v>
      </c>
      <c r="D845" t="s">
        <v>74</v>
      </c>
      <c r="E845" t="s">
        <v>74</v>
      </c>
      <c r="F845" t="s">
        <v>16100</v>
      </c>
      <c r="G845" t="s">
        <v>74</v>
      </c>
      <c r="H845" t="s">
        <v>74</v>
      </c>
      <c r="I845" t="s">
        <v>16101</v>
      </c>
      <c r="J845" t="s">
        <v>16063</v>
      </c>
      <c r="K845" t="s">
        <v>74</v>
      </c>
      <c r="L845" t="s">
        <v>74</v>
      </c>
      <c r="M845" t="s">
        <v>78</v>
      </c>
      <c r="N845" t="s">
        <v>79</v>
      </c>
      <c r="O845" t="s">
        <v>74</v>
      </c>
      <c r="P845" t="s">
        <v>74</v>
      </c>
      <c r="Q845" t="s">
        <v>74</v>
      </c>
      <c r="R845" t="s">
        <v>74</v>
      </c>
      <c r="S845" t="s">
        <v>74</v>
      </c>
      <c r="T845" t="s">
        <v>16102</v>
      </c>
      <c r="U845" t="s">
        <v>16103</v>
      </c>
      <c r="V845" t="s">
        <v>16104</v>
      </c>
      <c r="W845" t="s">
        <v>16105</v>
      </c>
      <c r="X845" t="s">
        <v>16106</v>
      </c>
      <c r="Y845" t="s">
        <v>16107</v>
      </c>
      <c r="Z845" t="s">
        <v>16108</v>
      </c>
      <c r="AA845" t="s">
        <v>16109</v>
      </c>
      <c r="AB845" t="s">
        <v>16110</v>
      </c>
      <c r="AC845" t="s">
        <v>16111</v>
      </c>
      <c r="AD845" t="s">
        <v>16111</v>
      </c>
      <c r="AE845" t="s">
        <v>16112</v>
      </c>
      <c r="AF845" t="s">
        <v>74</v>
      </c>
      <c r="AG845">
        <v>63</v>
      </c>
      <c r="AH845">
        <v>23</v>
      </c>
      <c r="AI845">
        <v>25</v>
      </c>
      <c r="AJ845">
        <v>1</v>
      </c>
      <c r="AK845">
        <v>12</v>
      </c>
      <c r="AL845" t="s">
        <v>582</v>
      </c>
      <c r="AM845" t="s">
        <v>305</v>
      </c>
      <c r="AN845" t="s">
        <v>583</v>
      </c>
      <c r="AO845" t="s">
        <v>16076</v>
      </c>
      <c r="AP845" t="s">
        <v>74</v>
      </c>
      <c r="AQ845" t="s">
        <v>74</v>
      </c>
      <c r="AR845" t="s">
        <v>16077</v>
      </c>
      <c r="AS845" t="s">
        <v>16078</v>
      </c>
      <c r="AT845" t="s">
        <v>14663</v>
      </c>
      <c r="AU845">
        <v>2013</v>
      </c>
      <c r="AV845">
        <v>1834</v>
      </c>
      <c r="AW845">
        <v>9</v>
      </c>
      <c r="AX845" t="s">
        <v>74</v>
      </c>
      <c r="AY845" t="s">
        <v>74</v>
      </c>
      <c r="AZ845" t="s">
        <v>283</v>
      </c>
      <c r="BA845" t="s">
        <v>74</v>
      </c>
      <c r="BB845">
        <v>1923</v>
      </c>
      <c r="BC845">
        <v>1931</v>
      </c>
      <c r="BD845" t="s">
        <v>74</v>
      </c>
      <c r="BE845" t="s">
        <v>16113</v>
      </c>
      <c r="BF845" t="str">
        <f>HYPERLINK("http://dx.doi.org/10.1016/j.bbapap.2013.02.018","http://dx.doi.org/10.1016/j.bbapap.2013.02.018")</f>
        <v>http://dx.doi.org/10.1016/j.bbapap.2013.02.018</v>
      </c>
      <c r="BG845" t="s">
        <v>74</v>
      </c>
      <c r="BH845" t="s">
        <v>74</v>
      </c>
      <c r="BI845">
        <v>9</v>
      </c>
      <c r="BJ845" t="s">
        <v>16080</v>
      </c>
      <c r="BK845" t="s">
        <v>99</v>
      </c>
      <c r="BL845" t="s">
        <v>16080</v>
      </c>
      <c r="BM845" t="s">
        <v>16081</v>
      </c>
      <c r="BN845">
        <v>23434851</v>
      </c>
      <c r="BO845" t="s">
        <v>74</v>
      </c>
      <c r="BP845" t="s">
        <v>74</v>
      </c>
      <c r="BQ845" t="s">
        <v>74</v>
      </c>
      <c r="BR845" t="s">
        <v>103</v>
      </c>
      <c r="BS845" t="s">
        <v>16114</v>
      </c>
      <c r="BT845" t="str">
        <f>HYPERLINK("https%3A%2F%2Fwww.webofscience.com%2Fwos%2Fwoscc%2Ffull-record%2FWOS:000323191800027","View Full Record in Web of Science")</f>
        <v>View Full Record in Web of Science</v>
      </c>
    </row>
    <row r="846" spans="1:72" x14ac:dyDescent="0.15">
      <c r="A846" t="s">
        <v>72</v>
      </c>
      <c r="B846" t="s">
        <v>16115</v>
      </c>
      <c r="C846" t="s">
        <v>74</v>
      </c>
      <c r="D846" t="s">
        <v>74</v>
      </c>
      <c r="E846" t="s">
        <v>74</v>
      </c>
      <c r="F846" t="s">
        <v>16116</v>
      </c>
      <c r="G846" t="s">
        <v>74</v>
      </c>
      <c r="H846" t="s">
        <v>74</v>
      </c>
      <c r="I846" t="s">
        <v>16117</v>
      </c>
      <c r="J846" t="s">
        <v>16063</v>
      </c>
      <c r="K846" t="s">
        <v>74</v>
      </c>
      <c r="L846" t="s">
        <v>74</v>
      </c>
      <c r="M846" t="s">
        <v>78</v>
      </c>
      <c r="N846" t="s">
        <v>79</v>
      </c>
      <c r="O846" t="s">
        <v>74</v>
      </c>
      <c r="P846" t="s">
        <v>74</v>
      </c>
      <c r="Q846" t="s">
        <v>74</v>
      </c>
      <c r="R846" t="s">
        <v>74</v>
      </c>
      <c r="S846" t="s">
        <v>74</v>
      </c>
      <c r="T846" t="s">
        <v>16118</v>
      </c>
      <c r="U846" t="s">
        <v>16119</v>
      </c>
      <c r="V846" t="s">
        <v>16120</v>
      </c>
      <c r="W846" t="s">
        <v>16121</v>
      </c>
      <c r="X846" t="s">
        <v>16122</v>
      </c>
      <c r="Y846" t="s">
        <v>16123</v>
      </c>
      <c r="Z846" t="s">
        <v>16124</v>
      </c>
      <c r="AA846" t="s">
        <v>16125</v>
      </c>
      <c r="AB846" t="s">
        <v>16126</v>
      </c>
      <c r="AC846" t="s">
        <v>16127</v>
      </c>
      <c r="AD846" t="s">
        <v>16128</v>
      </c>
      <c r="AE846" t="s">
        <v>16129</v>
      </c>
      <c r="AF846" t="s">
        <v>74</v>
      </c>
      <c r="AG846">
        <v>36</v>
      </c>
      <c r="AH846">
        <v>8</v>
      </c>
      <c r="AI846">
        <v>8</v>
      </c>
      <c r="AJ846">
        <v>1</v>
      </c>
      <c r="AK846">
        <v>15</v>
      </c>
      <c r="AL846" t="s">
        <v>582</v>
      </c>
      <c r="AM846" t="s">
        <v>305</v>
      </c>
      <c r="AN846" t="s">
        <v>583</v>
      </c>
      <c r="AO846" t="s">
        <v>16076</v>
      </c>
      <c r="AP846" t="s">
        <v>74</v>
      </c>
      <c r="AQ846" t="s">
        <v>74</v>
      </c>
      <c r="AR846" t="s">
        <v>16077</v>
      </c>
      <c r="AS846" t="s">
        <v>16078</v>
      </c>
      <c r="AT846" t="s">
        <v>14663</v>
      </c>
      <c r="AU846">
        <v>2013</v>
      </c>
      <c r="AV846">
        <v>1834</v>
      </c>
      <c r="AW846">
        <v>9</v>
      </c>
      <c r="AX846" t="s">
        <v>74</v>
      </c>
      <c r="AY846" t="s">
        <v>74</v>
      </c>
      <c r="AZ846" t="s">
        <v>283</v>
      </c>
      <c r="BA846" t="s">
        <v>74</v>
      </c>
      <c r="BB846">
        <v>1932</v>
      </c>
      <c r="BC846">
        <v>1938</v>
      </c>
      <c r="BD846" t="s">
        <v>74</v>
      </c>
      <c r="BE846" t="s">
        <v>16130</v>
      </c>
      <c r="BF846" t="str">
        <f>HYPERLINK("http://dx.doi.org/10.1016/j.bbapap.2013.02.013","http://dx.doi.org/10.1016/j.bbapap.2013.02.013")</f>
        <v>http://dx.doi.org/10.1016/j.bbapap.2013.02.013</v>
      </c>
      <c r="BG846" t="s">
        <v>74</v>
      </c>
      <c r="BH846" t="s">
        <v>74</v>
      </c>
      <c r="BI846">
        <v>7</v>
      </c>
      <c r="BJ846" t="s">
        <v>16080</v>
      </c>
      <c r="BK846" t="s">
        <v>99</v>
      </c>
      <c r="BL846" t="s">
        <v>16080</v>
      </c>
      <c r="BM846" t="s">
        <v>16081</v>
      </c>
      <c r="BN846">
        <v>23429181</v>
      </c>
      <c r="BO846" t="s">
        <v>74</v>
      </c>
      <c r="BP846" t="s">
        <v>74</v>
      </c>
      <c r="BQ846" t="s">
        <v>74</v>
      </c>
      <c r="BR846" t="s">
        <v>103</v>
      </c>
      <c r="BS846" t="s">
        <v>16131</v>
      </c>
      <c r="BT846" t="str">
        <f>HYPERLINK("https%3A%2F%2Fwww.webofscience.com%2Fwos%2Fwoscc%2Ffull-record%2FWOS:000323191800028","View Full Record in Web of Science")</f>
        <v>View Full Record in Web of Science</v>
      </c>
    </row>
    <row r="847" spans="1:72" x14ac:dyDescent="0.15">
      <c r="A847" t="s">
        <v>72</v>
      </c>
      <c r="B847" t="s">
        <v>16132</v>
      </c>
      <c r="C847" t="s">
        <v>74</v>
      </c>
      <c r="D847" t="s">
        <v>74</v>
      </c>
      <c r="E847" t="s">
        <v>74</v>
      </c>
      <c r="F847" t="s">
        <v>16133</v>
      </c>
      <c r="G847" t="s">
        <v>74</v>
      </c>
      <c r="H847" t="s">
        <v>74</v>
      </c>
      <c r="I847" t="s">
        <v>16134</v>
      </c>
      <c r="J847" t="s">
        <v>16063</v>
      </c>
      <c r="K847" t="s">
        <v>74</v>
      </c>
      <c r="L847" t="s">
        <v>74</v>
      </c>
      <c r="M847" t="s">
        <v>78</v>
      </c>
      <c r="N847" t="s">
        <v>79</v>
      </c>
      <c r="O847" t="s">
        <v>74</v>
      </c>
      <c r="P847" t="s">
        <v>74</v>
      </c>
      <c r="Q847" t="s">
        <v>74</v>
      </c>
      <c r="R847" t="s">
        <v>74</v>
      </c>
      <c r="S847" t="s">
        <v>74</v>
      </c>
      <c r="T847" t="s">
        <v>16135</v>
      </c>
      <c r="U847" t="s">
        <v>16136</v>
      </c>
      <c r="V847" t="s">
        <v>16137</v>
      </c>
      <c r="W847" t="s">
        <v>16138</v>
      </c>
      <c r="X847" t="s">
        <v>16139</v>
      </c>
      <c r="Y847" t="s">
        <v>16140</v>
      </c>
      <c r="Z847" t="s">
        <v>16141</v>
      </c>
      <c r="AA847" t="s">
        <v>16142</v>
      </c>
      <c r="AB847" t="s">
        <v>16143</v>
      </c>
      <c r="AC847" t="s">
        <v>16144</v>
      </c>
      <c r="AD847" t="s">
        <v>16145</v>
      </c>
      <c r="AE847" t="s">
        <v>16146</v>
      </c>
      <c r="AF847" t="s">
        <v>74</v>
      </c>
      <c r="AG847">
        <v>24</v>
      </c>
      <c r="AH847">
        <v>38</v>
      </c>
      <c r="AI847">
        <v>44</v>
      </c>
      <c r="AJ847">
        <v>0</v>
      </c>
      <c r="AK847">
        <v>16</v>
      </c>
      <c r="AL847" t="s">
        <v>582</v>
      </c>
      <c r="AM847" t="s">
        <v>305</v>
      </c>
      <c r="AN847" t="s">
        <v>583</v>
      </c>
      <c r="AO847" t="s">
        <v>16076</v>
      </c>
      <c r="AP847" t="s">
        <v>16147</v>
      </c>
      <c r="AQ847" t="s">
        <v>74</v>
      </c>
      <c r="AR847" t="s">
        <v>16077</v>
      </c>
      <c r="AS847" t="s">
        <v>16078</v>
      </c>
      <c r="AT847" t="s">
        <v>14663</v>
      </c>
      <c r="AU847">
        <v>2013</v>
      </c>
      <c r="AV847">
        <v>1834</v>
      </c>
      <c r="AW847">
        <v>9</v>
      </c>
      <c r="AX847" t="s">
        <v>74</v>
      </c>
      <c r="AY847" t="s">
        <v>74</v>
      </c>
      <c r="AZ847" t="s">
        <v>283</v>
      </c>
      <c r="BA847" t="s">
        <v>74</v>
      </c>
      <c r="BB847">
        <v>1939</v>
      </c>
      <c r="BC847">
        <v>1943</v>
      </c>
      <c r="BD847" t="s">
        <v>74</v>
      </c>
      <c r="BE847" t="s">
        <v>16148</v>
      </c>
      <c r="BF847" t="str">
        <f>HYPERLINK("http://dx.doi.org/10.1016/j.bbapap.2013.05.005","http://dx.doi.org/10.1016/j.bbapap.2013.05.005")</f>
        <v>http://dx.doi.org/10.1016/j.bbapap.2013.05.005</v>
      </c>
      <c r="BG847" t="s">
        <v>74</v>
      </c>
      <c r="BH847" t="s">
        <v>74</v>
      </c>
      <c r="BI847">
        <v>5</v>
      </c>
      <c r="BJ847" t="s">
        <v>16080</v>
      </c>
      <c r="BK847" t="s">
        <v>99</v>
      </c>
      <c r="BL847" t="s">
        <v>16080</v>
      </c>
      <c r="BM847" t="s">
        <v>16081</v>
      </c>
      <c r="BN847">
        <v>23685348</v>
      </c>
      <c r="BO847" t="s">
        <v>4419</v>
      </c>
      <c r="BP847" t="s">
        <v>74</v>
      </c>
      <c r="BQ847" t="s">
        <v>74</v>
      </c>
      <c r="BR847" t="s">
        <v>103</v>
      </c>
      <c r="BS847" t="s">
        <v>16149</v>
      </c>
      <c r="BT847" t="str">
        <f>HYPERLINK("https%3A%2F%2Fwww.webofscience.com%2Fwos%2Fwoscc%2Ffull-record%2FWOS:000323191800029","View Full Record in Web of Science")</f>
        <v>View Full Record in Web of Science</v>
      </c>
    </row>
    <row r="848" spans="1:72" x14ac:dyDescent="0.15">
      <c r="A848" t="s">
        <v>72</v>
      </c>
      <c r="B848" t="s">
        <v>16150</v>
      </c>
      <c r="C848" t="s">
        <v>74</v>
      </c>
      <c r="D848" t="s">
        <v>74</v>
      </c>
      <c r="E848" t="s">
        <v>74</v>
      </c>
      <c r="F848" t="s">
        <v>16151</v>
      </c>
      <c r="G848" t="s">
        <v>74</v>
      </c>
      <c r="H848" t="s">
        <v>74</v>
      </c>
      <c r="I848" t="s">
        <v>16152</v>
      </c>
      <c r="J848" t="s">
        <v>9169</v>
      </c>
      <c r="K848" t="s">
        <v>74</v>
      </c>
      <c r="L848" t="s">
        <v>74</v>
      </c>
      <c r="M848" t="s">
        <v>78</v>
      </c>
      <c r="N848" t="s">
        <v>79</v>
      </c>
      <c r="O848" t="s">
        <v>74</v>
      </c>
      <c r="P848" t="s">
        <v>74</v>
      </c>
      <c r="Q848" t="s">
        <v>74</v>
      </c>
      <c r="R848" t="s">
        <v>74</v>
      </c>
      <c r="S848" t="s">
        <v>74</v>
      </c>
      <c r="T848" t="s">
        <v>16153</v>
      </c>
      <c r="U848" t="s">
        <v>16154</v>
      </c>
      <c r="V848" t="s">
        <v>16155</v>
      </c>
      <c r="W848" t="s">
        <v>16156</v>
      </c>
      <c r="X848" t="s">
        <v>16157</v>
      </c>
      <c r="Y848" t="s">
        <v>16158</v>
      </c>
      <c r="Z848" t="s">
        <v>16159</v>
      </c>
      <c r="AA848" t="s">
        <v>16160</v>
      </c>
      <c r="AB848" t="s">
        <v>74</v>
      </c>
      <c r="AC848" t="s">
        <v>16161</v>
      </c>
      <c r="AD848" t="s">
        <v>16162</v>
      </c>
      <c r="AE848" t="s">
        <v>16163</v>
      </c>
      <c r="AF848" t="s">
        <v>74</v>
      </c>
      <c r="AG848">
        <v>31</v>
      </c>
      <c r="AH848">
        <v>8</v>
      </c>
      <c r="AI848">
        <v>9</v>
      </c>
      <c r="AJ848">
        <v>1</v>
      </c>
      <c r="AK848">
        <v>34</v>
      </c>
      <c r="AL848" t="s">
        <v>9182</v>
      </c>
      <c r="AM848" t="s">
        <v>9183</v>
      </c>
      <c r="AN848" t="s">
        <v>9184</v>
      </c>
      <c r="AO848" t="s">
        <v>9185</v>
      </c>
      <c r="AP848" t="s">
        <v>74</v>
      </c>
      <c r="AQ848" t="s">
        <v>74</v>
      </c>
      <c r="AR848" t="s">
        <v>9187</v>
      </c>
      <c r="AS848" t="s">
        <v>9188</v>
      </c>
      <c r="AT848" t="s">
        <v>14663</v>
      </c>
      <c r="AU848">
        <v>2013</v>
      </c>
      <c r="AV848">
        <v>58</v>
      </c>
      <c r="AW848">
        <v>25</v>
      </c>
      <c r="AX848" t="s">
        <v>74</v>
      </c>
      <c r="AY848" t="s">
        <v>74</v>
      </c>
      <c r="AZ848" t="s">
        <v>74</v>
      </c>
      <c r="BA848" t="s">
        <v>74</v>
      </c>
      <c r="BB848">
        <v>3148</v>
      </c>
      <c r="BC848">
        <v>3154</v>
      </c>
      <c r="BD848" t="s">
        <v>74</v>
      </c>
      <c r="BE848" t="s">
        <v>16164</v>
      </c>
      <c r="BF848" t="str">
        <f>HYPERLINK("http://dx.doi.org/10.1007/s11434-013-5772-8","http://dx.doi.org/10.1007/s11434-013-5772-8")</f>
        <v>http://dx.doi.org/10.1007/s11434-013-5772-8</v>
      </c>
      <c r="BG848" t="s">
        <v>74</v>
      </c>
      <c r="BH848" t="s">
        <v>74</v>
      </c>
      <c r="BI848">
        <v>7</v>
      </c>
      <c r="BJ848" t="s">
        <v>2652</v>
      </c>
      <c r="BK848" t="s">
        <v>99</v>
      </c>
      <c r="BL848" t="s">
        <v>2653</v>
      </c>
      <c r="BM848" t="s">
        <v>16165</v>
      </c>
      <c r="BN848" t="s">
        <v>74</v>
      </c>
      <c r="BO848" t="s">
        <v>475</v>
      </c>
      <c r="BP848" t="s">
        <v>74</v>
      </c>
      <c r="BQ848" t="s">
        <v>74</v>
      </c>
      <c r="BR848" t="s">
        <v>103</v>
      </c>
      <c r="BS848" t="s">
        <v>16166</v>
      </c>
      <c r="BT848" t="str">
        <f>HYPERLINK("https%3A%2F%2Fwww.webofscience.com%2Fwos%2Fwoscc%2Ffull-record%2FWOS:000323741300013","View Full Record in Web of Science")</f>
        <v>View Full Record in Web of Science</v>
      </c>
    </row>
    <row r="849" spans="1:72" x14ac:dyDescent="0.15">
      <c r="A849" t="s">
        <v>72</v>
      </c>
      <c r="B849" t="s">
        <v>16167</v>
      </c>
      <c r="C849" t="s">
        <v>74</v>
      </c>
      <c r="D849" t="s">
        <v>74</v>
      </c>
      <c r="E849" t="s">
        <v>74</v>
      </c>
      <c r="F849" t="s">
        <v>16168</v>
      </c>
      <c r="G849" t="s">
        <v>74</v>
      </c>
      <c r="H849" t="s">
        <v>74</v>
      </c>
      <c r="I849" t="s">
        <v>16169</v>
      </c>
      <c r="J849" t="s">
        <v>529</v>
      </c>
      <c r="K849" t="s">
        <v>74</v>
      </c>
      <c r="L849" t="s">
        <v>74</v>
      </c>
      <c r="M849" t="s">
        <v>78</v>
      </c>
      <c r="N849" t="s">
        <v>213</v>
      </c>
      <c r="O849" t="s">
        <v>74</v>
      </c>
      <c r="P849" t="s">
        <v>74</v>
      </c>
      <c r="Q849" t="s">
        <v>74</v>
      </c>
      <c r="R849" t="s">
        <v>74</v>
      </c>
      <c r="S849" t="s">
        <v>74</v>
      </c>
      <c r="T849" t="s">
        <v>16170</v>
      </c>
      <c r="U849" t="s">
        <v>16171</v>
      </c>
      <c r="V849" t="s">
        <v>16172</v>
      </c>
      <c r="W849" t="s">
        <v>16173</v>
      </c>
      <c r="X849" t="s">
        <v>16174</v>
      </c>
      <c r="Y849" t="s">
        <v>16175</v>
      </c>
      <c r="Z849" t="s">
        <v>16176</v>
      </c>
      <c r="AA849" t="s">
        <v>74</v>
      </c>
      <c r="AB849" t="s">
        <v>16177</v>
      </c>
      <c r="AC849" t="s">
        <v>16178</v>
      </c>
      <c r="AD849" t="s">
        <v>16179</v>
      </c>
      <c r="AE849" t="s">
        <v>16180</v>
      </c>
      <c r="AF849" t="s">
        <v>74</v>
      </c>
      <c r="AG849">
        <v>84</v>
      </c>
      <c r="AH849">
        <v>40</v>
      </c>
      <c r="AI849">
        <v>49</v>
      </c>
      <c r="AJ849">
        <v>5</v>
      </c>
      <c r="AK849">
        <v>152</v>
      </c>
      <c r="AL849" t="s">
        <v>539</v>
      </c>
      <c r="AM849" t="s">
        <v>540</v>
      </c>
      <c r="AN849" t="s">
        <v>564</v>
      </c>
      <c r="AO849" t="s">
        <v>542</v>
      </c>
      <c r="AP849" t="s">
        <v>543</v>
      </c>
      <c r="AQ849" t="s">
        <v>74</v>
      </c>
      <c r="AR849" t="s">
        <v>529</v>
      </c>
      <c r="AS849" t="s">
        <v>544</v>
      </c>
      <c r="AT849" t="s">
        <v>14663</v>
      </c>
      <c r="AU849">
        <v>2013</v>
      </c>
      <c r="AV849">
        <v>17</v>
      </c>
      <c r="AW849">
        <v>5</v>
      </c>
      <c r="AX849" t="s">
        <v>74</v>
      </c>
      <c r="AY849" t="s">
        <v>74</v>
      </c>
      <c r="AZ849" t="s">
        <v>74</v>
      </c>
      <c r="BA849" t="s">
        <v>74</v>
      </c>
      <c r="BB849">
        <v>711</v>
      </c>
      <c r="BC849">
        <v>722</v>
      </c>
      <c r="BD849" t="s">
        <v>74</v>
      </c>
      <c r="BE849" t="s">
        <v>16181</v>
      </c>
      <c r="BF849" t="str">
        <f>HYPERLINK("http://dx.doi.org/10.1007/s00792-013-0571-3","http://dx.doi.org/10.1007/s00792-013-0571-3")</f>
        <v>http://dx.doi.org/10.1007/s00792-013-0571-3</v>
      </c>
      <c r="BG849" t="s">
        <v>74</v>
      </c>
      <c r="BH849" t="s">
        <v>74</v>
      </c>
      <c r="BI849">
        <v>12</v>
      </c>
      <c r="BJ849" t="s">
        <v>546</v>
      </c>
      <c r="BK849" t="s">
        <v>99</v>
      </c>
      <c r="BL849" t="s">
        <v>546</v>
      </c>
      <c r="BM849" t="s">
        <v>16182</v>
      </c>
      <c r="BN849">
        <v>23903324</v>
      </c>
      <c r="BO849" t="s">
        <v>74</v>
      </c>
      <c r="BP849" t="s">
        <v>74</v>
      </c>
      <c r="BQ849" t="s">
        <v>74</v>
      </c>
      <c r="BR849" t="s">
        <v>103</v>
      </c>
      <c r="BS849" t="s">
        <v>16183</v>
      </c>
      <c r="BT849" t="str">
        <f>HYPERLINK("https%3A%2F%2Fwww.webofscience.com%2Fwos%2Fwoscc%2Ffull-record%2FWOS:000323514400003","View Full Record in Web of Science")</f>
        <v>View Full Record in Web of Science</v>
      </c>
    </row>
    <row r="850" spans="1:72" x14ac:dyDescent="0.15">
      <c r="A850" t="s">
        <v>72</v>
      </c>
      <c r="B850" t="s">
        <v>16184</v>
      </c>
      <c r="C850" t="s">
        <v>74</v>
      </c>
      <c r="D850" t="s">
        <v>74</v>
      </c>
      <c r="E850" t="s">
        <v>74</v>
      </c>
      <c r="F850" t="s">
        <v>16185</v>
      </c>
      <c r="G850" t="s">
        <v>74</v>
      </c>
      <c r="H850" t="s">
        <v>74</v>
      </c>
      <c r="I850" t="s">
        <v>16186</v>
      </c>
      <c r="J850" t="s">
        <v>529</v>
      </c>
      <c r="K850" t="s">
        <v>74</v>
      </c>
      <c r="L850" t="s">
        <v>74</v>
      </c>
      <c r="M850" t="s">
        <v>78</v>
      </c>
      <c r="N850" t="s">
        <v>79</v>
      </c>
      <c r="O850" t="s">
        <v>74</v>
      </c>
      <c r="P850" t="s">
        <v>74</v>
      </c>
      <c r="Q850" t="s">
        <v>74</v>
      </c>
      <c r="R850" t="s">
        <v>74</v>
      </c>
      <c r="S850" t="s">
        <v>74</v>
      </c>
      <c r="T850" t="s">
        <v>16187</v>
      </c>
      <c r="U850" t="s">
        <v>16188</v>
      </c>
      <c r="V850" t="s">
        <v>16189</v>
      </c>
      <c r="W850" t="s">
        <v>16190</v>
      </c>
      <c r="X850" t="s">
        <v>16191</v>
      </c>
      <c r="Y850" t="s">
        <v>16192</v>
      </c>
      <c r="Z850" t="s">
        <v>16193</v>
      </c>
      <c r="AA850" t="s">
        <v>16194</v>
      </c>
      <c r="AB850" t="s">
        <v>16195</v>
      </c>
      <c r="AC850" t="s">
        <v>16196</v>
      </c>
      <c r="AD850" t="s">
        <v>16197</v>
      </c>
      <c r="AE850" t="s">
        <v>16198</v>
      </c>
      <c r="AF850" t="s">
        <v>74</v>
      </c>
      <c r="AG850">
        <v>25</v>
      </c>
      <c r="AH850">
        <v>14</v>
      </c>
      <c r="AI850">
        <v>14</v>
      </c>
      <c r="AJ850">
        <v>1</v>
      </c>
      <c r="AK850">
        <v>54</v>
      </c>
      <c r="AL850" t="s">
        <v>539</v>
      </c>
      <c r="AM850" t="s">
        <v>540</v>
      </c>
      <c r="AN850" t="s">
        <v>541</v>
      </c>
      <c r="AO850" t="s">
        <v>542</v>
      </c>
      <c r="AP850" t="s">
        <v>74</v>
      </c>
      <c r="AQ850" t="s">
        <v>74</v>
      </c>
      <c r="AR850" t="s">
        <v>529</v>
      </c>
      <c r="AS850" t="s">
        <v>544</v>
      </c>
      <c r="AT850" t="s">
        <v>14663</v>
      </c>
      <c r="AU850">
        <v>2013</v>
      </c>
      <c r="AV850">
        <v>17</v>
      </c>
      <c r="AW850">
        <v>5</v>
      </c>
      <c r="AX850" t="s">
        <v>74</v>
      </c>
      <c r="AY850" t="s">
        <v>74</v>
      </c>
      <c r="AZ850" t="s">
        <v>74</v>
      </c>
      <c r="BA850" t="s">
        <v>74</v>
      </c>
      <c r="BB850">
        <v>757</v>
      </c>
      <c r="BC850">
        <v>765</v>
      </c>
      <c r="BD850" t="s">
        <v>74</v>
      </c>
      <c r="BE850" t="s">
        <v>16199</v>
      </c>
      <c r="BF850" t="str">
        <f>HYPERLINK("http://dx.doi.org/10.1007/s00792-013-0558-0","http://dx.doi.org/10.1007/s00792-013-0558-0")</f>
        <v>http://dx.doi.org/10.1007/s00792-013-0558-0</v>
      </c>
      <c r="BG850" t="s">
        <v>74</v>
      </c>
      <c r="BH850" t="s">
        <v>74</v>
      </c>
      <c r="BI850">
        <v>9</v>
      </c>
      <c r="BJ850" t="s">
        <v>546</v>
      </c>
      <c r="BK850" t="s">
        <v>99</v>
      </c>
      <c r="BL850" t="s">
        <v>546</v>
      </c>
      <c r="BM850" t="s">
        <v>16182</v>
      </c>
      <c r="BN850">
        <v>23818107</v>
      </c>
      <c r="BO850" t="s">
        <v>74</v>
      </c>
      <c r="BP850" t="s">
        <v>74</v>
      </c>
      <c r="BQ850" t="s">
        <v>74</v>
      </c>
      <c r="BR850" t="s">
        <v>103</v>
      </c>
      <c r="BS850" t="s">
        <v>16200</v>
      </c>
      <c r="BT850" t="str">
        <f>HYPERLINK("https%3A%2F%2Fwww.webofscience.com%2Fwos%2Fwoscc%2Ffull-record%2FWOS:000323514400007","View Full Record in Web of Science")</f>
        <v>View Full Record in Web of Science</v>
      </c>
    </row>
    <row r="851" spans="1:72" x14ac:dyDescent="0.15">
      <c r="A851" t="s">
        <v>72</v>
      </c>
      <c r="B851" t="s">
        <v>16201</v>
      </c>
      <c r="C851" t="s">
        <v>74</v>
      </c>
      <c r="D851" t="s">
        <v>74</v>
      </c>
      <c r="E851" t="s">
        <v>74</v>
      </c>
      <c r="F851" t="s">
        <v>16202</v>
      </c>
      <c r="G851" t="s">
        <v>74</v>
      </c>
      <c r="H851" t="s">
        <v>74</v>
      </c>
      <c r="I851" t="s">
        <v>16203</v>
      </c>
      <c r="J851" t="s">
        <v>529</v>
      </c>
      <c r="K851" t="s">
        <v>74</v>
      </c>
      <c r="L851" t="s">
        <v>74</v>
      </c>
      <c r="M851" t="s">
        <v>78</v>
      </c>
      <c r="N851" t="s">
        <v>79</v>
      </c>
      <c r="O851" t="s">
        <v>74</v>
      </c>
      <c r="P851" t="s">
        <v>74</v>
      </c>
      <c r="Q851" t="s">
        <v>74</v>
      </c>
      <c r="R851" t="s">
        <v>74</v>
      </c>
      <c r="S851" t="s">
        <v>74</v>
      </c>
      <c r="T851" t="s">
        <v>16204</v>
      </c>
      <c r="U851" t="s">
        <v>16205</v>
      </c>
      <c r="V851" t="s">
        <v>16206</v>
      </c>
      <c r="W851" t="s">
        <v>16207</v>
      </c>
      <c r="X851" t="s">
        <v>16208</v>
      </c>
      <c r="Y851" t="s">
        <v>16209</v>
      </c>
      <c r="Z851" t="s">
        <v>16210</v>
      </c>
      <c r="AA851" t="s">
        <v>74</v>
      </c>
      <c r="AB851" t="s">
        <v>74</v>
      </c>
      <c r="AC851" t="s">
        <v>16211</v>
      </c>
      <c r="AD851" t="s">
        <v>16212</v>
      </c>
      <c r="AE851" t="s">
        <v>16213</v>
      </c>
      <c r="AF851" t="s">
        <v>74</v>
      </c>
      <c r="AG851">
        <v>51</v>
      </c>
      <c r="AH851">
        <v>20</v>
      </c>
      <c r="AI851">
        <v>22</v>
      </c>
      <c r="AJ851">
        <v>1</v>
      </c>
      <c r="AK851">
        <v>39</v>
      </c>
      <c r="AL851" t="s">
        <v>539</v>
      </c>
      <c r="AM851" t="s">
        <v>540</v>
      </c>
      <c r="AN851" t="s">
        <v>564</v>
      </c>
      <c r="AO851" t="s">
        <v>542</v>
      </c>
      <c r="AP851" t="s">
        <v>543</v>
      </c>
      <c r="AQ851" t="s">
        <v>74</v>
      </c>
      <c r="AR851" t="s">
        <v>529</v>
      </c>
      <c r="AS851" t="s">
        <v>544</v>
      </c>
      <c r="AT851" t="s">
        <v>14663</v>
      </c>
      <c r="AU851">
        <v>2013</v>
      </c>
      <c r="AV851">
        <v>17</v>
      </c>
      <c r="AW851">
        <v>5</v>
      </c>
      <c r="AX851" t="s">
        <v>74</v>
      </c>
      <c r="AY851" t="s">
        <v>74</v>
      </c>
      <c r="AZ851" t="s">
        <v>74</v>
      </c>
      <c r="BA851" t="s">
        <v>74</v>
      </c>
      <c r="BB851">
        <v>775</v>
      </c>
      <c r="BC851">
        <v>786</v>
      </c>
      <c r="BD851" t="s">
        <v>74</v>
      </c>
      <c r="BE851" t="s">
        <v>16214</v>
      </c>
      <c r="BF851" t="str">
        <f>HYPERLINK("http://dx.doi.org/10.1007/s00792-013-0560-6","http://dx.doi.org/10.1007/s00792-013-0560-6")</f>
        <v>http://dx.doi.org/10.1007/s00792-013-0560-6</v>
      </c>
      <c r="BG851" t="s">
        <v>74</v>
      </c>
      <c r="BH851" t="s">
        <v>74</v>
      </c>
      <c r="BI851">
        <v>12</v>
      </c>
      <c r="BJ851" t="s">
        <v>546</v>
      </c>
      <c r="BK851" t="s">
        <v>99</v>
      </c>
      <c r="BL851" t="s">
        <v>546</v>
      </c>
      <c r="BM851" t="s">
        <v>16182</v>
      </c>
      <c r="BN851">
        <v>23820800</v>
      </c>
      <c r="BO851" t="s">
        <v>74</v>
      </c>
      <c r="BP851" t="s">
        <v>74</v>
      </c>
      <c r="BQ851" t="s">
        <v>74</v>
      </c>
      <c r="BR851" t="s">
        <v>103</v>
      </c>
      <c r="BS851" t="s">
        <v>16215</v>
      </c>
      <c r="BT851" t="str">
        <f>HYPERLINK("https%3A%2F%2Fwww.webofscience.com%2Fwos%2Fwoscc%2Ffull-record%2FWOS:000323514400009","View Full Record in Web of Science")</f>
        <v>View Full Record in Web of Science</v>
      </c>
    </row>
    <row r="852" spans="1:72" x14ac:dyDescent="0.15">
      <c r="A852" t="s">
        <v>72</v>
      </c>
      <c r="B852" t="s">
        <v>16216</v>
      </c>
      <c r="C852" t="s">
        <v>74</v>
      </c>
      <c r="D852" t="s">
        <v>74</v>
      </c>
      <c r="E852" t="s">
        <v>74</v>
      </c>
      <c r="F852" t="s">
        <v>16217</v>
      </c>
      <c r="G852" t="s">
        <v>74</v>
      </c>
      <c r="H852" t="s">
        <v>74</v>
      </c>
      <c r="I852" t="s">
        <v>16218</v>
      </c>
      <c r="J852" t="s">
        <v>5459</v>
      </c>
      <c r="K852" t="s">
        <v>74</v>
      </c>
      <c r="L852" t="s">
        <v>74</v>
      </c>
      <c r="M852" t="s">
        <v>78</v>
      </c>
      <c r="N852" t="s">
        <v>79</v>
      </c>
      <c r="O852" t="s">
        <v>74</v>
      </c>
      <c r="P852" t="s">
        <v>74</v>
      </c>
      <c r="Q852" t="s">
        <v>74</v>
      </c>
      <c r="R852" t="s">
        <v>74</v>
      </c>
      <c r="S852" t="s">
        <v>74</v>
      </c>
      <c r="T852" t="s">
        <v>16219</v>
      </c>
      <c r="U852" t="s">
        <v>16220</v>
      </c>
      <c r="V852" t="s">
        <v>16221</v>
      </c>
      <c r="W852" t="s">
        <v>16222</v>
      </c>
      <c r="X852" t="s">
        <v>16223</v>
      </c>
      <c r="Y852" t="s">
        <v>16224</v>
      </c>
      <c r="Z852" t="s">
        <v>16225</v>
      </c>
      <c r="AA852" t="s">
        <v>16226</v>
      </c>
      <c r="AB852" t="s">
        <v>16227</v>
      </c>
      <c r="AC852" t="s">
        <v>16228</v>
      </c>
      <c r="AD852" t="s">
        <v>16229</v>
      </c>
      <c r="AE852" t="s">
        <v>16230</v>
      </c>
      <c r="AF852" t="s">
        <v>74</v>
      </c>
      <c r="AG852">
        <v>144</v>
      </c>
      <c r="AH852">
        <v>26</v>
      </c>
      <c r="AI852">
        <v>46</v>
      </c>
      <c r="AJ852">
        <v>1</v>
      </c>
      <c r="AK852">
        <v>56</v>
      </c>
      <c r="AL852" t="s">
        <v>304</v>
      </c>
      <c r="AM852" t="s">
        <v>305</v>
      </c>
      <c r="AN852" t="s">
        <v>306</v>
      </c>
      <c r="AO852" t="s">
        <v>5471</v>
      </c>
      <c r="AP852" t="s">
        <v>5472</v>
      </c>
      <c r="AQ852" t="s">
        <v>74</v>
      </c>
      <c r="AR852" t="s">
        <v>5473</v>
      </c>
      <c r="AS852" t="s">
        <v>5474</v>
      </c>
      <c r="AT852" t="s">
        <v>14663</v>
      </c>
      <c r="AU852">
        <v>2013</v>
      </c>
      <c r="AV852">
        <v>108</v>
      </c>
      <c r="AW852" t="s">
        <v>74</v>
      </c>
      <c r="AX852" t="s">
        <v>74</v>
      </c>
      <c r="AY852" t="s">
        <v>74</v>
      </c>
      <c r="AZ852" t="s">
        <v>74</v>
      </c>
      <c r="BA852" t="s">
        <v>74</v>
      </c>
      <c r="BB852">
        <v>100</v>
      </c>
      <c r="BC852">
        <v>118</v>
      </c>
      <c r="BD852" t="s">
        <v>74</v>
      </c>
      <c r="BE852" t="s">
        <v>16231</v>
      </c>
      <c r="BF852" t="str">
        <f>HYPERLINK("http://dx.doi.org/10.1016/j.gloplacha.2013.05.017","http://dx.doi.org/10.1016/j.gloplacha.2013.05.017")</f>
        <v>http://dx.doi.org/10.1016/j.gloplacha.2013.05.017</v>
      </c>
      <c r="BG852" t="s">
        <v>74</v>
      </c>
      <c r="BH852" t="s">
        <v>74</v>
      </c>
      <c r="BI852">
        <v>19</v>
      </c>
      <c r="BJ852" t="s">
        <v>98</v>
      </c>
      <c r="BK852" t="s">
        <v>99</v>
      </c>
      <c r="BL852" t="s">
        <v>100</v>
      </c>
      <c r="BM852" t="s">
        <v>16232</v>
      </c>
      <c r="BN852" t="s">
        <v>74</v>
      </c>
      <c r="BO852" t="s">
        <v>74</v>
      </c>
      <c r="BP852" t="s">
        <v>74</v>
      </c>
      <c r="BQ852" t="s">
        <v>74</v>
      </c>
      <c r="BR852" t="s">
        <v>103</v>
      </c>
      <c r="BS852" t="s">
        <v>16233</v>
      </c>
      <c r="BT852" t="str">
        <f>HYPERLINK("https%3A%2F%2Fwww.webofscience.com%2Fwos%2Fwoscc%2Ffull-record%2FWOS:000323470800008","View Full Record in Web of Science")</f>
        <v>View Full Record in Web of Science</v>
      </c>
    </row>
    <row r="853" spans="1:72" x14ac:dyDescent="0.15">
      <c r="A853" t="s">
        <v>72</v>
      </c>
      <c r="B853" t="s">
        <v>16234</v>
      </c>
      <c r="C853" t="s">
        <v>74</v>
      </c>
      <c r="D853" t="s">
        <v>74</v>
      </c>
      <c r="E853" t="s">
        <v>74</v>
      </c>
      <c r="F853" t="s">
        <v>16235</v>
      </c>
      <c r="G853" t="s">
        <v>74</v>
      </c>
      <c r="H853" t="s">
        <v>74</v>
      </c>
      <c r="I853" t="s">
        <v>16236</v>
      </c>
      <c r="J853" t="s">
        <v>2067</v>
      </c>
      <c r="K853" t="s">
        <v>74</v>
      </c>
      <c r="L853" t="s">
        <v>74</v>
      </c>
      <c r="M853" t="s">
        <v>78</v>
      </c>
      <c r="N853" t="s">
        <v>79</v>
      </c>
      <c r="O853" t="s">
        <v>74</v>
      </c>
      <c r="P853" t="s">
        <v>74</v>
      </c>
      <c r="Q853" t="s">
        <v>74</v>
      </c>
      <c r="R853" t="s">
        <v>74</v>
      </c>
      <c r="S853" t="s">
        <v>74</v>
      </c>
      <c r="T853" t="s">
        <v>16237</v>
      </c>
      <c r="U853" t="s">
        <v>16238</v>
      </c>
      <c r="V853" t="s">
        <v>16239</v>
      </c>
      <c r="W853" t="s">
        <v>16240</v>
      </c>
      <c r="X853" t="s">
        <v>16241</v>
      </c>
      <c r="Y853" t="s">
        <v>16242</v>
      </c>
      <c r="Z853" t="s">
        <v>16243</v>
      </c>
      <c r="AA853" t="s">
        <v>16244</v>
      </c>
      <c r="AB853" t="s">
        <v>16245</v>
      </c>
      <c r="AC853" t="s">
        <v>16246</v>
      </c>
      <c r="AD853" t="s">
        <v>16247</v>
      </c>
      <c r="AE853" t="s">
        <v>16248</v>
      </c>
      <c r="AF853" t="s">
        <v>74</v>
      </c>
      <c r="AG853">
        <v>28</v>
      </c>
      <c r="AH853">
        <v>16</v>
      </c>
      <c r="AI853">
        <v>17</v>
      </c>
      <c r="AJ853">
        <v>0</v>
      </c>
      <c r="AK853">
        <v>26</v>
      </c>
      <c r="AL853" t="s">
        <v>1495</v>
      </c>
      <c r="AM853" t="s">
        <v>1496</v>
      </c>
      <c r="AN853" t="s">
        <v>1497</v>
      </c>
      <c r="AO853" t="s">
        <v>2080</v>
      </c>
      <c r="AP853" t="s">
        <v>74</v>
      </c>
      <c r="AQ853" t="s">
        <v>74</v>
      </c>
      <c r="AR853" t="s">
        <v>2082</v>
      </c>
      <c r="AS853" t="s">
        <v>2083</v>
      </c>
      <c r="AT853" t="s">
        <v>14663</v>
      </c>
      <c r="AU853">
        <v>2013</v>
      </c>
      <c r="AV853">
        <v>43</v>
      </c>
      <c r="AW853">
        <v>9</v>
      </c>
      <c r="AX853" t="s">
        <v>74</v>
      </c>
      <c r="AY853" t="s">
        <v>74</v>
      </c>
      <c r="AZ853" t="s">
        <v>74</v>
      </c>
      <c r="BA853" t="s">
        <v>74</v>
      </c>
      <c r="BB853">
        <v>1899</v>
      </c>
      <c r="BC853">
        <v>1910</v>
      </c>
      <c r="BD853" t="s">
        <v>74</v>
      </c>
      <c r="BE853" t="s">
        <v>16249</v>
      </c>
      <c r="BF853" t="str">
        <f>HYPERLINK("http://dx.doi.org/10.1175/JPO-D-12-0223.1","http://dx.doi.org/10.1175/JPO-D-12-0223.1")</f>
        <v>http://dx.doi.org/10.1175/JPO-D-12-0223.1</v>
      </c>
      <c r="BG853" t="s">
        <v>74</v>
      </c>
      <c r="BH853" t="s">
        <v>74</v>
      </c>
      <c r="BI853">
        <v>12</v>
      </c>
      <c r="BJ853" t="s">
        <v>1613</v>
      </c>
      <c r="BK853" t="s">
        <v>99</v>
      </c>
      <c r="BL853" t="s">
        <v>1613</v>
      </c>
      <c r="BM853" t="s">
        <v>16250</v>
      </c>
      <c r="BN853" t="s">
        <v>74</v>
      </c>
      <c r="BO853" t="s">
        <v>1648</v>
      </c>
      <c r="BP853" t="s">
        <v>74</v>
      </c>
      <c r="BQ853" t="s">
        <v>74</v>
      </c>
      <c r="BR853" t="s">
        <v>103</v>
      </c>
      <c r="BS853" t="s">
        <v>16251</v>
      </c>
      <c r="BT853" t="str">
        <f>HYPERLINK("https%3A%2F%2Fwww.webofscience.com%2Fwos%2Fwoscc%2Ffull-record%2FWOS:000323891800004","View Full Record in Web of Science")</f>
        <v>View Full Record in Web of Science</v>
      </c>
    </row>
    <row r="854" spans="1:72" x14ac:dyDescent="0.15">
      <c r="A854" t="s">
        <v>72</v>
      </c>
      <c r="B854" t="s">
        <v>16252</v>
      </c>
      <c r="C854" t="s">
        <v>74</v>
      </c>
      <c r="D854" t="s">
        <v>74</v>
      </c>
      <c r="E854" t="s">
        <v>74</v>
      </c>
      <c r="F854" t="s">
        <v>16253</v>
      </c>
      <c r="G854" t="s">
        <v>74</v>
      </c>
      <c r="H854" t="s">
        <v>74</v>
      </c>
      <c r="I854" t="s">
        <v>16254</v>
      </c>
      <c r="J854" t="s">
        <v>2067</v>
      </c>
      <c r="K854" t="s">
        <v>74</v>
      </c>
      <c r="L854" t="s">
        <v>74</v>
      </c>
      <c r="M854" t="s">
        <v>78</v>
      </c>
      <c r="N854" t="s">
        <v>79</v>
      </c>
      <c r="O854" t="s">
        <v>74</v>
      </c>
      <c r="P854" t="s">
        <v>74</v>
      </c>
      <c r="Q854" t="s">
        <v>74</v>
      </c>
      <c r="R854" t="s">
        <v>74</v>
      </c>
      <c r="S854" t="s">
        <v>74</v>
      </c>
      <c r="T854" t="s">
        <v>16255</v>
      </c>
      <c r="U854" t="s">
        <v>16256</v>
      </c>
      <c r="V854" t="s">
        <v>16257</v>
      </c>
      <c r="W854" t="s">
        <v>16258</v>
      </c>
      <c r="X854" t="s">
        <v>16259</v>
      </c>
      <c r="Y854" t="s">
        <v>10425</v>
      </c>
      <c r="Z854" t="s">
        <v>10426</v>
      </c>
      <c r="AA854" t="s">
        <v>16260</v>
      </c>
      <c r="AB854" t="s">
        <v>16261</v>
      </c>
      <c r="AC854" t="s">
        <v>74</v>
      </c>
      <c r="AD854" t="s">
        <v>74</v>
      </c>
      <c r="AE854" t="s">
        <v>74</v>
      </c>
      <c r="AF854" t="s">
        <v>74</v>
      </c>
      <c r="AG854">
        <v>84</v>
      </c>
      <c r="AH854">
        <v>6</v>
      </c>
      <c r="AI854">
        <v>6</v>
      </c>
      <c r="AJ854">
        <v>0</v>
      </c>
      <c r="AK854">
        <v>28</v>
      </c>
      <c r="AL854" t="s">
        <v>1495</v>
      </c>
      <c r="AM854" t="s">
        <v>1496</v>
      </c>
      <c r="AN854" t="s">
        <v>1497</v>
      </c>
      <c r="AO854" t="s">
        <v>2080</v>
      </c>
      <c r="AP854" t="s">
        <v>2081</v>
      </c>
      <c r="AQ854" t="s">
        <v>74</v>
      </c>
      <c r="AR854" t="s">
        <v>2082</v>
      </c>
      <c r="AS854" t="s">
        <v>2083</v>
      </c>
      <c r="AT854" t="s">
        <v>14663</v>
      </c>
      <c r="AU854">
        <v>2013</v>
      </c>
      <c r="AV854">
        <v>43</v>
      </c>
      <c r="AW854">
        <v>9</v>
      </c>
      <c r="AX854" t="s">
        <v>74</v>
      </c>
      <c r="AY854" t="s">
        <v>74</v>
      </c>
      <c r="AZ854" t="s">
        <v>74</v>
      </c>
      <c r="BA854" t="s">
        <v>74</v>
      </c>
      <c r="BB854">
        <v>1981</v>
      </c>
      <c r="BC854">
        <v>2007</v>
      </c>
      <c r="BD854" t="s">
        <v>74</v>
      </c>
      <c r="BE854" t="s">
        <v>16262</v>
      </c>
      <c r="BF854" t="str">
        <f>HYPERLINK("http://dx.doi.org/10.1175/JPO-D-12-0209.1","http://dx.doi.org/10.1175/JPO-D-12-0209.1")</f>
        <v>http://dx.doi.org/10.1175/JPO-D-12-0209.1</v>
      </c>
      <c r="BG854" t="s">
        <v>74</v>
      </c>
      <c r="BH854" t="s">
        <v>74</v>
      </c>
      <c r="BI854">
        <v>27</v>
      </c>
      <c r="BJ854" t="s">
        <v>1613</v>
      </c>
      <c r="BK854" t="s">
        <v>99</v>
      </c>
      <c r="BL854" t="s">
        <v>1613</v>
      </c>
      <c r="BM854" t="s">
        <v>16250</v>
      </c>
      <c r="BN854" t="s">
        <v>74</v>
      </c>
      <c r="BO854" t="s">
        <v>475</v>
      </c>
      <c r="BP854" t="s">
        <v>74</v>
      </c>
      <c r="BQ854" t="s">
        <v>74</v>
      </c>
      <c r="BR854" t="s">
        <v>103</v>
      </c>
      <c r="BS854" t="s">
        <v>16263</v>
      </c>
      <c r="BT854" t="str">
        <f>HYPERLINK("https%3A%2F%2Fwww.webofscience.com%2Fwos%2Fwoscc%2Ffull-record%2FWOS:000323891800009","View Full Record in Web of Science")</f>
        <v>View Full Record in Web of Science</v>
      </c>
    </row>
    <row r="855" spans="1:72" x14ac:dyDescent="0.15">
      <c r="A855" t="s">
        <v>72</v>
      </c>
      <c r="B855" t="s">
        <v>16264</v>
      </c>
      <c r="C855" t="s">
        <v>74</v>
      </c>
      <c r="D855" t="s">
        <v>74</v>
      </c>
      <c r="E855" t="s">
        <v>74</v>
      </c>
      <c r="F855" t="s">
        <v>16265</v>
      </c>
      <c r="G855" t="s">
        <v>74</v>
      </c>
      <c r="H855" t="s">
        <v>74</v>
      </c>
      <c r="I855" t="s">
        <v>16266</v>
      </c>
      <c r="J855" t="s">
        <v>5029</v>
      </c>
      <c r="K855" t="s">
        <v>74</v>
      </c>
      <c r="L855" t="s">
        <v>74</v>
      </c>
      <c r="M855" t="s">
        <v>78</v>
      </c>
      <c r="N855" t="s">
        <v>79</v>
      </c>
      <c r="O855" t="s">
        <v>74</v>
      </c>
      <c r="P855" t="s">
        <v>74</v>
      </c>
      <c r="Q855" t="s">
        <v>74</v>
      </c>
      <c r="R855" t="s">
        <v>74</v>
      </c>
      <c r="S855" t="s">
        <v>74</v>
      </c>
      <c r="T855" t="s">
        <v>16267</v>
      </c>
      <c r="U855" t="s">
        <v>16268</v>
      </c>
      <c r="V855" t="s">
        <v>16269</v>
      </c>
      <c r="W855" t="s">
        <v>16270</v>
      </c>
      <c r="X855" t="s">
        <v>16271</v>
      </c>
      <c r="Y855" t="s">
        <v>16272</v>
      </c>
      <c r="Z855" t="s">
        <v>16273</v>
      </c>
      <c r="AA855" t="s">
        <v>16274</v>
      </c>
      <c r="AB855" t="s">
        <v>16275</v>
      </c>
      <c r="AC855" t="s">
        <v>16276</v>
      </c>
      <c r="AD855" t="s">
        <v>16277</v>
      </c>
      <c r="AE855" t="s">
        <v>16278</v>
      </c>
      <c r="AF855" t="s">
        <v>74</v>
      </c>
      <c r="AG855">
        <v>60</v>
      </c>
      <c r="AH855">
        <v>25</v>
      </c>
      <c r="AI855">
        <v>25</v>
      </c>
      <c r="AJ855">
        <v>0</v>
      </c>
      <c r="AK855">
        <v>19</v>
      </c>
      <c r="AL855" t="s">
        <v>1495</v>
      </c>
      <c r="AM855" t="s">
        <v>1496</v>
      </c>
      <c r="AN855" t="s">
        <v>1497</v>
      </c>
      <c r="AO855" t="s">
        <v>5041</v>
      </c>
      <c r="AP855" t="s">
        <v>5042</v>
      </c>
      <c r="AQ855" t="s">
        <v>74</v>
      </c>
      <c r="AR855" t="s">
        <v>5043</v>
      </c>
      <c r="AS855" t="s">
        <v>5044</v>
      </c>
      <c r="AT855" t="s">
        <v>14663</v>
      </c>
      <c r="AU855">
        <v>2013</v>
      </c>
      <c r="AV855">
        <v>70</v>
      </c>
      <c r="AW855">
        <v>9</v>
      </c>
      <c r="AX855" t="s">
        <v>74</v>
      </c>
      <c r="AY855" t="s">
        <v>74</v>
      </c>
      <c r="AZ855" t="s">
        <v>74</v>
      </c>
      <c r="BA855" t="s">
        <v>74</v>
      </c>
      <c r="BB855">
        <v>2982</v>
      </c>
      <c r="BC855">
        <v>3001</v>
      </c>
      <c r="BD855" t="s">
        <v>74</v>
      </c>
      <c r="BE855" t="s">
        <v>16279</v>
      </c>
      <c r="BF855" t="str">
        <f>HYPERLINK("http://dx.doi.org/10.1175/JAS-D-12-0274.1","http://dx.doi.org/10.1175/JAS-D-12-0274.1")</f>
        <v>http://dx.doi.org/10.1175/JAS-D-12-0274.1</v>
      </c>
      <c r="BG855" t="s">
        <v>74</v>
      </c>
      <c r="BH855" t="s">
        <v>74</v>
      </c>
      <c r="BI855">
        <v>20</v>
      </c>
      <c r="BJ855" t="s">
        <v>1503</v>
      </c>
      <c r="BK855" t="s">
        <v>99</v>
      </c>
      <c r="BL855" t="s">
        <v>1503</v>
      </c>
      <c r="BM855" t="s">
        <v>16280</v>
      </c>
      <c r="BN855" t="s">
        <v>74</v>
      </c>
      <c r="BO855" t="s">
        <v>524</v>
      </c>
      <c r="BP855" t="s">
        <v>74</v>
      </c>
      <c r="BQ855" t="s">
        <v>74</v>
      </c>
      <c r="BR855" t="s">
        <v>103</v>
      </c>
      <c r="BS855" t="s">
        <v>16281</v>
      </c>
      <c r="BT855" t="str">
        <f>HYPERLINK("https%3A%2F%2Fwww.webofscience.com%2Fwos%2Fwoscc%2Ffull-record%2FWOS:000323890400018","View Full Record in Web of Science")</f>
        <v>View Full Record in Web of Science</v>
      </c>
    </row>
    <row r="856" spans="1:72" x14ac:dyDescent="0.15">
      <c r="A856" t="s">
        <v>72</v>
      </c>
      <c r="B856" t="s">
        <v>16282</v>
      </c>
      <c r="C856" t="s">
        <v>74</v>
      </c>
      <c r="D856" t="s">
        <v>74</v>
      </c>
      <c r="E856" t="s">
        <v>74</v>
      </c>
      <c r="F856" t="s">
        <v>16283</v>
      </c>
      <c r="G856" t="s">
        <v>74</v>
      </c>
      <c r="H856" t="s">
        <v>74</v>
      </c>
      <c r="I856" t="s">
        <v>16284</v>
      </c>
      <c r="J856" t="s">
        <v>16285</v>
      </c>
      <c r="K856" t="s">
        <v>74</v>
      </c>
      <c r="L856" t="s">
        <v>74</v>
      </c>
      <c r="M856" t="s">
        <v>78</v>
      </c>
      <c r="N856" t="s">
        <v>213</v>
      </c>
      <c r="O856" t="s">
        <v>74</v>
      </c>
      <c r="P856" t="s">
        <v>74</v>
      </c>
      <c r="Q856" t="s">
        <v>74</v>
      </c>
      <c r="R856" t="s">
        <v>74</v>
      </c>
      <c r="S856" t="s">
        <v>74</v>
      </c>
      <c r="T856" t="s">
        <v>16286</v>
      </c>
      <c r="U856" t="s">
        <v>16287</v>
      </c>
      <c r="V856" t="s">
        <v>16288</v>
      </c>
      <c r="W856" t="s">
        <v>16289</v>
      </c>
      <c r="X856" t="s">
        <v>16290</v>
      </c>
      <c r="Y856" t="s">
        <v>16291</v>
      </c>
      <c r="Z856" t="s">
        <v>16292</v>
      </c>
      <c r="AA856" t="s">
        <v>16293</v>
      </c>
      <c r="AB856" t="s">
        <v>16294</v>
      </c>
      <c r="AC856" t="s">
        <v>74</v>
      </c>
      <c r="AD856" t="s">
        <v>74</v>
      </c>
      <c r="AE856" t="s">
        <v>74</v>
      </c>
      <c r="AF856" t="s">
        <v>74</v>
      </c>
      <c r="AG856">
        <v>77</v>
      </c>
      <c r="AH856">
        <v>1</v>
      </c>
      <c r="AI856">
        <v>1</v>
      </c>
      <c r="AJ856">
        <v>0</v>
      </c>
      <c r="AK856">
        <v>22</v>
      </c>
      <c r="AL856" t="s">
        <v>276</v>
      </c>
      <c r="AM856" t="s">
        <v>277</v>
      </c>
      <c r="AN856" t="s">
        <v>278</v>
      </c>
      <c r="AO856" t="s">
        <v>16295</v>
      </c>
      <c r="AP856" t="s">
        <v>74</v>
      </c>
      <c r="AQ856" t="s">
        <v>74</v>
      </c>
      <c r="AR856" t="s">
        <v>16296</v>
      </c>
      <c r="AS856" t="s">
        <v>16297</v>
      </c>
      <c r="AT856" t="s">
        <v>14858</v>
      </c>
      <c r="AU856">
        <v>2013</v>
      </c>
      <c r="AV856">
        <v>47</v>
      </c>
      <c r="AW856">
        <v>3</v>
      </c>
      <c r="AX856" t="s">
        <v>74</v>
      </c>
      <c r="AY856" t="s">
        <v>74</v>
      </c>
      <c r="AZ856" t="s">
        <v>283</v>
      </c>
      <c r="BA856" t="s">
        <v>74</v>
      </c>
      <c r="BB856">
        <v>409</v>
      </c>
      <c r="BC856">
        <v>425</v>
      </c>
      <c r="BD856" t="s">
        <v>74</v>
      </c>
      <c r="BE856" t="s">
        <v>16298</v>
      </c>
      <c r="BF856" t="str">
        <f>HYPERLINK("http://dx.doi.org/10.1080/00288330.2013.803985","http://dx.doi.org/10.1080/00288330.2013.803985")</f>
        <v>http://dx.doi.org/10.1080/00288330.2013.803985</v>
      </c>
      <c r="BG856" t="s">
        <v>74</v>
      </c>
      <c r="BH856" t="s">
        <v>74</v>
      </c>
      <c r="BI856">
        <v>17</v>
      </c>
      <c r="BJ856" t="s">
        <v>10142</v>
      </c>
      <c r="BK856" t="s">
        <v>99</v>
      </c>
      <c r="BL856" t="s">
        <v>10142</v>
      </c>
      <c r="BM856" t="s">
        <v>16299</v>
      </c>
      <c r="BN856" t="s">
        <v>74</v>
      </c>
      <c r="BO856" t="s">
        <v>475</v>
      </c>
      <c r="BP856" t="s">
        <v>74</v>
      </c>
      <c r="BQ856" t="s">
        <v>74</v>
      </c>
      <c r="BR856" t="s">
        <v>103</v>
      </c>
      <c r="BS856" t="s">
        <v>16300</v>
      </c>
      <c r="BT856" t="str">
        <f>HYPERLINK("https%3A%2F%2Fwww.webofscience.com%2Fwos%2Fwoscc%2Ffull-record%2FWOS:000323144400009","View Full Record in Web of Science")</f>
        <v>View Full Record in Web of Science</v>
      </c>
    </row>
    <row r="857" spans="1:72" x14ac:dyDescent="0.15">
      <c r="A857" t="s">
        <v>72</v>
      </c>
      <c r="B857" t="s">
        <v>16301</v>
      </c>
      <c r="C857" t="s">
        <v>74</v>
      </c>
      <c r="D857" t="s">
        <v>74</v>
      </c>
      <c r="E857" t="s">
        <v>74</v>
      </c>
      <c r="F857" t="s">
        <v>16302</v>
      </c>
      <c r="G857" t="s">
        <v>74</v>
      </c>
      <c r="H857" t="s">
        <v>74</v>
      </c>
      <c r="I857" t="s">
        <v>16303</v>
      </c>
      <c r="J857" t="s">
        <v>8477</v>
      </c>
      <c r="K857" t="s">
        <v>74</v>
      </c>
      <c r="L857" t="s">
        <v>74</v>
      </c>
      <c r="M857" t="s">
        <v>78</v>
      </c>
      <c r="N857" t="s">
        <v>79</v>
      </c>
      <c r="O857" t="s">
        <v>74</v>
      </c>
      <c r="P857" t="s">
        <v>74</v>
      </c>
      <c r="Q857" t="s">
        <v>74</v>
      </c>
      <c r="R857" t="s">
        <v>74</v>
      </c>
      <c r="S857" t="s">
        <v>74</v>
      </c>
      <c r="T857" t="s">
        <v>74</v>
      </c>
      <c r="U857" t="s">
        <v>16304</v>
      </c>
      <c r="V857" t="s">
        <v>16305</v>
      </c>
      <c r="W857" t="s">
        <v>16306</v>
      </c>
      <c r="X857" t="s">
        <v>16307</v>
      </c>
      <c r="Y857" t="s">
        <v>16308</v>
      </c>
      <c r="Z857" t="s">
        <v>16309</v>
      </c>
      <c r="AA857" t="s">
        <v>16310</v>
      </c>
      <c r="AB857" t="s">
        <v>16311</v>
      </c>
      <c r="AC857" t="s">
        <v>16312</v>
      </c>
      <c r="AD857" t="s">
        <v>16312</v>
      </c>
      <c r="AE857" t="s">
        <v>16313</v>
      </c>
      <c r="AF857" t="s">
        <v>74</v>
      </c>
      <c r="AG857">
        <v>9</v>
      </c>
      <c r="AH857">
        <v>6</v>
      </c>
      <c r="AI857">
        <v>7</v>
      </c>
      <c r="AJ857">
        <v>0</v>
      </c>
      <c r="AK857">
        <v>6</v>
      </c>
      <c r="AL857" t="s">
        <v>5115</v>
      </c>
      <c r="AM857" t="s">
        <v>5116</v>
      </c>
      <c r="AN857" t="s">
        <v>5117</v>
      </c>
      <c r="AO857" t="s">
        <v>8489</v>
      </c>
      <c r="AP857" t="s">
        <v>8490</v>
      </c>
      <c r="AQ857" t="s">
        <v>74</v>
      </c>
      <c r="AR857" t="s">
        <v>8491</v>
      </c>
      <c r="AS857" t="s">
        <v>8492</v>
      </c>
      <c r="AT857" t="s">
        <v>14858</v>
      </c>
      <c r="AU857">
        <v>2013</v>
      </c>
      <c r="AV857">
        <v>86</v>
      </c>
      <c r="AW857">
        <v>5</v>
      </c>
      <c r="AX857" t="s">
        <v>74</v>
      </c>
      <c r="AY857" t="s">
        <v>74</v>
      </c>
      <c r="AZ857" t="s">
        <v>74</v>
      </c>
      <c r="BA857" t="s">
        <v>74</v>
      </c>
      <c r="BB857">
        <v>588</v>
      </c>
      <c r="BC857">
        <v>592</v>
      </c>
      <c r="BD857" t="s">
        <v>74</v>
      </c>
      <c r="BE857" t="s">
        <v>16314</v>
      </c>
      <c r="BF857" t="str">
        <f>HYPERLINK("http://dx.doi.org/10.1086/671800","http://dx.doi.org/10.1086/671800")</f>
        <v>http://dx.doi.org/10.1086/671800</v>
      </c>
      <c r="BG857" t="s">
        <v>74</v>
      </c>
      <c r="BH857" t="s">
        <v>74</v>
      </c>
      <c r="BI857">
        <v>5</v>
      </c>
      <c r="BJ857" t="s">
        <v>6186</v>
      </c>
      <c r="BK857" t="s">
        <v>99</v>
      </c>
      <c r="BL857" t="s">
        <v>6186</v>
      </c>
      <c r="BM857" t="s">
        <v>16315</v>
      </c>
      <c r="BN857">
        <v>23995489</v>
      </c>
      <c r="BO857" t="s">
        <v>74</v>
      </c>
      <c r="BP857" t="s">
        <v>74</v>
      </c>
      <c r="BQ857" t="s">
        <v>74</v>
      </c>
      <c r="BR857" t="s">
        <v>103</v>
      </c>
      <c r="BS857" t="s">
        <v>16316</v>
      </c>
      <c r="BT857" t="str">
        <f>HYPERLINK("https%3A%2F%2Fwww.webofscience.com%2Fwos%2Fwoscc%2Ffull-record%2FWOS:000323702700010","View Full Record in Web of Science")</f>
        <v>View Full Record in Web of Science</v>
      </c>
    </row>
    <row r="858" spans="1:72" x14ac:dyDescent="0.15">
      <c r="A858" t="s">
        <v>72</v>
      </c>
      <c r="B858" t="s">
        <v>16317</v>
      </c>
      <c r="C858" t="s">
        <v>74</v>
      </c>
      <c r="D858" t="s">
        <v>74</v>
      </c>
      <c r="E858" t="s">
        <v>74</v>
      </c>
      <c r="F858" t="s">
        <v>16318</v>
      </c>
      <c r="G858" t="s">
        <v>74</v>
      </c>
      <c r="H858" t="s">
        <v>74</v>
      </c>
      <c r="I858" t="s">
        <v>16319</v>
      </c>
      <c r="J858" t="s">
        <v>3405</v>
      </c>
      <c r="K858" t="s">
        <v>74</v>
      </c>
      <c r="L858" t="s">
        <v>74</v>
      </c>
      <c r="M858" t="s">
        <v>78</v>
      </c>
      <c r="N858" t="s">
        <v>79</v>
      </c>
      <c r="O858" t="s">
        <v>74</v>
      </c>
      <c r="P858" t="s">
        <v>74</v>
      </c>
      <c r="Q858" t="s">
        <v>74</v>
      </c>
      <c r="R858" t="s">
        <v>74</v>
      </c>
      <c r="S858" t="s">
        <v>74</v>
      </c>
      <c r="T858" t="s">
        <v>16320</v>
      </c>
      <c r="U858" t="s">
        <v>16321</v>
      </c>
      <c r="V858" t="s">
        <v>16322</v>
      </c>
      <c r="W858" t="s">
        <v>16323</v>
      </c>
      <c r="X858" t="s">
        <v>16324</v>
      </c>
      <c r="Y858" t="s">
        <v>16325</v>
      </c>
      <c r="Z858" t="s">
        <v>16326</v>
      </c>
      <c r="AA858" t="s">
        <v>74</v>
      </c>
      <c r="AB858" t="s">
        <v>74</v>
      </c>
      <c r="AC858" t="s">
        <v>16327</v>
      </c>
      <c r="AD858" t="s">
        <v>16328</v>
      </c>
      <c r="AE858" t="s">
        <v>16329</v>
      </c>
      <c r="AF858" t="s">
        <v>74</v>
      </c>
      <c r="AG858">
        <v>49</v>
      </c>
      <c r="AH858">
        <v>6</v>
      </c>
      <c r="AI858">
        <v>6</v>
      </c>
      <c r="AJ858">
        <v>0</v>
      </c>
      <c r="AK858">
        <v>64</v>
      </c>
      <c r="AL858" t="s">
        <v>872</v>
      </c>
      <c r="AM858" t="s">
        <v>252</v>
      </c>
      <c r="AN858" t="s">
        <v>873</v>
      </c>
      <c r="AO858" t="s">
        <v>3416</v>
      </c>
      <c r="AP858" t="s">
        <v>74</v>
      </c>
      <c r="AQ858" t="s">
        <v>74</v>
      </c>
      <c r="AR858" t="s">
        <v>3417</v>
      </c>
      <c r="AS858" t="s">
        <v>3418</v>
      </c>
      <c r="AT858" t="s">
        <v>14858</v>
      </c>
      <c r="AU858">
        <v>2013</v>
      </c>
      <c r="AV858">
        <v>75</v>
      </c>
      <c r="AW858" t="s">
        <v>74</v>
      </c>
      <c r="AX858" t="s">
        <v>74</v>
      </c>
      <c r="AY858" t="s">
        <v>74</v>
      </c>
      <c r="AZ858" t="s">
        <v>74</v>
      </c>
      <c r="BA858" t="s">
        <v>74</v>
      </c>
      <c r="BB858">
        <v>114</v>
      </c>
      <c r="BC858">
        <v>131</v>
      </c>
      <c r="BD858" t="s">
        <v>74</v>
      </c>
      <c r="BE858" t="s">
        <v>16330</v>
      </c>
      <c r="BF858" t="str">
        <f>HYPERLINK("http://dx.doi.org/10.1016/j.quascirev.2013.06.010","http://dx.doi.org/10.1016/j.quascirev.2013.06.010")</f>
        <v>http://dx.doi.org/10.1016/j.quascirev.2013.06.010</v>
      </c>
      <c r="BG858" t="s">
        <v>74</v>
      </c>
      <c r="BH858" t="s">
        <v>74</v>
      </c>
      <c r="BI858">
        <v>18</v>
      </c>
      <c r="BJ858" t="s">
        <v>98</v>
      </c>
      <c r="BK858" t="s">
        <v>99</v>
      </c>
      <c r="BL858" t="s">
        <v>100</v>
      </c>
      <c r="BM858" t="s">
        <v>16331</v>
      </c>
      <c r="BN858" t="s">
        <v>74</v>
      </c>
      <c r="BO858" t="s">
        <v>74</v>
      </c>
      <c r="BP858" t="s">
        <v>74</v>
      </c>
      <c r="BQ858" t="s">
        <v>74</v>
      </c>
      <c r="BR858" t="s">
        <v>103</v>
      </c>
      <c r="BS858" t="s">
        <v>16332</v>
      </c>
      <c r="BT858" t="str">
        <f>HYPERLINK("https%3A%2F%2Fwww.webofscience.com%2Fwos%2Fwoscc%2Ffull-record%2FWOS:000323469700008","View Full Record in Web of Science")</f>
        <v>View Full Record in Web of Science</v>
      </c>
    </row>
    <row r="859" spans="1:72" x14ac:dyDescent="0.15">
      <c r="A859" t="s">
        <v>72</v>
      </c>
      <c r="B859" t="s">
        <v>16333</v>
      </c>
      <c r="C859" t="s">
        <v>74</v>
      </c>
      <c r="D859" t="s">
        <v>74</v>
      </c>
      <c r="E859" t="s">
        <v>74</v>
      </c>
      <c r="F859" t="s">
        <v>16334</v>
      </c>
      <c r="G859" t="s">
        <v>74</v>
      </c>
      <c r="H859" t="s">
        <v>74</v>
      </c>
      <c r="I859" t="s">
        <v>16335</v>
      </c>
      <c r="J859" t="s">
        <v>16336</v>
      </c>
      <c r="K859" t="s">
        <v>74</v>
      </c>
      <c r="L859" t="s">
        <v>74</v>
      </c>
      <c r="M859" t="s">
        <v>78</v>
      </c>
      <c r="N859" t="s">
        <v>79</v>
      </c>
      <c r="O859" t="s">
        <v>74</v>
      </c>
      <c r="P859" t="s">
        <v>74</v>
      </c>
      <c r="Q859" t="s">
        <v>74</v>
      </c>
      <c r="R859" t="s">
        <v>74</v>
      </c>
      <c r="S859" t="s">
        <v>74</v>
      </c>
      <c r="T859" t="s">
        <v>16337</v>
      </c>
      <c r="U859" t="s">
        <v>16338</v>
      </c>
      <c r="V859" t="s">
        <v>16339</v>
      </c>
      <c r="W859" t="s">
        <v>16340</v>
      </c>
      <c r="X859" t="s">
        <v>16341</v>
      </c>
      <c r="Y859" t="s">
        <v>16342</v>
      </c>
      <c r="Z859" t="s">
        <v>16343</v>
      </c>
      <c r="AA859" t="s">
        <v>16344</v>
      </c>
      <c r="AB859" t="s">
        <v>16345</v>
      </c>
      <c r="AC859" t="s">
        <v>16346</v>
      </c>
      <c r="AD859" t="s">
        <v>16347</v>
      </c>
      <c r="AE859" t="s">
        <v>16348</v>
      </c>
      <c r="AF859" t="s">
        <v>74</v>
      </c>
      <c r="AG859">
        <v>30</v>
      </c>
      <c r="AH859">
        <v>1</v>
      </c>
      <c r="AI859">
        <v>1</v>
      </c>
      <c r="AJ859">
        <v>0</v>
      </c>
      <c r="AK859">
        <v>13</v>
      </c>
      <c r="AL859" t="s">
        <v>9182</v>
      </c>
      <c r="AM859" t="s">
        <v>9183</v>
      </c>
      <c r="AN859" t="s">
        <v>9184</v>
      </c>
      <c r="AO859" t="s">
        <v>16349</v>
      </c>
      <c r="AP859" t="s">
        <v>74</v>
      </c>
      <c r="AQ859" t="s">
        <v>74</v>
      </c>
      <c r="AR859" t="s">
        <v>16350</v>
      </c>
      <c r="AS859" t="s">
        <v>16351</v>
      </c>
      <c r="AT859" t="s">
        <v>14663</v>
      </c>
      <c r="AU859">
        <v>2013</v>
      </c>
      <c r="AV859">
        <v>56</v>
      </c>
      <c r="AW859">
        <v>9</v>
      </c>
      <c r="AX859" t="s">
        <v>74</v>
      </c>
      <c r="AY859" t="s">
        <v>74</v>
      </c>
      <c r="AZ859" t="s">
        <v>74</v>
      </c>
      <c r="BA859" t="s">
        <v>74</v>
      </c>
      <c r="BB859">
        <v>1588</v>
      </c>
      <c r="BC859">
        <v>1598</v>
      </c>
      <c r="BD859" t="s">
        <v>74</v>
      </c>
      <c r="BE859" t="s">
        <v>16352</v>
      </c>
      <c r="BF859" t="str">
        <f>HYPERLINK("http://dx.doi.org/10.1007/s11430-012-4571-4","http://dx.doi.org/10.1007/s11430-012-4571-4")</f>
        <v>http://dx.doi.org/10.1007/s11430-012-4571-4</v>
      </c>
      <c r="BG859" t="s">
        <v>74</v>
      </c>
      <c r="BH859" t="s">
        <v>74</v>
      </c>
      <c r="BI859">
        <v>11</v>
      </c>
      <c r="BJ859" t="s">
        <v>337</v>
      </c>
      <c r="BK859" t="s">
        <v>99</v>
      </c>
      <c r="BL859" t="s">
        <v>338</v>
      </c>
      <c r="BM859" t="s">
        <v>16353</v>
      </c>
      <c r="BN859" t="s">
        <v>74</v>
      </c>
      <c r="BO859" t="s">
        <v>74</v>
      </c>
      <c r="BP859" t="s">
        <v>74</v>
      </c>
      <c r="BQ859" t="s">
        <v>74</v>
      </c>
      <c r="BR859" t="s">
        <v>103</v>
      </c>
      <c r="BS859" t="s">
        <v>16354</v>
      </c>
      <c r="BT859" t="str">
        <f>HYPERLINK("https%3A%2F%2Fwww.webofscience.com%2Fwos%2Fwoscc%2Ffull-record%2FWOS:000323746500013","View Full Record in Web of Science")</f>
        <v>View Full Record in Web of Science</v>
      </c>
    </row>
    <row r="860" spans="1:72" x14ac:dyDescent="0.15">
      <c r="A860" t="s">
        <v>72</v>
      </c>
      <c r="B860" t="s">
        <v>16355</v>
      </c>
      <c r="C860" t="s">
        <v>74</v>
      </c>
      <c r="D860" t="s">
        <v>74</v>
      </c>
      <c r="E860" t="s">
        <v>74</v>
      </c>
      <c r="F860" t="s">
        <v>16356</v>
      </c>
      <c r="G860" t="s">
        <v>74</v>
      </c>
      <c r="H860" t="s">
        <v>74</v>
      </c>
      <c r="I860" t="s">
        <v>16357</v>
      </c>
      <c r="J860" t="s">
        <v>16358</v>
      </c>
      <c r="K860" t="s">
        <v>74</v>
      </c>
      <c r="L860" t="s">
        <v>74</v>
      </c>
      <c r="M860" t="s">
        <v>78</v>
      </c>
      <c r="N860" t="s">
        <v>79</v>
      </c>
      <c r="O860" t="s">
        <v>74</v>
      </c>
      <c r="P860" t="s">
        <v>74</v>
      </c>
      <c r="Q860" t="s">
        <v>74</v>
      </c>
      <c r="R860" t="s">
        <v>74</v>
      </c>
      <c r="S860" t="s">
        <v>74</v>
      </c>
      <c r="T860" t="s">
        <v>74</v>
      </c>
      <c r="U860" t="s">
        <v>16359</v>
      </c>
      <c r="V860" t="s">
        <v>16360</v>
      </c>
      <c r="W860" t="s">
        <v>16361</v>
      </c>
      <c r="X860" t="s">
        <v>16362</v>
      </c>
      <c r="Y860" t="s">
        <v>16363</v>
      </c>
      <c r="Z860" t="s">
        <v>16364</v>
      </c>
      <c r="AA860" t="s">
        <v>16365</v>
      </c>
      <c r="AB860" t="s">
        <v>16366</v>
      </c>
      <c r="AC860" t="s">
        <v>16367</v>
      </c>
      <c r="AD860" t="s">
        <v>16368</v>
      </c>
      <c r="AE860" t="s">
        <v>16369</v>
      </c>
      <c r="AF860" t="s">
        <v>74</v>
      </c>
      <c r="AG860">
        <v>68</v>
      </c>
      <c r="AH860">
        <v>22</v>
      </c>
      <c r="AI860">
        <v>27</v>
      </c>
      <c r="AJ860">
        <v>3</v>
      </c>
      <c r="AK860">
        <v>63</v>
      </c>
      <c r="AL860" t="s">
        <v>807</v>
      </c>
      <c r="AM860" t="s">
        <v>808</v>
      </c>
      <c r="AN860" t="s">
        <v>809</v>
      </c>
      <c r="AO860" t="s">
        <v>16370</v>
      </c>
      <c r="AP860" t="s">
        <v>16371</v>
      </c>
      <c r="AQ860" t="s">
        <v>74</v>
      </c>
      <c r="AR860" t="s">
        <v>16372</v>
      </c>
      <c r="AS860" t="s">
        <v>16373</v>
      </c>
      <c r="AT860" t="s">
        <v>14663</v>
      </c>
      <c r="AU860">
        <v>2013</v>
      </c>
      <c r="AV860">
        <v>79</v>
      </c>
      <c r="AW860">
        <v>18</v>
      </c>
      <c r="AX860" t="s">
        <v>74</v>
      </c>
      <c r="AY860" t="s">
        <v>74</v>
      </c>
      <c r="AZ860" t="s">
        <v>74</v>
      </c>
      <c r="BA860" t="s">
        <v>74</v>
      </c>
      <c r="BB860">
        <v>5450</v>
      </c>
      <c r="BC860">
        <v>5457</v>
      </c>
      <c r="BD860" t="s">
        <v>74</v>
      </c>
      <c r="BE860" t="s">
        <v>16374</v>
      </c>
      <c r="BF860" t="str">
        <f>HYPERLINK("http://dx.doi.org/10.1128/AEM.00268-13","http://dx.doi.org/10.1128/AEM.00268-13")</f>
        <v>http://dx.doi.org/10.1128/AEM.00268-13</v>
      </c>
      <c r="BG860" t="s">
        <v>74</v>
      </c>
      <c r="BH860" t="s">
        <v>74</v>
      </c>
      <c r="BI860">
        <v>8</v>
      </c>
      <c r="BJ860" t="s">
        <v>14720</v>
      </c>
      <c r="BK860" t="s">
        <v>99</v>
      </c>
      <c r="BL860" t="s">
        <v>14720</v>
      </c>
      <c r="BM860" t="s">
        <v>16375</v>
      </c>
      <c r="BN860">
        <v>23793630</v>
      </c>
      <c r="BO860" t="s">
        <v>1381</v>
      </c>
      <c r="BP860" t="s">
        <v>74</v>
      </c>
      <c r="BQ860" t="s">
        <v>74</v>
      </c>
      <c r="BR860" t="s">
        <v>103</v>
      </c>
      <c r="BS860" t="s">
        <v>16376</v>
      </c>
      <c r="BT860" t="str">
        <f>HYPERLINK("https%3A%2F%2Fwww.webofscience.com%2Fwos%2Fwoscc%2Ffull-record%2FWOS:000323421900003","View Full Record in Web of Science")</f>
        <v>View Full Record in Web of Science</v>
      </c>
    </row>
    <row r="861" spans="1:72" x14ac:dyDescent="0.15">
      <c r="A861" t="s">
        <v>72</v>
      </c>
      <c r="B861" t="s">
        <v>16377</v>
      </c>
      <c r="C861" t="s">
        <v>74</v>
      </c>
      <c r="D861" t="s">
        <v>74</v>
      </c>
      <c r="E861" t="s">
        <v>74</v>
      </c>
      <c r="F861" t="s">
        <v>16378</v>
      </c>
      <c r="G861" t="s">
        <v>74</v>
      </c>
      <c r="H861" t="s">
        <v>74</v>
      </c>
      <c r="I861" t="s">
        <v>16379</v>
      </c>
      <c r="J861" t="s">
        <v>1484</v>
      </c>
      <c r="K861" t="s">
        <v>74</v>
      </c>
      <c r="L861" t="s">
        <v>74</v>
      </c>
      <c r="M861" t="s">
        <v>78</v>
      </c>
      <c r="N861" t="s">
        <v>79</v>
      </c>
      <c r="O861" t="s">
        <v>74</v>
      </c>
      <c r="P861" t="s">
        <v>74</v>
      </c>
      <c r="Q861" t="s">
        <v>74</v>
      </c>
      <c r="R861" t="s">
        <v>74</v>
      </c>
      <c r="S861" t="s">
        <v>74</v>
      </c>
      <c r="T861" t="s">
        <v>16380</v>
      </c>
      <c r="U861" t="s">
        <v>16381</v>
      </c>
      <c r="V861" t="s">
        <v>16382</v>
      </c>
      <c r="W861" t="s">
        <v>16383</v>
      </c>
      <c r="X861" t="s">
        <v>16384</v>
      </c>
      <c r="Y861" t="s">
        <v>16385</v>
      </c>
      <c r="Z861" t="s">
        <v>16386</v>
      </c>
      <c r="AA861" t="s">
        <v>16387</v>
      </c>
      <c r="AB861" t="s">
        <v>6158</v>
      </c>
      <c r="AC861" t="s">
        <v>16388</v>
      </c>
      <c r="AD861" t="s">
        <v>16389</v>
      </c>
      <c r="AE861" t="s">
        <v>16390</v>
      </c>
      <c r="AF861" t="s">
        <v>74</v>
      </c>
      <c r="AG861">
        <v>46</v>
      </c>
      <c r="AH861">
        <v>14</v>
      </c>
      <c r="AI861">
        <v>15</v>
      </c>
      <c r="AJ861">
        <v>2</v>
      </c>
      <c r="AK861">
        <v>36</v>
      </c>
      <c r="AL861" t="s">
        <v>1495</v>
      </c>
      <c r="AM861" t="s">
        <v>1496</v>
      </c>
      <c r="AN861" t="s">
        <v>1497</v>
      </c>
      <c r="AO861" t="s">
        <v>1498</v>
      </c>
      <c r="AP861" t="s">
        <v>1499</v>
      </c>
      <c r="AQ861" t="s">
        <v>74</v>
      </c>
      <c r="AR861" t="s">
        <v>1500</v>
      </c>
      <c r="AS861" t="s">
        <v>1501</v>
      </c>
      <c r="AT861" t="s">
        <v>14663</v>
      </c>
      <c r="AU861">
        <v>2013</v>
      </c>
      <c r="AV861">
        <v>26</v>
      </c>
      <c r="AW861">
        <v>17</v>
      </c>
      <c r="AX861" t="s">
        <v>74</v>
      </c>
      <c r="AY861" t="s">
        <v>74</v>
      </c>
      <c r="AZ861" t="s">
        <v>74</v>
      </c>
      <c r="BA861" t="s">
        <v>74</v>
      </c>
      <c r="BB861">
        <v>6406</v>
      </c>
      <c r="BC861">
        <v>6418</v>
      </c>
      <c r="BD861" t="s">
        <v>74</v>
      </c>
      <c r="BE861" t="s">
        <v>16391</v>
      </c>
      <c r="BF861" t="str">
        <f>HYPERLINK("http://dx.doi.org/10.1175/JCLI-D-12-00640.1","http://dx.doi.org/10.1175/JCLI-D-12-00640.1")</f>
        <v>http://dx.doi.org/10.1175/JCLI-D-12-00640.1</v>
      </c>
      <c r="BG861" t="s">
        <v>74</v>
      </c>
      <c r="BH861" t="s">
        <v>74</v>
      </c>
      <c r="BI861">
        <v>13</v>
      </c>
      <c r="BJ861" t="s">
        <v>1503</v>
      </c>
      <c r="BK861" t="s">
        <v>99</v>
      </c>
      <c r="BL861" t="s">
        <v>1503</v>
      </c>
      <c r="BM861" t="s">
        <v>16392</v>
      </c>
      <c r="BN861" t="s">
        <v>74</v>
      </c>
      <c r="BO861" t="s">
        <v>2362</v>
      </c>
      <c r="BP861" t="s">
        <v>74</v>
      </c>
      <c r="BQ861" t="s">
        <v>74</v>
      </c>
      <c r="BR861" t="s">
        <v>103</v>
      </c>
      <c r="BS861" t="s">
        <v>16393</v>
      </c>
      <c r="BT861" t="str">
        <f>HYPERLINK("https%3A%2F%2Fwww.webofscience.com%2Fwos%2Fwoscc%2Ffull-record%2FWOS:000323412300012","View Full Record in Web of Science")</f>
        <v>View Full Record in Web of Science</v>
      </c>
    </row>
    <row r="862" spans="1:72" x14ac:dyDescent="0.15">
      <c r="A862" t="s">
        <v>72</v>
      </c>
      <c r="B862" t="s">
        <v>16394</v>
      </c>
      <c r="C862" t="s">
        <v>74</v>
      </c>
      <c r="D862" t="s">
        <v>74</v>
      </c>
      <c r="E862" t="s">
        <v>74</v>
      </c>
      <c r="F862" t="s">
        <v>16395</v>
      </c>
      <c r="G862" t="s">
        <v>74</v>
      </c>
      <c r="H862" t="s">
        <v>74</v>
      </c>
      <c r="I862" t="s">
        <v>16396</v>
      </c>
      <c r="J862" t="s">
        <v>1484</v>
      </c>
      <c r="K862" t="s">
        <v>74</v>
      </c>
      <c r="L862" t="s">
        <v>74</v>
      </c>
      <c r="M862" t="s">
        <v>78</v>
      </c>
      <c r="N862" t="s">
        <v>79</v>
      </c>
      <c r="O862" t="s">
        <v>74</v>
      </c>
      <c r="P862" t="s">
        <v>74</v>
      </c>
      <c r="Q862" t="s">
        <v>74</v>
      </c>
      <c r="R862" t="s">
        <v>74</v>
      </c>
      <c r="S862" t="s">
        <v>74</v>
      </c>
      <c r="T862" t="s">
        <v>16397</v>
      </c>
      <c r="U862" t="s">
        <v>16398</v>
      </c>
      <c r="V862" t="s">
        <v>16399</v>
      </c>
      <c r="W862" t="s">
        <v>16400</v>
      </c>
      <c r="X862" t="s">
        <v>16401</v>
      </c>
      <c r="Y862" t="s">
        <v>16402</v>
      </c>
      <c r="Z862" t="s">
        <v>16403</v>
      </c>
      <c r="AA862" t="s">
        <v>16404</v>
      </c>
      <c r="AB862" t="s">
        <v>16405</v>
      </c>
      <c r="AC862" t="s">
        <v>16406</v>
      </c>
      <c r="AD862" t="s">
        <v>16407</v>
      </c>
      <c r="AE862" t="s">
        <v>16408</v>
      </c>
      <c r="AF862" t="s">
        <v>74</v>
      </c>
      <c r="AG862">
        <v>34</v>
      </c>
      <c r="AH862">
        <v>4</v>
      </c>
      <c r="AI862">
        <v>6</v>
      </c>
      <c r="AJ862">
        <v>0</v>
      </c>
      <c r="AK862">
        <v>20</v>
      </c>
      <c r="AL862" t="s">
        <v>1495</v>
      </c>
      <c r="AM862" t="s">
        <v>1496</v>
      </c>
      <c r="AN862" t="s">
        <v>1497</v>
      </c>
      <c r="AO862" t="s">
        <v>1498</v>
      </c>
      <c r="AP862" t="s">
        <v>74</v>
      </c>
      <c r="AQ862" t="s">
        <v>74</v>
      </c>
      <c r="AR862" t="s">
        <v>1500</v>
      </c>
      <c r="AS862" t="s">
        <v>1501</v>
      </c>
      <c r="AT862" t="s">
        <v>14663</v>
      </c>
      <c r="AU862">
        <v>2013</v>
      </c>
      <c r="AV862">
        <v>26</v>
      </c>
      <c r="AW862">
        <v>17</v>
      </c>
      <c r="AX862" t="s">
        <v>74</v>
      </c>
      <c r="AY862" t="s">
        <v>74</v>
      </c>
      <c r="AZ862" t="s">
        <v>74</v>
      </c>
      <c r="BA862" t="s">
        <v>74</v>
      </c>
      <c r="BB862">
        <v>6535</v>
      </c>
      <c r="BC862">
        <v>6540</v>
      </c>
      <c r="BD862" t="s">
        <v>74</v>
      </c>
      <c r="BE862" t="s">
        <v>16409</v>
      </c>
      <c r="BF862" t="str">
        <f>HYPERLINK("http://dx.doi.org/10.1175/JCLI-D-13-00078.1","http://dx.doi.org/10.1175/JCLI-D-13-00078.1")</f>
        <v>http://dx.doi.org/10.1175/JCLI-D-13-00078.1</v>
      </c>
      <c r="BG862" t="s">
        <v>74</v>
      </c>
      <c r="BH862" t="s">
        <v>74</v>
      </c>
      <c r="BI862">
        <v>6</v>
      </c>
      <c r="BJ862" t="s">
        <v>1503</v>
      </c>
      <c r="BK862" t="s">
        <v>99</v>
      </c>
      <c r="BL862" t="s">
        <v>1503</v>
      </c>
      <c r="BM862" t="s">
        <v>16392</v>
      </c>
      <c r="BN862" t="s">
        <v>74</v>
      </c>
      <c r="BO862" t="s">
        <v>475</v>
      </c>
      <c r="BP862" t="s">
        <v>74</v>
      </c>
      <c r="BQ862" t="s">
        <v>74</v>
      </c>
      <c r="BR862" t="s">
        <v>103</v>
      </c>
      <c r="BS862" t="s">
        <v>16410</v>
      </c>
      <c r="BT862" t="str">
        <f>HYPERLINK("https%3A%2F%2Fwww.webofscience.com%2Fwos%2Fwoscc%2Ffull-record%2FWOS:000323412300019","View Full Record in Web of Science")</f>
        <v>View Full Record in Web of Science</v>
      </c>
    </row>
    <row r="863" spans="1:72" x14ac:dyDescent="0.15">
      <c r="A863" t="s">
        <v>72</v>
      </c>
      <c r="B863" t="s">
        <v>16411</v>
      </c>
      <c r="C863" t="s">
        <v>74</v>
      </c>
      <c r="D863" t="s">
        <v>74</v>
      </c>
      <c r="E863" t="s">
        <v>74</v>
      </c>
      <c r="F863" t="s">
        <v>16412</v>
      </c>
      <c r="G863" t="s">
        <v>74</v>
      </c>
      <c r="H863" t="s">
        <v>74</v>
      </c>
      <c r="I863" t="s">
        <v>16413</v>
      </c>
      <c r="J863" t="s">
        <v>3043</v>
      </c>
      <c r="K863" t="s">
        <v>74</v>
      </c>
      <c r="L863" t="s">
        <v>74</v>
      </c>
      <c r="M863" t="s">
        <v>78</v>
      </c>
      <c r="N863" t="s">
        <v>79</v>
      </c>
      <c r="O863" t="s">
        <v>74</v>
      </c>
      <c r="P863" t="s">
        <v>74</v>
      </c>
      <c r="Q863" t="s">
        <v>74</v>
      </c>
      <c r="R863" t="s">
        <v>74</v>
      </c>
      <c r="S863" t="s">
        <v>74</v>
      </c>
      <c r="T863" t="s">
        <v>16414</v>
      </c>
      <c r="U863" t="s">
        <v>16415</v>
      </c>
      <c r="V863" t="s">
        <v>16416</v>
      </c>
      <c r="W863" t="s">
        <v>16417</v>
      </c>
      <c r="X863" t="s">
        <v>16418</v>
      </c>
      <c r="Y863" t="s">
        <v>16419</v>
      </c>
      <c r="Z863" t="s">
        <v>16420</v>
      </c>
      <c r="AA863" t="s">
        <v>74</v>
      </c>
      <c r="AB863" t="s">
        <v>74</v>
      </c>
      <c r="AC863" t="s">
        <v>16421</v>
      </c>
      <c r="AD863" t="s">
        <v>16422</v>
      </c>
      <c r="AE863" t="s">
        <v>16423</v>
      </c>
      <c r="AF863" t="s">
        <v>74</v>
      </c>
      <c r="AG863">
        <v>50</v>
      </c>
      <c r="AH863">
        <v>32</v>
      </c>
      <c r="AI863">
        <v>32</v>
      </c>
      <c r="AJ863">
        <v>2</v>
      </c>
      <c r="AK863">
        <v>53</v>
      </c>
      <c r="AL863" t="s">
        <v>1067</v>
      </c>
      <c r="AM863" t="s">
        <v>921</v>
      </c>
      <c r="AN863" t="s">
        <v>2690</v>
      </c>
      <c r="AO863" t="s">
        <v>3056</v>
      </c>
      <c r="AP863" t="s">
        <v>3057</v>
      </c>
      <c r="AQ863" t="s">
        <v>74</v>
      </c>
      <c r="AR863" t="s">
        <v>3043</v>
      </c>
      <c r="AS863" t="s">
        <v>3058</v>
      </c>
      <c r="AT863" t="s">
        <v>14663</v>
      </c>
      <c r="AU863">
        <v>2013</v>
      </c>
      <c r="AV863">
        <v>173</v>
      </c>
      <c r="AW863">
        <v>1</v>
      </c>
      <c r="AX863" t="s">
        <v>74</v>
      </c>
      <c r="AY863" t="s">
        <v>74</v>
      </c>
      <c r="AZ863" t="s">
        <v>74</v>
      </c>
      <c r="BA863" t="s">
        <v>74</v>
      </c>
      <c r="BB863">
        <v>59</v>
      </c>
      <c r="BC863">
        <v>72</v>
      </c>
      <c r="BD863" t="s">
        <v>74</v>
      </c>
      <c r="BE863" t="s">
        <v>16424</v>
      </c>
      <c r="BF863" t="str">
        <f>HYPERLINK("http://dx.doi.org/10.1007/s00442-013-2608-9","http://dx.doi.org/10.1007/s00442-013-2608-9")</f>
        <v>http://dx.doi.org/10.1007/s00442-013-2608-9</v>
      </c>
      <c r="BG863" t="s">
        <v>74</v>
      </c>
      <c r="BH863" t="s">
        <v>74</v>
      </c>
      <c r="BI863">
        <v>14</v>
      </c>
      <c r="BJ863" t="s">
        <v>419</v>
      </c>
      <c r="BK863" t="s">
        <v>99</v>
      </c>
      <c r="BL863" t="s">
        <v>420</v>
      </c>
      <c r="BM863" t="s">
        <v>16425</v>
      </c>
      <c r="BN863">
        <v>23440504</v>
      </c>
      <c r="BO863" t="s">
        <v>74</v>
      </c>
      <c r="BP863" t="s">
        <v>74</v>
      </c>
      <c r="BQ863" t="s">
        <v>74</v>
      </c>
      <c r="BR863" t="s">
        <v>103</v>
      </c>
      <c r="BS863" t="s">
        <v>16426</v>
      </c>
      <c r="BT863" t="str">
        <f>HYPERLINK("https%3A%2F%2Fwww.webofscience.com%2Fwos%2Fwoscc%2Ffull-record%2FWOS:000323504300006","View Full Record in Web of Science")</f>
        <v>View Full Record in Web of Science</v>
      </c>
    </row>
    <row r="864" spans="1:72" x14ac:dyDescent="0.15">
      <c r="A864" t="s">
        <v>72</v>
      </c>
      <c r="B864" t="s">
        <v>16427</v>
      </c>
      <c r="C864" t="s">
        <v>74</v>
      </c>
      <c r="D864" t="s">
        <v>74</v>
      </c>
      <c r="E864" t="s">
        <v>74</v>
      </c>
      <c r="F864" t="s">
        <v>16428</v>
      </c>
      <c r="G864" t="s">
        <v>74</v>
      </c>
      <c r="H864" t="s">
        <v>74</v>
      </c>
      <c r="I864" t="s">
        <v>16429</v>
      </c>
      <c r="J864" t="s">
        <v>16430</v>
      </c>
      <c r="K864" t="s">
        <v>74</v>
      </c>
      <c r="L864" t="s">
        <v>74</v>
      </c>
      <c r="M864" t="s">
        <v>78</v>
      </c>
      <c r="N864" t="s">
        <v>79</v>
      </c>
      <c r="O864" t="s">
        <v>74</v>
      </c>
      <c r="P864" t="s">
        <v>74</v>
      </c>
      <c r="Q864" t="s">
        <v>74</v>
      </c>
      <c r="R864" t="s">
        <v>74</v>
      </c>
      <c r="S864" t="s">
        <v>74</v>
      </c>
      <c r="T864" t="s">
        <v>16431</v>
      </c>
      <c r="U864" t="s">
        <v>16432</v>
      </c>
      <c r="V864" t="s">
        <v>16433</v>
      </c>
      <c r="W864" t="s">
        <v>16434</v>
      </c>
      <c r="X864" t="s">
        <v>16435</v>
      </c>
      <c r="Y864" t="s">
        <v>16436</v>
      </c>
      <c r="Z864" t="s">
        <v>16437</v>
      </c>
      <c r="AA864" t="s">
        <v>16438</v>
      </c>
      <c r="AB864" t="s">
        <v>16439</v>
      </c>
      <c r="AC864" t="s">
        <v>16440</v>
      </c>
      <c r="AD864" t="s">
        <v>16440</v>
      </c>
      <c r="AE864" t="s">
        <v>16441</v>
      </c>
      <c r="AF864" t="s">
        <v>74</v>
      </c>
      <c r="AG864">
        <v>58</v>
      </c>
      <c r="AH864">
        <v>8</v>
      </c>
      <c r="AI864">
        <v>10</v>
      </c>
      <c r="AJ864">
        <v>1</v>
      </c>
      <c r="AK864">
        <v>43</v>
      </c>
      <c r="AL864" t="s">
        <v>2588</v>
      </c>
      <c r="AM864" t="s">
        <v>2470</v>
      </c>
      <c r="AN864" t="s">
        <v>2589</v>
      </c>
      <c r="AO864" t="s">
        <v>16442</v>
      </c>
      <c r="AP864" t="s">
        <v>16443</v>
      </c>
      <c r="AQ864" t="s">
        <v>74</v>
      </c>
      <c r="AR864" t="s">
        <v>16444</v>
      </c>
      <c r="AS864" t="s">
        <v>16445</v>
      </c>
      <c r="AT864" t="s">
        <v>14858</v>
      </c>
      <c r="AU864">
        <v>2013</v>
      </c>
      <c r="AV864">
        <v>95</v>
      </c>
      <c r="AW864" t="s">
        <v>74</v>
      </c>
      <c r="AX864" t="s">
        <v>74</v>
      </c>
      <c r="AY864" t="s">
        <v>74</v>
      </c>
      <c r="AZ864" t="s">
        <v>74</v>
      </c>
      <c r="BA864" t="s">
        <v>74</v>
      </c>
      <c r="BB864">
        <v>78</v>
      </c>
      <c r="BC864">
        <v>82</v>
      </c>
      <c r="BD864" t="s">
        <v>74</v>
      </c>
      <c r="BE864" t="s">
        <v>16446</v>
      </c>
      <c r="BF864" t="str">
        <f>HYPERLINK("http://dx.doi.org/10.1016/j.ecoenv.2013.05.021","http://dx.doi.org/10.1016/j.ecoenv.2013.05.021")</f>
        <v>http://dx.doi.org/10.1016/j.ecoenv.2013.05.021</v>
      </c>
      <c r="BG864" t="s">
        <v>74</v>
      </c>
      <c r="BH864" t="s">
        <v>74</v>
      </c>
      <c r="BI864">
        <v>5</v>
      </c>
      <c r="BJ864" t="s">
        <v>12517</v>
      </c>
      <c r="BK864" t="s">
        <v>99</v>
      </c>
      <c r="BL864" t="s">
        <v>12518</v>
      </c>
      <c r="BM864" t="s">
        <v>16447</v>
      </c>
      <c r="BN864">
        <v>23769126</v>
      </c>
      <c r="BO864" t="s">
        <v>74</v>
      </c>
      <c r="BP864" t="s">
        <v>74</v>
      </c>
      <c r="BQ864" t="s">
        <v>74</v>
      </c>
      <c r="BR864" t="s">
        <v>103</v>
      </c>
      <c r="BS864" t="s">
        <v>16448</v>
      </c>
      <c r="BT864" t="str">
        <f>HYPERLINK("https%3A%2F%2Fwww.webofscience.com%2Fwos%2Fwoscc%2Ffull-record%2FWOS:000322286400011","View Full Record in Web of Science")</f>
        <v>View Full Record in Web of Science</v>
      </c>
    </row>
    <row r="865" spans="1:72" x14ac:dyDescent="0.15">
      <c r="A865" t="s">
        <v>72</v>
      </c>
      <c r="B865" t="s">
        <v>16449</v>
      </c>
      <c r="C865" t="s">
        <v>74</v>
      </c>
      <c r="D865" t="s">
        <v>74</v>
      </c>
      <c r="E865" t="s">
        <v>74</v>
      </c>
      <c r="F865" t="s">
        <v>16450</v>
      </c>
      <c r="G865" t="s">
        <v>74</v>
      </c>
      <c r="H865" t="s">
        <v>74</v>
      </c>
      <c r="I865" t="s">
        <v>16451</v>
      </c>
      <c r="J865" t="s">
        <v>13036</v>
      </c>
      <c r="K865" t="s">
        <v>74</v>
      </c>
      <c r="L865" t="s">
        <v>74</v>
      </c>
      <c r="M865" t="s">
        <v>78</v>
      </c>
      <c r="N865" t="s">
        <v>79</v>
      </c>
      <c r="O865" t="s">
        <v>74</v>
      </c>
      <c r="P865" t="s">
        <v>74</v>
      </c>
      <c r="Q865" t="s">
        <v>74</v>
      </c>
      <c r="R865" t="s">
        <v>74</v>
      </c>
      <c r="S865" t="s">
        <v>74</v>
      </c>
      <c r="T865" t="s">
        <v>16452</v>
      </c>
      <c r="U865" t="s">
        <v>16453</v>
      </c>
      <c r="V865" t="s">
        <v>16454</v>
      </c>
      <c r="W865" t="s">
        <v>16455</v>
      </c>
      <c r="X865" t="s">
        <v>16456</v>
      </c>
      <c r="Y865" t="s">
        <v>16457</v>
      </c>
      <c r="Z865" t="s">
        <v>14053</v>
      </c>
      <c r="AA865" t="s">
        <v>16458</v>
      </c>
      <c r="AB865" t="s">
        <v>16459</v>
      </c>
      <c r="AC865" t="s">
        <v>16460</v>
      </c>
      <c r="AD865" t="s">
        <v>16461</v>
      </c>
      <c r="AE865" t="s">
        <v>16462</v>
      </c>
      <c r="AF865" t="s">
        <v>74</v>
      </c>
      <c r="AG865">
        <v>51</v>
      </c>
      <c r="AH865">
        <v>35</v>
      </c>
      <c r="AI865">
        <v>39</v>
      </c>
      <c r="AJ865">
        <v>12</v>
      </c>
      <c r="AK865">
        <v>199</v>
      </c>
      <c r="AL865" t="s">
        <v>783</v>
      </c>
      <c r="AM865" t="s">
        <v>252</v>
      </c>
      <c r="AN865" t="s">
        <v>784</v>
      </c>
      <c r="AO865" t="s">
        <v>13049</v>
      </c>
      <c r="AP865" t="s">
        <v>74</v>
      </c>
      <c r="AQ865" t="s">
        <v>74</v>
      </c>
      <c r="AR865" t="s">
        <v>13051</v>
      </c>
      <c r="AS865" t="s">
        <v>13052</v>
      </c>
      <c r="AT865" t="s">
        <v>14663</v>
      </c>
      <c r="AU865">
        <v>2013</v>
      </c>
      <c r="AV865">
        <v>180</v>
      </c>
      <c r="AW865" t="s">
        <v>74</v>
      </c>
      <c r="AX865" t="s">
        <v>74</v>
      </c>
      <c r="AY865" t="s">
        <v>74</v>
      </c>
      <c r="AZ865" t="s">
        <v>74</v>
      </c>
      <c r="BA865" t="s">
        <v>74</v>
      </c>
      <c r="BB865">
        <v>159</v>
      </c>
      <c r="BC865">
        <v>164</v>
      </c>
      <c r="BD865" t="s">
        <v>74</v>
      </c>
      <c r="BE865" t="s">
        <v>16463</v>
      </c>
      <c r="BF865" t="str">
        <f>HYPERLINK("http://dx.doi.org/10.1016/j.envpol.2013.05.032","http://dx.doi.org/10.1016/j.envpol.2013.05.032")</f>
        <v>http://dx.doi.org/10.1016/j.envpol.2013.05.032</v>
      </c>
      <c r="BG865" t="s">
        <v>74</v>
      </c>
      <c r="BH865" t="s">
        <v>74</v>
      </c>
      <c r="BI865">
        <v>6</v>
      </c>
      <c r="BJ865" t="s">
        <v>9250</v>
      </c>
      <c r="BK865" t="s">
        <v>99</v>
      </c>
      <c r="BL865" t="s">
        <v>420</v>
      </c>
      <c r="BM865" t="s">
        <v>16464</v>
      </c>
      <c r="BN865">
        <v>23770316</v>
      </c>
      <c r="BO865" t="s">
        <v>74</v>
      </c>
      <c r="BP865" t="s">
        <v>74</v>
      </c>
      <c r="BQ865" t="s">
        <v>74</v>
      </c>
      <c r="BR865" t="s">
        <v>103</v>
      </c>
      <c r="BS865" t="s">
        <v>16465</v>
      </c>
      <c r="BT865" t="str">
        <f>HYPERLINK("https%3A%2F%2Fwww.webofscience.com%2Fwos%2Fwoscc%2Ffull-record%2FWOS:000322425300022","View Full Record in Web of Science")</f>
        <v>View Full Record in Web of Science</v>
      </c>
    </row>
    <row r="866" spans="1:72" x14ac:dyDescent="0.15">
      <c r="A866" t="s">
        <v>72</v>
      </c>
      <c r="B866" t="s">
        <v>16466</v>
      </c>
      <c r="C866" t="s">
        <v>74</v>
      </c>
      <c r="D866" t="s">
        <v>74</v>
      </c>
      <c r="E866" t="s">
        <v>74</v>
      </c>
      <c r="F866" t="s">
        <v>16467</v>
      </c>
      <c r="G866" t="s">
        <v>74</v>
      </c>
      <c r="H866" t="s">
        <v>74</v>
      </c>
      <c r="I866" t="s">
        <v>16468</v>
      </c>
      <c r="J866" t="s">
        <v>16469</v>
      </c>
      <c r="K866" t="s">
        <v>74</v>
      </c>
      <c r="L866" t="s">
        <v>74</v>
      </c>
      <c r="M866" t="s">
        <v>78</v>
      </c>
      <c r="N866" t="s">
        <v>79</v>
      </c>
      <c r="O866" t="s">
        <v>74</v>
      </c>
      <c r="P866" t="s">
        <v>74</v>
      </c>
      <c r="Q866" t="s">
        <v>74</v>
      </c>
      <c r="R866" t="s">
        <v>74</v>
      </c>
      <c r="S866" t="s">
        <v>74</v>
      </c>
      <c r="T866" t="s">
        <v>16470</v>
      </c>
      <c r="U866" t="s">
        <v>16471</v>
      </c>
      <c r="V866" t="s">
        <v>16472</v>
      </c>
      <c r="W866" t="s">
        <v>16473</v>
      </c>
      <c r="X866" t="s">
        <v>16474</v>
      </c>
      <c r="Y866" t="s">
        <v>16475</v>
      </c>
      <c r="Z866" t="s">
        <v>16476</v>
      </c>
      <c r="AA866" t="s">
        <v>16477</v>
      </c>
      <c r="AB866" t="s">
        <v>16478</v>
      </c>
      <c r="AC866" t="s">
        <v>16479</v>
      </c>
      <c r="AD866" t="s">
        <v>16480</v>
      </c>
      <c r="AE866" t="s">
        <v>16481</v>
      </c>
      <c r="AF866" t="s">
        <v>74</v>
      </c>
      <c r="AG866">
        <v>52</v>
      </c>
      <c r="AH866">
        <v>13</v>
      </c>
      <c r="AI866">
        <v>14</v>
      </c>
      <c r="AJ866">
        <v>0</v>
      </c>
      <c r="AK866">
        <v>27</v>
      </c>
      <c r="AL866" t="s">
        <v>3992</v>
      </c>
      <c r="AM866" t="s">
        <v>252</v>
      </c>
      <c r="AN866" t="s">
        <v>3993</v>
      </c>
      <c r="AO866" t="s">
        <v>16482</v>
      </c>
      <c r="AP866" t="s">
        <v>16483</v>
      </c>
      <c r="AQ866" t="s">
        <v>74</v>
      </c>
      <c r="AR866" t="s">
        <v>16484</v>
      </c>
      <c r="AS866" t="s">
        <v>16485</v>
      </c>
      <c r="AT866" t="s">
        <v>14663</v>
      </c>
      <c r="AU866">
        <v>2013</v>
      </c>
      <c r="AV866">
        <v>85</v>
      </c>
      <c r="AW866">
        <v>3</v>
      </c>
      <c r="AX866" t="s">
        <v>74</v>
      </c>
      <c r="AY866" t="s">
        <v>74</v>
      </c>
      <c r="AZ866" t="s">
        <v>74</v>
      </c>
      <c r="BA866" t="s">
        <v>74</v>
      </c>
      <c r="BB866">
        <v>537</v>
      </c>
      <c r="BC866">
        <v>552</v>
      </c>
      <c r="BD866" t="s">
        <v>74</v>
      </c>
      <c r="BE866" t="s">
        <v>16486</v>
      </c>
      <c r="BF866" t="str">
        <f>HYPERLINK("http://dx.doi.org/10.1111/1574-6941.12142","http://dx.doi.org/10.1111/1574-6941.12142")</f>
        <v>http://dx.doi.org/10.1111/1574-6941.12142</v>
      </c>
      <c r="BG866" t="s">
        <v>74</v>
      </c>
      <c r="BH866" t="s">
        <v>74</v>
      </c>
      <c r="BI866">
        <v>16</v>
      </c>
      <c r="BJ866" t="s">
        <v>815</v>
      </c>
      <c r="BK866" t="s">
        <v>99</v>
      </c>
      <c r="BL866" t="s">
        <v>815</v>
      </c>
      <c r="BM866" t="s">
        <v>16487</v>
      </c>
      <c r="BN866">
        <v>23621156</v>
      </c>
      <c r="BO866" t="s">
        <v>1381</v>
      </c>
      <c r="BP866" t="s">
        <v>74</v>
      </c>
      <c r="BQ866" t="s">
        <v>74</v>
      </c>
      <c r="BR866" t="s">
        <v>103</v>
      </c>
      <c r="BS866" t="s">
        <v>16488</v>
      </c>
      <c r="BT866" t="str">
        <f>HYPERLINK("https%3A%2F%2Fwww.webofscience.com%2Fwos%2Fwoscc%2Ffull-record%2FWOS:000323200400011","View Full Record in Web of Science")</f>
        <v>View Full Record in Web of Science</v>
      </c>
    </row>
    <row r="867" spans="1:72" x14ac:dyDescent="0.15">
      <c r="A867" t="s">
        <v>72</v>
      </c>
      <c r="B867" t="s">
        <v>16489</v>
      </c>
      <c r="C867" t="s">
        <v>74</v>
      </c>
      <c r="D867" t="s">
        <v>74</v>
      </c>
      <c r="E867" t="s">
        <v>74</v>
      </c>
      <c r="F867" t="s">
        <v>16490</v>
      </c>
      <c r="G867" t="s">
        <v>74</v>
      </c>
      <c r="H867" t="s">
        <v>74</v>
      </c>
      <c r="I867" t="s">
        <v>16491</v>
      </c>
      <c r="J867" t="s">
        <v>16492</v>
      </c>
      <c r="K867" t="s">
        <v>74</v>
      </c>
      <c r="L867" t="s">
        <v>74</v>
      </c>
      <c r="M867" t="s">
        <v>78</v>
      </c>
      <c r="N867" t="s">
        <v>79</v>
      </c>
      <c r="O867" t="s">
        <v>74</v>
      </c>
      <c r="P867" t="s">
        <v>74</v>
      </c>
      <c r="Q867" t="s">
        <v>74</v>
      </c>
      <c r="R867" t="s">
        <v>74</v>
      </c>
      <c r="S867" t="s">
        <v>74</v>
      </c>
      <c r="T867" t="s">
        <v>16493</v>
      </c>
      <c r="U867" t="s">
        <v>16494</v>
      </c>
      <c r="V867" t="s">
        <v>16495</v>
      </c>
      <c r="W867" t="s">
        <v>16496</v>
      </c>
      <c r="X867" t="s">
        <v>16497</v>
      </c>
      <c r="Y867" t="s">
        <v>16498</v>
      </c>
      <c r="Z867" t="s">
        <v>16499</v>
      </c>
      <c r="AA867" t="s">
        <v>16500</v>
      </c>
      <c r="AB867" t="s">
        <v>16501</v>
      </c>
      <c r="AC867" t="s">
        <v>16502</v>
      </c>
      <c r="AD867" t="s">
        <v>16503</v>
      </c>
      <c r="AE867" t="s">
        <v>16504</v>
      </c>
      <c r="AF867" t="s">
        <v>74</v>
      </c>
      <c r="AG867">
        <v>67</v>
      </c>
      <c r="AH867">
        <v>12</v>
      </c>
      <c r="AI867">
        <v>14</v>
      </c>
      <c r="AJ867">
        <v>0</v>
      </c>
      <c r="AK867">
        <v>24</v>
      </c>
      <c r="AL867" t="s">
        <v>2588</v>
      </c>
      <c r="AM867" t="s">
        <v>2470</v>
      </c>
      <c r="AN867" t="s">
        <v>2589</v>
      </c>
      <c r="AO867" t="s">
        <v>16505</v>
      </c>
      <c r="AP867" t="s">
        <v>16506</v>
      </c>
      <c r="AQ867" t="s">
        <v>74</v>
      </c>
      <c r="AR867" t="s">
        <v>16492</v>
      </c>
      <c r="AS867" t="s">
        <v>16507</v>
      </c>
      <c r="AT867" t="s">
        <v>14663</v>
      </c>
      <c r="AU867">
        <v>2013</v>
      </c>
      <c r="AV867">
        <v>70</v>
      </c>
      <c r="AW867">
        <v>2</v>
      </c>
      <c r="AX867" t="s">
        <v>74</v>
      </c>
      <c r="AY867" t="s">
        <v>74</v>
      </c>
      <c r="AZ867" t="s">
        <v>74</v>
      </c>
      <c r="BA867" t="s">
        <v>74</v>
      </c>
      <c r="BB867">
        <v>254</v>
      </c>
      <c r="BC867">
        <v>262</v>
      </c>
      <c r="BD867" t="s">
        <v>74</v>
      </c>
      <c r="BE867" t="s">
        <v>16508</v>
      </c>
      <c r="BF867" t="str">
        <f>HYPERLINK("http://dx.doi.org/10.1016/j.plasmid.2013.05.007","http://dx.doi.org/10.1016/j.plasmid.2013.05.007")</f>
        <v>http://dx.doi.org/10.1016/j.plasmid.2013.05.007</v>
      </c>
      <c r="BG867" t="s">
        <v>74</v>
      </c>
      <c r="BH867" t="s">
        <v>74</v>
      </c>
      <c r="BI867">
        <v>9</v>
      </c>
      <c r="BJ867" t="s">
        <v>16509</v>
      </c>
      <c r="BK867" t="s">
        <v>99</v>
      </c>
      <c r="BL867" t="s">
        <v>16509</v>
      </c>
      <c r="BM867" t="s">
        <v>16510</v>
      </c>
      <c r="BN867">
        <v>23721858</v>
      </c>
      <c r="BO867" t="s">
        <v>74</v>
      </c>
      <c r="BP867" t="s">
        <v>74</v>
      </c>
      <c r="BQ867" t="s">
        <v>74</v>
      </c>
      <c r="BR867" t="s">
        <v>103</v>
      </c>
      <c r="BS867" t="s">
        <v>16511</v>
      </c>
      <c r="BT867" t="str">
        <f>HYPERLINK("https%3A%2F%2Fwww.webofscience.com%2Fwos%2Fwoscc%2Ffull-record%2FWOS:000322930600010","View Full Record in Web of Science")</f>
        <v>View Full Record in Web of Science</v>
      </c>
    </row>
    <row r="868" spans="1:72" x14ac:dyDescent="0.15">
      <c r="A868" t="s">
        <v>72</v>
      </c>
      <c r="B868" t="s">
        <v>16512</v>
      </c>
      <c r="C868" t="s">
        <v>74</v>
      </c>
      <c r="D868" t="s">
        <v>74</v>
      </c>
      <c r="E868" t="s">
        <v>74</v>
      </c>
      <c r="F868" t="s">
        <v>16513</v>
      </c>
      <c r="G868" t="s">
        <v>74</v>
      </c>
      <c r="H868" t="s">
        <v>74</v>
      </c>
      <c r="I868" t="s">
        <v>16514</v>
      </c>
      <c r="J868" t="s">
        <v>11323</v>
      </c>
      <c r="K868" t="s">
        <v>74</v>
      </c>
      <c r="L868" t="s">
        <v>74</v>
      </c>
      <c r="M868" t="s">
        <v>78</v>
      </c>
      <c r="N868" t="s">
        <v>79</v>
      </c>
      <c r="O868" t="s">
        <v>74</v>
      </c>
      <c r="P868" t="s">
        <v>74</v>
      </c>
      <c r="Q868" t="s">
        <v>74</v>
      </c>
      <c r="R868" t="s">
        <v>74</v>
      </c>
      <c r="S868" t="s">
        <v>74</v>
      </c>
      <c r="T868" t="s">
        <v>16515</v>
      </c>
      <c r="U868" t="s">
        <v>16516</v>
      </c>
      <c r="V868" t="s">
        <v>16517</v>
      </c>
      <c r="W868" t="s">
        <v>16518</v>
      </c>
      <c r="X868" t="s">
        <v>16519</v>
      </c>
      <c r="Y868" t="s">
        <v>16520</v>
      </c>
      <c r="Z868" t="s">
        <v>16521</v>
      </c>
      <c r="AA868" t="s">
        <v>16522</v>
      </c>
      <c r="AB868" t="s">
        <v>16523</v>
      </c>
      <c r="AC868" t="s">
        <v>16524</v>
      </c>
      <c r="AD868" t="s">
        <v>16525</v>
      </c>
      <c r="AE868" t="s">
        <v>16526</v>
      </c>
      <c r="AF868" t="s">
        <v>74</v>
      </c>
      <c r="AG868">
        <v>37</v>
      </c>
      <c r="AH868">
        <v>32</v>
      </c>
      <c r="AI868">
        <v>34</v>
      </c>
      <c r="AJ868">
        <v>1</v>
      </c>
      <c r="AK868">
        <v>21</v>
      </c>
      <c r="AL868" t="s">
        <v>783</v>
      </c>
      <c r="AM868" t="s">
        <v>252</v>
      </c>
      <c r="AN868" t="s">
        <v>784</v>
      </c>
      <c r="AO868" t="s">
        <v>11335</v>
      </c>
      <c r="AP868" t="s">
        <v>11336</v>
      </c>
      <c r="AQ868" t="s">
        <v>74</v>
      </c>
      <c r="AR868" t="s">
        <v>11337</v>
      </c>
      <c r="AS868" t="s">
        <v>11338</v>
      </c>
      <c r="AT868" t="s">
        <v>14858</v>
      </c>
      <c r="AU868">
        <v>2013</v>
      </c>
      <c r="AV868">
        <v>52</v>
      </c>
      <c r="AW868">
        <v>5</v>
      </c>
      <c r="AX868" t="s">
        <v>74</v>
      </c>
      <c r="AY868" t="s">
        <v>74</v>
      </c>
      <c r="AZ868" t="s">
        <v>74</v>
      </c>
      <c r="BA868" t="s">
        <v>74</v>
      </c>
      <c r="BB868">
        <v>821</v>
      </c>
      <c r="BC868">
        <v>836</v>
      </c>
      <c r="BD868" t="s">
        <v>74</v>
      </c>
      <c r="BE868" t="s">
        <v>16527</v>
      </c>
      <c r="BF868" t="str">
        <f>HYPERLINK("http://dx.doi.org/10.1016/j.asr.2013.05.021","http://dx.doi.org/10.1016/j.asr.2013.05.021")</f>
        <v>http://dx.doi.org/10.1016/j.asr.2013.05.021</v>
      </c>
      <c r="BG868" t="s">
        <v>74</v>
      </c>
      <c r="BH868" t="s">
        <v>74</v>
      </c>
      <c r="BI868">
        <v>16</v>
      </c>
      <c r="BJ868" t="s">
        <v>11340</v>
      </c>
      <c r="BK868" t="s">
        <v>99</v>
      </c>
      <c r="BL868" t="s">
        <v>11341</v>
      </c>
      <c r="BM868" t="s">
        <v>15846</v>
      </c>
      <c r="BN868" t="s">
        <v>74</v>
      </c>
      <c r="BO868" t="s">
        <v>74</v>
      </c>
      <c r="BP868" t="s">
        <v>74</v>
      </c>
      <c r="BQ868" t="s">
        <v>74</v>
      </c>
      <c r="BR868" t="s">
        <v>103</v>
      </c>
      <c r="BS868" t="s">
        <v>16528</v>
      </c>
      <c r="BT868" t="str">
        <f>HYPERLINK("https%3A%2F%2Fwww.webofscience.com%2Fwos%2Fwoscc%2Ffull-record%2FWOS:000323857700005","View Full Record in Web of Science")</f>
        <v>View Full Record in Web of Science</v>
      </c>
    </row>
    <row r="869" spans="1:72" x14ac:dyDescent="0.15">
      <c r="A869" t="s">
        <v>72</v>
      </c>
      <c r="B869" t="s">
        <v>16529</v>
      </c>
      <c r="C869" t="s">
        <v>74</v>
      </c>
      <c r="D869" t="s">
        <v>74</v>
      </c>
      <c r="E869" t="s">
        <v>74</v>
      </c>
      <c r="F869" t="s">
        <v>16530</v>
      </c>
      <c r="G869" t="s">
        <v>74</v>
      </c>
      <c r="H869" t="s">
        <v>74</v>
      </c>
      <c r="I869" t="s">
        <v>16531</v>
      </c>
      <c r="J869" t="s">
        <v>16532</v>
      </c>
      <c r="K869" t="s">
        <v>74</v>
      </c>
      <c r="L869" t="s">
        <v>74</v>
      </c>
      <c r="M869" t="s">
        <v>78</v>
      </c>
      <c r="N869" t="s">
        <v>79</v>
      </c>
      <c r="O869" t="s">
        <v>74</v>
      </c>
      <c r="P869" t="s">
        <v>74</v>
      </c>
      <c r="Q869" t="s">
        <v>74</v>
      </c>
      <c r="R869" t="s">
        <v>74</v>
      </c>
      <c r="S869" t="s">
        <v>74</v>
      </c>
      <c r="T869" t="s">
        <v>16533</v>
      </c>
      <c r="U869" t="s">
        <v>16534</v>
      </c>
      <c r="V869" t="s">
        <v>16535</v>
      </c>
      <c r="W869" t="s">
        <v>16536</v>
      </c>
      <c r="X869" t="s">
        <v>16537</v>
      </c>
      <c r="Y869" t="s">
        <v>16538</v>
      </c>
      <c r="Z869" t="s">
        <v>16539</v>
      </c>
      <c r="AA869" t="s">
        <v>16540</v>
      </c>
      <c r="AB869" t="s">
        <v>16541</v>
      </c>
      <c r="AC869" t="s">
        <v>16542</v>
      </c>
      <c r="AD869" t="s">
        <v>16543</v>
      </c>
      <c r="AE869" t="s">
        <v>16544</v>
      </c>
      <c r="AF869" t="s">
        <v>74</v>
      </c>
      <c r="AG869">
        <v>185</v>
      </c>
      <c r="AH869">
        <v>22</v>
      </c>
      <c r="AI869">
        <v>23</v>
      </c>
      <c r="AJ869">
        <v>0</v>
      </c>
      <c r="AK869">
        <v>18</v>
      </c>
      <c r="AL869" t="s">
        <v>276</v>
      </c>
      <c r="AM869" t="s">
        <v>277</v>
      </c>
      <c r="AN869" t="s">
        <v>2752</v>
      </c>
      <c r="AO869" t="s">
        <v>16545</v>
      </c>
      <c r="AP869" t="s">
        <v>16546</v>
      </c>
      <c r="AQ869" t="s">
        <v>74</v>
      </c>
      <c r="AR869" t="s">
        <v>16532</v>
      </c>
      <c r="AS869" t="s">
        <v>16547</v>
      </c>
      <c r="AT869" t="s">
        <v>14858</v>
      </c>
      <c r="AU869">
        <v>2013</v>
      </c>
      <c r="AV869">
        <v>37</v>
      </c>
      <c r="AW869">
        <v>3</v>
      </c>
      <c r="AX869" t="s">
        <v>74</v>
      </c>
      <c r="AY869" t="s">
        <v>74</v>
      </c>
      <c r="AZ869" t="s">
        <v>74</v>
      </c>
      <c r="BA869" t="s">
        <v>74</v>
      </c>
      <c r="BB869">
        <v>366</v>
      </c>
      <c r="BC869">
        <v>391</v>
      </c>
      <c r="BD869" t="s">
        <v>74</v>
      </c>
      <c r="BE869" t="s">
        <v>16548</v>
      </c>
      <c r="BF869" t="str">
        <f>HYPERLINK("http://dx.doi.org/10.1080/03115518.2013.764698","http://dx.doi.org/10.1080/03115518.2013.764698")</f>
        <v>http://dx.doi.org/10.1080/03115518.2013.764698</v>
      </c>
      <c r="BG869" t="s">
        <v>74</v>
      </c>
      <c r="BH869" t="s">
        <v>74</v>
      </c>
      <c r="BI869">
        <v>26</v>
      </c>
      <c r="BJ869" t="s">
        <v>2061</v>
      </c>
      <c r="BK869" t="s">
        <v>99</v>
      </c>
      <c r="BL869" t="s">
        <v>2061</v>
      </c>
      <c r="BM869" t="s">
        <v>16549</v>
      </c>
      <c r="BN869" t="s">
        <v>74</v>
      </c>
      <c r="BO869" t="s">
        <v>74</v>
      </c>
      <c r="BP869" t="s">
        <v>74</v>
      </c>
      <c r="BQ869" t="s">
        <v>74</v>
      </c>
      <c r="BR869" t="s">
        <v>103</v>
      </c>
      <c r="BS869" t="s">
        <v>16550</v>
      </c>
      <c r="BT869" t="str">
        <f>HYPERLINK("https%3A%2F%2Fwww.webofscience.com%2Fwos%2Fwoscc%2Ffull-record%2FWOS:000322152100009","View Full Record in Web of Science")</f>
        <v>View Full Record in Web of Science</v>
      </c>
    </row>
    <row r="870" spans="1:72" x14ac:dyDescent="0.15">
      <c r="A870" t="s">
        <v>72</v>
      </c>
      <c r="B870" t="s">
        <v>16551</v>
      </c>
      <c r="C870" t="s">
        <v>74</v>
      </c>
      <c r="D870" t="s">
        <v>74</v>
      </c>
      <c r="E870" t="s">
        <v>74</v>
      </c>
      <c r="F870" t="s">
        <v>16552</v>
      </c>
      <c r="G870" t="s">
        <v>74</v>
      </c>
      <c r="H870" t="s">
        <v>74</v>
      </c>
      <c r="I870" t="s">
        <v>16553</v>
      </c>
      <c r="J870" t="s">
        <v>16554</v>
      </c>
      <c r="K870" t="s">
        <v>74</v>
      </c>
      <c r="L870" t="s">
        <v>74</v>
      </c>
      <c r="M870" t="s">
        <v>78</v>
      </c>
      <c r="N870" t="s">
        <v>79</v>
      </c>
      <c r="O870" t="s">
        <v>74</v>
      </c>
      <c r="P870" t="s">
        <v>74</v>
      </c>
      <c r="Q870" t="s">
        <v>74</v>
      </c>
      <c r="R870" t="s">
        <v>74</v>
      </c>
      <c r="S870" t="s">
        <v>74</v>
      </c>
      <c r="T870" t="s">
        <v>16555</v>
      </c>
      <c r="U870" t="s">
        <v>16556</v>
      </c>
      <c r="V870" t="s">
        <v>16557</v>
      </c>
      <c r="W870" t="s">
        <v>16558</v>
      </c>
      <c r="X870" t="s">
        <v>16559</v>
      </c>
      <c r="Y870" t="s">
        <v>16560</v>
      </c>
      <c r="Z870" t="s">
        <v>16561</v>
      </c>
      <c r="AA870" t="s">
        <v>74</v>
      </c>
      <c r="AB870" t="s">
        <v>74</v>
      </c>
      <c r="AC870" t="s">
        <v>16562</v>
      </c>
      <c r="AD870" t="s">
        <v>16563</v>
      </c>
      <c r="AE870" t="s">
        <v>16564</v>
      </c>
      <c r="AF870" t="s">
        <v>74</v>
      </c>
      <c r="AG870">
        <v>100</v>
      </c>
      <c r="AH870">
        <v>17</v>
      </c>
      <c r="AI870">
        <v>19</v>
      </c>
      <c r="AJ870">
        <v>5</v>
      </c>
      <c r="AK870">
        <v>169</v>
      </c>
      <c r="AL870" t="s">
        <v>5115</v>
      </c>
      <c r="AM870" t="s">
        <v>5116</v>
      </c>
      <c r="AN870" t="s">
        <v>5117</v>
      </c>
      <c r="AO870" t="s">
        <v>16565</v>
      </c>
      <c r="AP870" t="s">
        <v>74</v>
      </c>
      <c r="AQ870" t="s">
        <v>74</v>
      </c>
      <c r="AR870" t="s">
        <v>16566</v>
      </c>
      <c r="AS870" t="s">
        <v>16567</v>
      </c>
      <c r="AT870" t="s">
        <v>14858</v>
      </c>
      <c r="AU870">
        <v>2013</v>
      </c>
      <c r="AV870">
        <v>182</v>
      </c>
      <c r="AW870">
        <v>3</v>
      </c>
      <c r="AX870" t="s">
        <v>74</v>
      </c>
      <c r="AY870" t="s">
        <v>74</v>
      </c>
      <c r="AZ870" t="s">
        <v>74</v>
      </c>
      <c r="BA870" t="s">
        <v>74</v>
      </c>
      <c r="BB870">
        <v>283</v>
      </c>
      <c r="BC870">
        <v>297</v>
      </c>
      <c r="BD870" t="s">
        <v>74</v>
      </c>
      <c r="BE870" t="s">
        <v>16568</v>
      </c>
      <c r="BF870" t="str">
        <f>HYPERLINK("http://dx.doi.org/10.1086/671259","http://dx.doi.org/10.1086/671259")</f>
        <v>http://dx.doi.org/10.1086/671259</v>
      </c>
      <c r="BG870" t="s">
        <v>74</v>
      </c>
      <c r="BH870" t="s">
        <v>74</v>
      </c>
      <c r="BI870">
        <v>15</v>
      </c>
      <c r="BJ870" t="s">
        <v>9016</v>
      </c>
      <c r="BK870" t="s">
        <v>99</v>
      </c>
      <c r="BL870" t="s">
        <v>9017</v>
      </c>
      <c r="BM870" t="s">
        <v>16569</v>
      </c>
      <c r="BN870">
        <v>23933721</v>
      </c>
      <c r="BO870" t="s">
        <v>450</v>
      </c>
      <c r="BP870" t="s">
        <v>74</v>
      </c>
      <c r="BQ870" t="s">
        <v>74</v>
      </c>
      <c r="BR870" t="s">
        <v>103</v>
      </c>
      <c r="BS870" t="s">
        <v>16570</v>
      </c>
      <c r="BT870" t="str">
        <f>HYPERLINK("https%3A%2F%2Fwww.webofscience.com%2Fwos%2Fwoscc%2Ffull-record%2FWOS:000322901300004","View Full Record in Web of Science")</f>
        <v>View Full Record in Web of Science</v>
      </c>
    </row>
    <row r="871" spans="1:72" x14ac:dyDescent="0.15">
      <c r="A871" t="s">
        <v>72</v>
      </c>
      <c r="B871" t="s">
        <v>16571</v>
      </c>
      <c r="C871" t="s">
        <v>74</v>
      </c>
      <c r="D871" t="s">
        <v>74</v>
      </c>
      <c r="E871" t="s">
        <v>74</v>
      </c>
      <c r="F871" t="s">
        <v>16572</v>
      </c>
      <c r="G871" t="s">
        <v>74</v>
      </c>
      <c r="H871" t="s">
        <v>74</v>
      </c>
      <c r="I871" t="s">
        <v>16573</v>
      </c>
      <c r="J871" t="s">
        <v>16574</v>
      </c>
      <c r="K871" t="s">
        <v>74</v>
      </c>
      <c r="L871" t="s">
        <v>74</v>
      </c>
      <c r="M871" t="s">
        <v>78</v>
      </c>
      <c r="N871" t="s">
        <v>79</v>
      </c>
      <c r="O871" t="s">
        <v>74</v>
      </c>
      <c r="P871" t="s">
        <v>74</v>
      </c>
      <c r="Q871" t="s">
        <v>74</v>
      </c>
      <c r="R871" t="s">
        <v>74</v>
      </c>
      <c r="S871" t="s">
        <v>74</v>
      </c>
      <c r="T871" t="s">
        <v>16575</v>
      </c>
      <c r="U871" t="s">
        <v>16576</v>
      </c>
      <c r="V871" t="s">
        <v>16577</v>
      </c>
      <c r="W871" t="s">
        <v>16578</v>
      </c>
      <c r="X871" t="s">
        <v>16579</v>
      </c>
      <c r="Y871" t="s">
        <v>16580</v>
      </c>
      <c r="Z871" t="s">
        <v>16581</v>
      </c>
      <c r="AA871" t="s">
        <v>16582</v>
      </c>
      <c r="AB871" t="s">
        <v>16583</v>
      </c>
      <c r="AC871" t="s">
        <v>16584</v>
      </c>
      <c r="AD871" t="s">
        <v>16585</v>
      </c>
      <c r="AE871" t="s">
        <v>16586</v>
      </c>
      <c r="AF871" t="s">
        <v>74</v>
      </c>
      <c r="AG871">
        <v>43</v>
      </c>
      <c r="AH871">
        <v>15</v>
      </c>
      <c r="AI871">
        <v>15</v>
      </c>
      <c r="AJ871">
        <v>0</v>
      </c>
      <c r="AK871">
        <v>23</v>
      </c>
      <c r="AL871" t="s">
        <v>16587</v>
      </c>
      <c r="AM871" t="s">
        <v>16588</v>
      </c>
      <c r="AN871" t="s">
        <v>16589</v>
      </c>
      <c r="AO871" t="s">
        <v>16590</v>
      </c>
      <c r="AP871" t="s">
        <v>16591</v>
      </c>
      <c r="AQ871" t="s">
        <v>74</v>
      </c>
      <c r="AR871" t="s">
        <v>16592</v>
      </c>
      <c r="AS871" t="s">
        <v>16593</v>
      </c>
      <c r="AT871" t="s">
        <v>14663</v>
      </c>
      <c r="AU871">
        <v>2013</v>
      </c>
      <c r="AV871">
        <v>85</v>
      </c>
      <c r="AW871">
        <v>3</v>
      </c>
      <c r="AX871" t="s">
        <v>74</v>
      </c>
      <c r="AY871" t="s">
        <v>74</v>
      </c>
      <c r="AZ871" t="s">
        <v>74</v>
      </c>
      <c r="BA871" t="s">
        <v>74</v>
      </c>
      <c r="BB871">
        <v>923</v>
      </c>
      <c r="BC871">
        <v>935</v>
      </c>
      <c r="BD871" t="s">
        <v>74</v>
      </c>
      <c r="BE871" t="s">
        <v>16594</v>
      </c>
      <c r="BF871" t="str">
        <f>HYPERLINK("http://dx.doi.org/10.1590/S0001-37652013000300008","http://dx.doi.org/10.1590/S0001-37652013000300008")</f>
        <v>http://dx.doi.org/10.1590/S0001-37652013000300008</v>
      </c>
      <c r="BG871" t="s">
        <v>74</v>
      </c>
      <c r="BH871" t="s">
        <v>74</v>
      </c>
      <c r="BI871">
        <v>13</v>
      </c>
      <c r="BJ871" t="s">
        <v>2652</v>
      </c>
      <c r="BK871" t="s">
        <v>99</v>
      </c>
      <c r="BL871" t="s">
        <v>2653</v>
      </c>
      <c r="BM871" t="s">
        <v>16595</v>
      </c>
      <c r="BN871">
        <v>24068084</v>
      </c>
      <c r="BO871" t="s">
        <v>3000</v>
      </c>
      <c r="BP871" t="s">
        <v>74</v>
      </c>
      <c r="BQ871" t="s">
        <v>74</v>
      </c>
      <c r="BR871" t="s">
        <v>103</v>
      </c>
      <c r="BS871" t="s">
        <v>16596</v>
      </c>
      <c r="BT871" t="str">
        <f>HYPERLINK("https%3A%2F%2Fwww.webofscience.com%2Fwos%2Fwoscc%2Ffull-record%2FWOS:000324948400009","View Full Record in Web of Science")</f>
        <v>View Full Record in Web of Science</v>
      </c>
    </row>
    <row r="872" spans="1:72" x14ac:dyDescent="0.15">
      <c r="A872" t="s">
        <v>72</v>
      </c>
      <c r="B872" t="s">
        <v>16597</v>
      </c>
      <c r="C872" t="s">
        <v>74</v>
      </c>
      <c r="D872" t="s">
        <v>74</v>
      </c>
      <c r="E872" t="s">
        <v>74</v>
      </c>
      <c r="F872" t="s">
        <v>16598</v>
      </c>
      <c r="G872" t="s">
        <v>74</v>
      </c>
      <c r="H872" t="s">
        <v>74</v>
      </c>
      <c r="I872" t="s">
        <v>16599</v>
      </c>
      <c r="J872" t="s">
        <v>16600</v>
      </c>
      <c r="K872" t="s">
        <v>74</v>
      </c>
      <c r="L872" t="s">
        <v>74</v>
      </c>
      <c r="M872" t="s">
        <v>78</v>
      </c>
      <c r="N872" t="s">
        <v>79</v>
      </c>
      <c r="O872" t="s">
        <v>74</v>
      </c>
      <c r="P872" t="s">
        <v>74</v>
      </c>
      <c r="Q872" t="s">
        <v>74</v>
      </c>
      <c r="R872" t="s">
        <v>74</v>
      </c>
      <c r="S872" t="s">
        <v>74</v>
      </c>
      <c r="T872" t="s">
        <v>16601</v>
      </c>
      <c r="U872" t="s">
        <v>16602</v>
      </c>
      <c r="V872" t="s">
        <v>16603</v>
      </c>
      <c r="W872" t="s">
        <v>16604</v>
      </c>
      <c r="X872" t="s">
        <v>16605</v>
      </c>
      <c r="Y872" t="s">
        <v>16606</v>
      </c>
      <c r="Z872" t="s">
        <v>16607</v>
      </c>
      <c r="AA872" t="s">
        <v>16608</v>
      </c>
      <c r="AB872" t="s">
        <v>16609</v>
      </c>
      <c r="AC872" t="s">
        <v>7859</v>
      </c>
      <c r="AD872" t="s">
        <v>1747</v>
      </c>
      <c r="AE872" t="s">
        <v>74</v>
      </c>
      <c r="AF872" t="s">
        <v>74</v>
      </c>
      <c r="AG872">
        <v>57</v>
      </c>
      <c r="AH872">
        <v>23</v>
      </c>
      <c r="AI872">
        <v>24</v>
      </c>
      <c r="AJ872">
        <v>1</v>
      </c>
      <c r="AK872">
        <v>26</v>
      </c>
      <c r="AL872" t="s">
        <v>1067</v>
      </c>
      <c r="AM872" t="s">
        <v>1068</v>
      </c>
      <c r="AN872" t="s">
        <v>1163</v>
      </c>
      <c r="AO872" t="s">
        <v>16610</v>
      </c>
      <c r="AP872" t="s">
        <v>16611</v>
      </c>
      <c r="AQ872" t="s">
        <v>74</v>
      </c>
      <c r="AR872" t="s">
        <v>16612</v>
      </c>
      <c r="AS872" t="s">
        <v>16613</v>
      </c>
      <c r="AT872" t="s">
        <v>14663</v>
      </c>
      <c r="AU872">
        <v>2013</v>
      </c>
      <c r="AV872">
        <v>148</v>
      </c>
      <c r="AW872">
        <v>3</v>
      </c>
      <c r="AX872" t="s">
        <v>74</v>
      </c>
      <c r="AY872" t="s">
        <v>74</v>
      </c>
      <c r="AZ872" t="s">
        <v>74</v>
      </c>
      <c r="BA872" t="s">
        <v>74</v>
      </c>
      <c r="BB872">
        <v>517</v>
      </c>
      <c r="BC872">
        <v>539</v>
      </c>
      <c r="BD872" t="s">
        <v>74</v>
      </c>
      <c r="BE872" t="s">
        <v>16614</v>
      </c>
      <c r="BF872" t="str">
        <f>HYPERLINK("http://dx.doi.org/10.1007/s10546-013-9831-0","http://dx.doi.org/10.1007/s10546-013-9831-0")</f>
        <v>http://dx.doi.org/10.1007/s10546-013-9831-0</v>
      </c>
      <c r="BG872" t="s">
        <v>74</v>
      </c>
      <c r="BH872" t="s">
        <v>74</v>
      </c>
      <c r="BI872">
        <v>23</v>
      </c>
      <c r="BJ872" t="s">
        <v>1503</v>
      </c>
      <c r="BK872" t="s">
        <v>99</v>
      </c>
      <c r="BL872" t="s">
        <v>1503</v>
      </c>
      <c r="BM872" t="s">
        <v>16615</v>
      </c>
      <c r="BN872" t="s">
        <v>74</v>
      </c>
      <c r="BO872" t="s">
        <v>74</v>
      </c>
      <c r="BP872" t="s">
        <v>74</v>
      </c>
      <c r="BQ872" t="s">
        <v>74</v>
      </c>
      <c r="BR872" t="s">
        <v>103</v>
      </c>
      <c r="BS872" t="s">
        <v>16616</v>
      </c>
      <c r="BT872" t="str">
        <f>HYPERLINK("https%3A%2F%2Fwww.webofscience.com%2Fwos%2Fwoscc%2Ffull-record%2FWOS:000323247700005","View Full Record in Web of Science")</f>
        <v>View Full Record in Web of Science</v>
      </c>
    </row>
    <row r="873" spans="1:72" x14ac:dyDescent="0.15">
      <c r="A873" t="s">
        <v>72</v>
      </c>
      <c r="B873" t="s">
        <v>16617</v>
      </c>
      <c r="C873" t="s">
        <v>74</v>
      </c>
      <c r="D873" t="s">
        <v>74</v>
      </c>
      <c r="E873" t="s">
        <v>74</v>
      </c>
      <c r="F873" t="s">
        <v>16618</v>
      </c>
      <c r="G873" t="s">
        <v>74</v>
      </c>
      <c r="H873" t="s">
        <v>74</v>
      </c>
      <c r="I873" t="s">
        <v>16619</v>
      </c>
      <c r="J873" t="s">
        <v>16620</v>
      </c>
      <c r="K873" t="s">
        <v>74</v>
      </c>
      <c r="L873" t="s">
        <v>74</v>
      </c>
      <c r="M873" t="s">
        <v>78</v>
      </c>
      <c r="N873" t="s">
        <v>79</v>
      </c>
      <c r="O873" t="s">
        <v>74</v>
      </c>
      <c r="P873" t="s">
        <v>74</v>
      </c>
      <c r="Q873" t="s">
        <v>74</v>
      </c>
      <c r="R873" t="s">
        <v>74</v>
      </c>
      <c r="S873" t="s">
        <v>74</v>
      </c>
      <c r="T873" t="s">
        <v>16621</v>
      </c>
      <c r="U873" t="s">
        <v>16622</v>
      </c>
      <c r="V873" t="s">
        <v>16623</v>
      </c>
      <c r="W873" t="s">
        <v>16624</v>
      </c>
      <c r="X873" t="s">
        <v>111</v>
      </c>
      <c r="Y873" t="s">
        <v>16625</v>
      </c>
      <c r="Z873" t="s">
        <v>16626</v>
      </c>
      <c r="AA873" t="s">
        <v>16627</v>
      </c>
      <c r="AB873" t="s">
        <v>16628</v>
      </c>
      <c r="AC873" t="s">
        <v>16629</v>
      </c>
      <c r="AD873" t="s">
        <v>16630</v>
      </c>
      <c r="AE873" t="s">
        <v>16631</v>
      </c>
      <c r="AF873" t="s">
        <v>74</v>
      </c>
      <c r="AG873">
        <v>62</v>
      </c>
      <c r="AH873">
        <v>56</v>
      </c>
      <c r="AI873">
        <v>64</v>
      </c>
      <c r="AJ873">
        <v>2</v>
      </c>
      <c r="AK873">
        <v>51</v>
      </c>
      <c r="AL873" t="s">
        <v>4723</v>
      </c>
      <c r="AM873" t="s">
        <v>921</v>
      </c>
      <c r="AN873" t="s">
        <v>7655</v>
      </c>
      <c r="AO873" t="s">
        <v>16632</v>
      </c>
      <c r="AP873" t="s">
        <v>16633</v>
      </c>
      <c r="AQ873" t="s">
        <v>74</v>
      </c>
      <c r="AR873" t="s">
        <v>16634</v>
      </c>
      <c r="AS873" t="s">
        <v>16635</v>
      </c>
      <c r="AT873" t="s">
        <v>14663</v>
      </c>
      <c r="AU873">
        <v>2013</v>
      </c>
      <c r="AV873">
        <v>166</v>
      </c>
      <c r="AW873">
        <v>1</v>
      </c>
      <c r="AX873" t="s">
        <v>74</v>
      </c>
      <c r="AY873" t="s">
        <v>74</v>
      </c>
      <c r="AZ873" t="s">
        <v>74</v>
      </c>
      <c r="BA873" t="s">
        <v>74</v>
      </c>
      <c r="BB873">
        <v>48</v>
      </c>
      <c r="BC873">
        <v>57</v>
      </c>
      <c r="BD873" t="s">
        <v>74</v>
      </c>
      <c r="BE873" t="s">
        <v>16636</v>
      </c>
      <c r="BF873" t="str">
        <f>HYPERLINK("http://dx.doi.org/10.1016/j.cbpb.2013.06.006","http://dx.doi.org/10.1016/j.cbpb.2013.06.006")</f>
        <v>http://dx.doi.org/10.1016/j.cbpb.2013.06.006</v>
      </c>
      <c r="BG873" t="s">
        <v>74</v>
      </c>
      <c r="BH873" t="s">
        <v>74</v>
      </c>
      <c r="BI873">
        <v>10</v>
      </c>
      <c r="BJ873" t="s">
        <v>16637</v>
      </c>
      <c r="BK873" t="s">
        <v>99</v>
      </c>
      <c r="BL873" t="s">
        <v>16637</v>
      </c>
      <c r="BM873" t="s">
        <v>16638</v>
      </c>
      <c r="BN873">
        <v>23827663</v>
      </c>
      <c r="BO873" t="s">
        <v>831</v>
      </c>
      <c r="BP873" t="s">
        <v>74</v>
      </c>
      <c r="BQ873" t="s">
        <v>74</v>
      </c>
      <c r="BR873" t="s">
        <v>103</v>
      </c>
      <c r="BS873" t="s">
        <v>16639</v>
      </c>
      <c r="BT873" t="str">
        <f>HYPERLINK("https%3A%2F%2Fwww.webofscience.com%2Fwos%2Fwoscc%2Ffull-record%2FWOS:000324456300007","View Full Record in Web of Science")</f>
        <v>View Full Record in Web of Science</v>
      </c>
    </row>
    <row r="874" spans="1:72" x14ac:dyDescent="0.15">
      <c r="A874" t="s">
        <v>72</v>
      </c>
      <c r="B874" t="s">
        <v>16640</v>
      </c>
      <c r="C874" t="s">
        <v>74</v>
      </c>
      <c r="D874" t="s">
        <v>74</v>
      </c>
      <c r="E874" t="s">
        <v>74</v>
      </c>
      <c r="F874" t="s">
        <v>16641</v>
      </c>
      <c r="G874" t="s">
        <v>74</v>
      </c>
      <c r="H874" t="s">
        <v>74</v>
      </c>
      <c r="I874" t="s">
        <v>16642</v>
      </c>
      <c r="J874" t="s">
        <v>7691</v>
      </c>
      <c r="K874" t="s">
        <v>74</v>
      </c>
      <c r="L874" t="s">
        <v>74</v>
      </c>
      <c r="M874" t="s">
        <v>78</v>
      </c>
      <c r="N874" t="s">
        <v>79</v>
      </c>
      <c r="O874" t="s">
        <v>74</v>
      </c>
      <c r="P874" t="s">
        <v>74</v>
      </c>
      <c r="Q874" t="s">
        <v>74</v>
      </c>
      <c r="R874" t="s">
        <v>74</v>
      </c>
      <c r="S874" t="s">
        <v>74</v>
      </c>
      <c r="T874" t="s">
        <v>16643</v>
      </c>
      <c r="U874" t="s">
        <v>74</v>
      </c>
      <c r="V874" t="s">
        <v>16644</v>
      </c>
      <c r="W874" t="s">
        <v>16645</v>
      </c>
      <c r="X874" t="s">
        <v>16646</v>
      </c>
      <c r="Y874" t="s">
        <v>16647</v>
      </c>
      <c r="Z874" t="s">
        <v>16648</v>
      </c>
      <c r="AA874" t="s">
        <v>16649</v>
      </c>
      <c r="AB874" t="s">
        <v>16650</v>
      </c>
      <c r="AC874" t="s">
        <v>16651</v>
      </c>
      <c r="AD874" t="s">
        <v>16652</v>
      </c>
      <c r="AE874" t="s">
        <v>16653</v>
      </c>
      <c r="AF874" t="s">
        <v>74</v>
      </c>
      <c r="AG874">
        <v>9</v>
      </c>
      <c r="AH874">
        <v>4</v>
      </c>
      <c r="AI874">
        <v>5</v>
      </c>
      <c r="AJ874">
        <v>0</v>
      </c>
      <c r="AK874">
        <v>23</v>
      </c>
      <c r="AL874" t="s">
        <v>1067</v>
      </c>
      <c r="AM874" t="s">
        <v>1068</v>
      </c>
      <c r="AN874" t="s">
        <v>1163</v>
      </c>
      <c r="AO874" t="s">
        <v>7704</v>
      </c>
      <c r="AP874" t="s">
        <v>7705</v>
      </c>
      <c r="AQ874" t="s">
        <v>74</v>
      </c>
      <c r="AR874" t="s">
        <v>7706</v>
      </c>
      <c r="AS874" t="s">
        <v>7707</v>
      </c>
      <c r="AT874" t="s">
        <v>14663</v>
      </c>
      <c r="AU874">
        <v>2013</v>
      </c>
      <c r="AV874">
        <v>5</v>
      </c>
      <c r="AW874">
        <v>3</v>
      </c>
      <c r="AX874" t="s">
        <v>74</v>
      </c>
      <c r="AY874" t="s">
        <v>74</v>
      </c>
      <c r="AZ874" t="s">
        <v>74</v>
      </c>
      <c r="BA874" t="s">
        <v>74</v>
      </c>
      <c r="BB874">
        <v>835</v>
      </c>
      <c r="BC874">
        <v>839</v>
      </c>
      <c r="BD874" t="s">
        <v>74</v>
      </c>
      <c r="BE874" t="s">
        <v>16654</v>
      </c>
      <c r="BF874" t="str">
        <f>HYPERLINK("http://dx.doi.org/10.1007/s12686-013-9921-9","http://dx.doi.org/10.1007/s12686-013-9921-9")</f>
        <v>http://dx.doi.org/10.1007/s12686-013-9921-9</v>
      </c>
      <c r="BG874" t="s">
        <v>74</v>
      </c>
      <c r="BH874" t="s">
        <v>74</v>
      </c>
      <c r="BI874">
        <v>5</v>
      </c>
      <c r="BJ874" t="s">
        <v>7709</v>
      </c>
      <c r="BK874" t="s">
        <v>99</v>
      </c>
      <c r="BL874" t="s">
        <v>7710</v>
      </c>
      <c r="BM874" t="s">
        <v>15588</v>
      </c>
      <c r="BN874" t="s">
        <v>74</v>
      </c>
      <c r="BO874" t="s">
        <v>74</v>
      </c>
      <c r="BP874" t="s">
        <v>74</v>
      </c>
      <c r="BQ874" t="s">
        <v>74</v>
      </c>
      <c r="BR874" t="s">
        <v>103</v>
      </c>
      <c r="BS874" t="s">
        <v>16655</v>
      </c>
      <c r="BT874" t="str">
        <f>HYPERLINK("https%3A%2F%2Fwww.webofscience.com%2Fwos%2Fwoscc%2Ffull-record%2FWOS:000322619900056","View Full Record in Web of Science")</f>
        <v>View Full Record in Web of Science</v>
      </c>
    </row>
    <row r="875" spans="1:72" x14ac:dyDescent="0.15">
      <c r="A875" t="s">
        <v>72</v>
      </c>
      <c r="B875" t="s">
        <v>16656</v>
      </c>
      <c r="C875" t="s">
        <v>74</v>
      </c>
      <c r="D875" t="s">
        <v>74</v>
      </c>
      <c r="E875" t="s">
        <v>74</v>
      </c>
      <c r="F875" t="s">
        <v>16657</v>
      </c>
      <c r="G875" t="s">
        <v>74</v>
      </c>
      <c r="H875" t="s">
        <v>74</v>
      </c>
      <c r="I875" t="s">
        <v>16658</v>
      </c>
      <c r="J875" t="s">
        <v>16659</v>
      </c>
      <c r="K875" t="s">
        <v>74</v>
      </c>
      <c r="L875" t="s">
        <v>74</v>
      </c>
      <c r="M875" t="s">
        <v>78</v>
      </c>
      <c r="N875" t="s">
        <v>79</v>
      </c>
      <c r="O875" t="s">
        <v>74</v>
      </c>
      <c r="P875" t="s">
        <v>74</v>
      </c>
      <c r="Q875" t="s">
        <v>74</v>
      </c>
      <c r="R875" t="s">
        <v>74</v>
      </c>
      <c r="S875" t="s">
        <v>74</v>
      </c>
      <c r="T875" t="s">
        <v>16660</v>
      </c>
      <c r="U875" t="s">
        <v>16661</v>
      </c>
      <c r="V875" t="s">
        <v>16662</v>
      </c>
      <c r="W875" t="s">
        <v>16663</v>
      </c>
      <c r="X875" t="s">
        <v>16664</v>
      </c>
      <c r="Y875" t="s">
        <v>16665</v>
      </c>
      <c r="Z875" t="s">
        <v>16666</v>
      </c>
      <c r="AA875" t="s">
        <v>16667</v>
      </c>
      <c r="AB875" t="s">
        <v>16668</v>
      </c>
      <c r="AC875" t="s">
        <v>16669</v>
      </c>
      <c r="AD875" t="s">
        <v>16670</v>
      </c>
      <c r="AE875" t="s">
        <v>16671</v>
      </c>
      <c r="AF875" t="s">
        <v>74</v>
      </c>
      <c r="AG875">
        <v>63</v>
      </c>
      <c r="AH875">
        <v>18</v>
      </c>
      <c r="AI875">
        <v>24</v>
      </c>
      <c r="AJ875">
        <v>4</v>
      </c>
      <c r="AK875">
        <v>160</v>
      </c>
      <c r="AL875" t="s">
        <v>1067</v>
      </c>
      <c r="AM875" t="s">
        <v>921</v>
      </c>
      <c r="AN875" t="s">
        <v>2690</v>
      </c>
      <c r="AO875" t="s">
        <v>16672</v>
      </c>
      <c r="AP875" t="s">
        <v>16673</v>
      </c>
      <c r="AQ875" t="s">
        <v>74</v>
      </c>
      <c r="AR875" t="s">
        <v>16659</v>
      </c>
      <c r="AS875" t="s">
        <v>16674</v>
      </c>
      <c r="AT875" t="s">
        <v>14663</v>
      </c>
      <c r="AU875">
        <v>2013</v>
      </c>
      <c r="AV875">
        <v>32</v>
      </c>
      <c r="AW875">
        <v>3</v>
      </c>
      <c r="AX875" t="s">
        <v>74</v>
      </c>
      <c r="AY875" t="s">
        <v>74</v>
      </c>
      <c r="AZ875" t="s">
        <v>74</v>
      </c>
      <c r="BA875" t="s">
        <v>74</v>
      </c>
      <c r="BB875">
        <v>815</v>
      </c>
      <c r="BC875">
        <v>824</v>
      </c>
      <c r="BD875" t="s">
        <v>74</v>
      </c>
      <c r="BE875" t="s">
        <v>16675</v>
      </c>
      <c r="BF875" t="str">
        <f>HYPERLINK("http://dx.doi.org/10.1007/s00338-013-1029-x","http://dx.doi.org/10.1007/s00338-013-1029-x")</f>
        <v>http://dx.doi.org/10.1007/s00338-013-1029-x</v>
      </c>
      <c r="BG875" t="s">
        <v>74</v>
      </c>
      <c r="BH875" t="s">
        <v>74</v>
      </c>
      <c r="BI875">
        <v>10</v>
      </c>
      <c r="BJ875" t="s">
        <v>285</v>
      </c>
      <c r="BK875" t="s">
        <v>99</v>
      </c>
      <c r="BL875" t="s">
        <v>285</v>
      </c>
      <c r="BM875" t="s">
        <v>16676</v>
      </c>
      <c r="BN875" t="s">
        <v>74</v>
      </c>
      <c r="BO875" t="s">
        <v>74</v>
      </c>
      <c r="BP875" t="s">
        <v>74</v>
      </c>
      <c r="BQ875" t="s">
        <v>74</v>
      </c>
      <c r="BR875" t="s">
        <v>103</v>
      </c>
      <c r="BS875" t="s">
        <v>16677</v>
      </c>
      <c r="BT875" t="str">
        <f>HYPERLINK("https%3A%2F%2Fwww.webofscience.com%2Fwos%2Fwoscc%2Ffull-record%2FWOS:000322874500023","View Full Record in Web of Science")</f>
        <v>View Full Record in Web of Science</v>
      </c>
    </row>
    <row r="876" spans="1:72" x14ac:dyDescent="0.15">
      <c r="A876" t="s">
        <v>72</v>
      </c>
      <c r="B876" t="s">
        <v>16678</v>
      </c>
      <c r="C876" t="s">
        <v>74</v>
      </c>
      <c r="D876" t="s">
        <v>74</v>
      </c>
      <c r="E876" t="s">
        <v>74</v>
      </c>
      <c r="F876" t="s">
        <v>16679</v>
      </c>
      <c r="G876" t="s">
        <v>74</v>
      </c>
      <c r="H876" t="s">
        <v>74</v>
      </c>
      <c r="I876" t="s">
        <v>16680</v>
      </c>
      <c r="J876" t="s">
        <v>16681</v>
      </c>
      <c r="K876" t="s">
        <v>74</v>
      </c>
      <c r="L876" t="s">
        <v>74</v>
      </c>
      <c r="M876" t="s">
        <v>78</v>
      </c>
      <c r="N876" t="s">
        <v>213</v>
      </c>
      <c r="O876" t="s">
        <v>74</v>
      </c>
      <c r="P876" t="s">
        <v>74</v>
      </c>
      <c r="Q876" t="s">
        <v>74</v>
      </c>
      <c r="R876" t="s">
        <v>74</v>
      </c>
      <c r="S876" t="s">
        <v>74</v>
      </c>
      <c r="T876" t="s">
        <v>74</v>
      </c>
      <c r="U876" t="s">
        <v>16682</v>
      </c>
      <c r="V876" t="s">
        <v>16683</v>
      </c>
      <c r="W876" t="s">
        <v>16684</v>
      </c>
      <c r="X876" t="s">
        <v>16685</v>
      </c>
      <c r="Y876" t="s">
        <v>16686</v>
      </c>
      <c r="Z876" t="s">
        <v>16687</v>
      </c>
      <c r="AA876" t="s">
        <v>16688</v>
      </c>
      <c r="AB876" t="s">
        <v>16689</v>
      </c>
      <c r="AC876" t="s">
        <v>16690</v>
      </c>
      <c r="AD876" t="s">
        <v>16691</v>
      </c>
      <c r="AE876" t="s">
        <v>16692</v>
      </c>
      <c r="AF876" t="s">
        <v>74</v>
      </c>
      <c r="AG876">
        <v>29</v>
      </c>
      <c r="AH876">
        <v>36</v>
      </c>
      <c r="AI876">
        <v>39</v>
      </c>
      <c r="AJ876">
        <v>0</v>
      </c>
      <c r="AK876">
        <v>12</v>
      </c>
      <c r="AL876" t="s">
        <v>783</v>
      </c>
      <c r="AM876" t="s">
        <v>252</v>
      </c>
      <c r="AN876" t="s">
        <v>784</v>
      </c>
      <c r="AO876" t="s">
        <v>16693</v>
      </c>
      <c r="AP876" t="s">
        <v>16694</v>
      </c>
      <c r="AQ876" t="s">
        <v>74</v>
      </c>
      <c r="AR876" t="s">
        <v>16695</v>
      </c>
      <c r="AS876" t="s">
        <v>16696</v>
      </c>
      <c r="AT876" t="s">
        <v>14663</v>
      </c>
      <c r="AU876">
        <v>2013</v>
      </c>
      <c r="AV876">
        <v>5</v>
      </c>
      <c r="AW876" t="s">
        <v>5856</v>
      </c>
      <c r="AX876" t="s">
        <v>74</v>
      </c>
      <c r="AY876" t="s">
        <v>74</v>
      </c>
      <c r="AZ876" t="s">
        <v>74</v>
      </c>
      <c r="BA876" t="s">
        <v>74</v>
      </c>
      <c r="BB876">
        <v>306</v>
      </c>
      <c r="BC876">
        <v>313</v>
      </c>
      <c r="BD876" t="s">
        <v>74</v>
      </c>
      <c r="BE876" t="s">
        <v>16697</v>
      </c>
      <c r="BF876" t="str">
        <f>HYPERLINK("http://dx.doi.org/10.1016/j.cosust.2013.03.002","http://dx.doi.org/10.1016/j.cosust.2013.03.002")</f>
        <v>http://dx.doi.org/10.1016/j.cosust.2013.03.002</v>
      </c>
      <c r="BG876" t="s">
        <v>74</v>
      </c>
      <c r="BH876" t="s">
        <v>74</v>
      </c>
      <c r="BI876">
        <v>8</v>
      </c>
      <c r="BJ876" t="s">
        <v>16698</v>
      </c>
      <c r="BK876" t="s">
        <v>99</v>
      </c>
      <c r="BL876" t="s">
        <v>16699</v>
      </c>
      <c r="BM876" t="s">
        <v>16700</v>
      </c>
      <c r="BN876" t="s">
        <v>74</v>
      </c>
      <c r="BO876" t="s">
        <v>74</v>
      </c>
      <c r="BP876" t="s">
        <v>74</v>
      </c>
      <c r="BQ876" t="s">
        <v>74</v>
      </c>
      <c r="BR876" t="s">
        <v>103</v>
      </c>
      <c r="BS876" t="s">
        <v>16701</v>
      </c>
      <c r="BT876" t="str">
        <f>HYPERLINK("https%3A%2F%2Fwww.webofscience.com%2Fwos%2Fwoscc%2Ffull-record%2FWOS:000325741500005","View Full Record in Web of Science")</f>
        <v>View Full Record in Web of Science</v>
      </c>
    </row>
    <row r="877" spans="1:72" x14ac:dyDescent="0.15">
      <c r="A877" t="s">
        <v>72</v>
      </c>
      <c r="B877" t="s">
        <v>16702</v>
      </c>
      <c r="C877" t="s">
        <v>74</v>
      </c>
      <c r="D877" t="s">
        <v>74</v>
      </c>
      <c r="E877" t="s">
        <v>74</v>
      </c>
      <c r="F877" t="s">
        <v>16703</v>
      </c>
      <c r="G877" t="s">
        <v>74</v>
      </c>
      <c r="H877" t="s">
        <v>74</v>
      </c>
      <c r="I877" t="s">
        <v>16704</v>
      </c>
      <c r="J877" t="s">
        <v>9000</v>
      </c>
      <c r="K877" t="s">
        <v>74</v>
      </c>
      <c r="L877" t="s">
        <v>74</v>
      </c>
      <c r="M877" t="s">
        <v>78</v>
      </c>
      <c r="N877" t="s">
        <v>79</v>
      </c>
      <c r="O877" t="s">
        <v>74</v>
      </c>
      <c r="P877" t="s">
        <v>74</v>
      </c>
      <c r="Q877" t="s">
        <v>74</v>
      </c>
      <c r="R877" t="s">
        <v>74</v>
      </c>
      <c r="S877" t="s">
        <v>74</v>
      </c>
      <c r="T877" t="s">
        <v>16705</v>
      </c>
      <c r="U877" t="s">
        <v>16706</v>
      </c>
      <c r="V877" t="s">
        <v>16707</v>
      </c>
      <c r="W877" t="s">
        <v>16708</v>
      </c>
      <c r="X877" t="s">
        <v>16709</v>
      </c>
      <c r="Y877" t="s">
        <v>16710</v>
      </c>
      <c r="Z877" t="s">
        <v>16711</v>
      </c>
      <c r="AA877" t="s">
        <v>16712</v>
      </c>
      <c r="AB877" t="s">
        <v>16713</v>
      </c>
      <c r="AC877" t="s">
        <v>16714</v>
      </c>
      <c r="AD877" t="s">
        <v>16715</v>
      </c>
      <c r="AE877" t="s">
        <v>16716</v>
      </c>
      <c r="AF877" t="s">
        <v>74</v>
      </c>
      <c r="AG877">
        <v>61</v>
      </c>
      <c r="AH877">
        <v>44</v>
      </c>
      <c r="AI877">
        <v>45</v>
      </c>
      <c r="AJ877">
        <v>0</v>
      </c>
      <c r="AK877">
        <v>59</v>
      </c>
      <c r="AL877" t="s">
        <v>410</v>
      </c>
      <c r="AM877" t="s">
        <v>411</v>
      </c>
      <c r="AN877" t="s">
        <v>412</v>
      </c>
      <c r="AO877" t="s">
        <v>9012</v>
      </c>
      <c r="AP877" t="s">
        <v>74</v>
      </c>
      <c r="AQ877" t="s">
        <v>74</v>
      </c>
      <c r="AR877" t="s">
        <v>9013</v>
      </c>
      <c r="AS877" t="s">
        <v>9014</v>
      </c>
      <c r="AT877" t="s">
        <v>14663</v>
      </c>
      <c r="AU877">
        <v>2013</v>
      </c>
      <c r="AV877">
        <v>3</v>
      </c>
      <c r="AW877">
        <v>9</v>
      </c>
      <c r="AX877" t="s">
        <v>74</v>
      </c>
      <c r="AY877" t="s">
        <v>74</v>
      </c>
      <c r="AZ877" t="s">
        <v>74</v>
      </c>
      <c r="BA877" t="s">
        <v>74</v>
      </c>
      <c r="BB877">
        <v>2994</v>
      </c>
      <c r="BC877">
        <v>3004</v>
      </c>
      <c r="BD877" t="s">
        <v>74</v>
      </c>
      <c r="BE877" t="s">
        <v>16717</v>
      </c>
      <c r="BF877" t="str">
        <f>HYPERLINK("http://dx.doi.org/10.1002/ece3.678","http://dx.doi.org/10.1002/ece3.678")</f>
        <v>http://dx.doi.org/10.1002/ece3.678</v>
      </c>
      <c r="BG877" t="s">
        <v>74</v>
      </c>
      <c r="BH877" t="s">
        <v>74</v>
      </c>
      <c r="BI877">
        <v>11</v>
      </c>
      <c r="BJ877" t="s">
        <v>9016</v>
      </c>
      <c r="BK877" t="s">
        <v>99</v>
      </c>
      <c r="BL877" t="s">
        <v>9017</v>
      </c>
      <c r="BM877" t="s">
        <v>16718</v>
      </c>
      <c r="BN877">
        <v>24101989</v>
      </c>
      <c r="BO877" t="s">
        <v>8153</v>
      </c>
      <c r="BP877" t="s">
        <v>74</v>
      </c>
      <c r="BQ877" t="s">
        <v>74</v>
      </c>
      <c r="BR877" t="s">
        <v>103</v>
      </c>
      <c r="BS877" t="s">
        <v>16719</v>
      </c>
      <c r="BT877" t="str">
        <f>HYPERLINK("https%3A%2F%2Fwww.webofscience.com%2Fwos%2Fwoscc%2Ffull-record%2FWOS:000324046400018","View Full Record in Web of Science")</f>
        <v>View Full Record in Web of Science</v>
      </c>
    </row>
    <row r="878" spans="1:72" x14ac:dyDescent="0.15">
      <c r="A878" t="s">
        <v>72</v>
      </c>
      <c r="B878" t="s">
        <v>16720</v>
      </c>
      <c r="C878" t="s">
        <v>74</v>
      </c>
      <c r="D878" t="s">
        <v>74</v>
      </c>
      <c r="E878" t="s">
        <v>74</v>
      </c>
      <c r="F878" t="s">
        <v>16721</v>
      </c>
      <c r="G878" t="s">
        <v>74</v>
      </c>
      <c r="H878" t="s">
        <v>74</v>
      </c>
      <c r="I878" t="s">
        <v>16722</v>
      </c>
      <c r="J878" t="s">
        <v>9000</v>
      </c>
      <c r="K878" t="s">
        <v>74</v>
      </c>
      <c r="L878" t="s">
        <v>74</v>
      </c>
      <c r="M878" t="s">
        <v>78</v>
      </c>
      <c r="N878" t="s">
        <v>79</v>
      </c>
      <c r="O878" t="s">
        <v>74</v>
      </c>
      <c r="P878" t="s">
        <v>74</v>
      </c>
      <c r="Q878" t="s">
        <v>74</v>
      </c>
      <c r="R878" t="s">
        <v>74</v>
      </c>
      <c r="S878" t="s">
        <v>74</v>
      </c>
      <c r="T878" t="s">
        <v>16723</v>
      </c>
      <c r="U878" t="s">
        <v>16724</v>
      </c>
      <c r="V878" t="s">
        <v>16725</v>
      </c>
      <c r="W878" t="s">
        <v>16726</v>
      </c>
      <c r="X878" t="s">
        <v>16727</v>
      </c>
      <c r="Y878" t="s">
        <v>16728</v>
      </c>
      <c r="Z878" t="s">
        <v>16729</v>
      </c>
      <c r="AA878" t="s">
        <v>16730</v>
      </c>
      <c r="AB878" t="s">
        <v>16731</v>
      </c>
      <c r="AC878" t="s">
        <v>16732</v>
      </c>
      <c r="AD878" t="s">
        <v>16733</v>
      </c>
      <c r="AE878" t="s">
        <v>16734</v>
      </c>
      <c r="AF878" t="s">
        <v>74</v>
      </c>
      <c r="AG878">
        <v>130</v>
      </c>
      <c r="AH878">
        <v>15</v>
      </c>
      <c r="AI878">
        <v>18</v>
      </c>
      <c r="AJ878">
        <v>1</v>
      </c>
      <c r="AK878">
        <v>61</v>
      </c>
      <c r="AL878" t="s">
        <v>410</v>
      </c>
      <c r="AM878" t="s">
        <v>411</v>
      </c>
      <c r="AN878" t="s">
        <v>412</v>
      </c>
      <c r="AO878" t="s">
        <v>9012</v>
      </c>
      <c r="AP878" t="s">
        <v>74</v>
      </c>
      <c r="AQ878" t="s">
        <v>74</v>
      </c>
      <c r="AR878" t="s">
        <v>9013</v>
      </c>
      <c r="AS878" t="s">
        <v>9014</v>
      </c>
      <c r="AT878" t="s">
        <v>14663</v>
      </c>
      <c r="AU878">
        <v>2013</v>
      </c>
      <c r="AV878">
        <v>3</v>
      </c>
      <c r="AW878">
        <v>9</v>
      </c>
      <c r="AX878" t="s">
        <v>74</v>
      </c>
      <c r="AY878" t="s">
        <v>74</v>
      </c>
      <c r="AZ878" t="s">
        <v>74</v>
      </c>
      <c r="BA878" t="s">
        <v>74</v>
      </c>
      <c r="BB878">
        <v>3166</v>
      </c>
      <c r="BC878">
        <v>3182</v>
      </c>
      <c r="BD878" t="s">
        <v>74</v>
      </c>
      <c r="BE878" t="s">
        <v>16735</v>
      </c>
      <c r="BF878" t="str">
        <f>HYPERLINK("http://dx.doi.org/10.1002/ece3.708","http://dx.doi.org/10.1002/ece3.708")</f>
        <v>http://dx.doi.org/10.1002/ece3.708</v>
      </c>
      <c r="BG878" t="s">
        <v>74</v>
      </c>
      <c r="BH878" t="s">
        <v>74</v>
      </c>
      <c r="BI878">
        <v>17</v>
      </c>
      <c r="BJ878" t="s">
        <v>9016</v>
      </c>
      <c r="BK878" t="s">
        <v>99</v>
      </c>
      <c r="BL878" t="s">
        <v>9017</v>
      </c>
      <c r="BM878" t="s">
        <v>16718</v>
      </c>
      <c r="BN878">
        <v>24102002</v>
      </c>
      <c r="BO878" t="s">
        <v>616</v>
      </c>
      <c r="BP878" t="s">
        <v>74</v>
      </c>
      <c r="BQ878" t="s">
        <v>74</v>
      </c>
      <c r="BR878" t="s">
        <v>103</v>
      </c>
      <c r="BS878" t="s">
        <v>16736</v>
      </c>
      <c r="BT878" t="str">
        <f>HYPERLINK("https%3A%2F%2Fwww.webofscience.com%2Fwos%2Fwoscc%2Ffull-record%2FWOS:000324046400031","View Full Record in Web of Science")</f>
        <v>View Full Record in Web of Science</v>
      </c>
    </row>
    <row r="879" spans="1:72" x14ac:dyDescent="0.15">
      <c r="A879" t="s">
        <v>72</v>
      </c>
      <c r="B879" t="s">
        <v>16737</v>
      </c>
      <c r="C879" t="s">
        <v>74</v>
      </c>
      <c r="D879" t="s">
        <v>74</v>
      </c>
      <c r="E879" t="s">
        <v>74</v>
      </c>
      <c r="F879" t="s">
        <v>16738</v>
      </c>
      <c r="G879" t="s">
        <v>74</v>
      </c>
      <c r="H879" t="s">
        <v>74</v>
      </c>
      <c r="I879" t="s">
        <v>16739</v>
      </c>
      <c r="J879" t="s">
        <v>9000</v>
      </c>
      <c r="K879" t="s">
        <v>74</v>
      </c>
      <c r="L879" t="s">
        <v>74</v>
      </c>
      <c r="M879" t="s">
        <v>78</v>
      </c>
      <c r="N879" t="s">
        <v>79</v>
      </c>
      <c r="O879" t="s">
        <v>74</v>
      </c>
      <c r="P879" t="s">
        <v>74</v>
      </c>
      <c r="Q879" t="s">
        <v>74</v>
      </c>
      <c r="R879" t="s">
        <v>74</v>
      </c>
      <c r="S879" t="s">
        <v>74</v>
      </c>
      <c r="T879" t="s">
        <v>16740</v>
      </c>
      <c r="U879" t="s">
        <v>16741</v>
      </c>
      <c r="V879" t="s">
        <v>16742</v>
      </c>
      <c r="W879" t="s">
        <v>16743</v>
      </c>
      <c r="X879" t="s">
        <v>16744</v>
      </c>
      <c r="Y879" t="s">
        <v>16745</v>
      </c>
      <c r="Z879" t="s">
        <v>16746</v>
      </c>
      <c r="AA879" t="s">
        <v>16747</v>
      </c>
      <c r="AB879" t="s">
        <v>16748</v>
      </c>
      <c r="AC879" t="s">
        <v>16749</v>
      </c>
      <c r="AD879" t="s">
        <v>16750</v>
      </c>
      <c r="AE879" t="s">
        <v>16751</v>
      </c>
      <c r="AF879" t="s">
        <v>74</v>
      </c>
      <c r="AG879">
        <v>75</v>
      </c>
      <c r="AH879">
        <v>58</v>
      </c>
      <c r="AI879">
        <v>68</v>
      </c>
      <c r="AJ879">
        <v>1</v>
      </c>
      <c r="AK879">
        <v>94</v>
      </c>
      <c r="AL879" t="s">
        <v>410</v>
      </c>
      <c r="AM879" t="s">
        <v>411</v>
      </c>
      <c r="AN879" t="s">
        <v>412</v>
      </c>
      <c r="AO879" t="s">
        <v>9012</v>
      </c>
      <c r="AP879" t="s">
        <v>74</v>
      </c>
      <c r="AQ879" t="s">
        <v>74</v>
      </c>
      <c r="AR879" t="s">
        <v>9013</v>
      </c>
      <c r="AS879" t="s">
        <v>9014</v>
      </c>
      <c r="AT879" t="s">
        <v>14663</v>
      </c>
      <c r="AU879">
        <v>2013</v>
      </c>
      <c r="AV879">
        <v>3</v>
      </c>
      <c r="AW879">
        <v>10</v>
      </c>
      <c r="AX879" t="s">
        <v>74</v>
      </c>
      <c r="AY879" t="s">
        <v>74</v>
      </c>
      <c r="AZ879" t="s">
        <v>74</v>
      </c>
      <c r="BA879" t="s">
        <v>74</v>
      </c>
      <c r="BB879">
        <v>3283</v>
      </c>
      <c r="BC879">
        <v>3297</v>
      </c>
      <c r="BD879" t="s">
        <v>74</v>
      </c>
      <c r="BE879" t="s">
        <v>16752</v>
      </c>
      <c r="BF879" t="str">
        <f>HYPERLINK("http://dx.doi.org/10.1002/ece3.719","http://dx.doi.org/10.1002/ece3.719")</f>
        <v>http://dx.doi.org/10.1002/ece3.719</v>
      </c>
      <c r="BG879" t="s">
        <v>74</v>
      </c>
      <c r="BH879" t="s">
        <v>74</v>
      </c>
      <c r="BI879">
        <v>15</v>
      </c>
      <c r="BJ879" t="s">
        <v>9016</v>
      </c>
      <c r="BK879" t="s">
        <v>99</v>
      </c>
      <c r="BL879" t="s">
        <v>9017</v>
      </c>
      <c r="BM879" t="s">
        <v>16753</v>
      </c>
      <c r="BN879">
        <v>24223268</v>
      </c>
      <c r="BO879" t="s">
        <v>16754</v>
      </c>
      <c r="BP879" t="s">
        <v>74</v>
      </c>
      <c r="BQ879" t="s">
        <v>74</v>
      </c>
      <c r="BR879" t="s">
        <v>103</v>
      </c>
      <c r="BS879" t="s">
        <v>16755</v>
      </c>
      <c r="BT879" t="str">
        <f>HYPERLINK("https%3A%2F%2Fwww.webofscience.com%2Fwos%2Fwoscc%2Ffull-record%2FWOS:000324932600008","View Full Record in Web of Science")</f>
        <v>View Full Record in Web of Science</v>
      </c>
    </row>
    <row r="880" spans="1:72" x14ac:dyDescent="0.15">
      <c r="A880" t="s">
        <v>72</v>
      </c>
      <c r="B880" t="s">
        <v>16756</v>
      </c>
      <c r="C880" t="s">
        <v>74</v>
      </c>
      <c r="D880" t="s">
        <v>74</v>
      </c>
      <c r="E880" t="s">
        <v>74</v>
      </c>
      <c r="F880" t="s">
        <v>16757</v>
      </c>
      <c r="G880" t="s">
        <v>74</v>
      </c>
      <c r="H880" t="s">
        <v>74</v>
      </c>
      <c r="I880" t="s">
        <v>16758</v>
      </c>
      <c r="J880" t="s">
        <v>529</v>
      </c>
      <c r="K880" t="s">
        <v>74</v>
      </c>
      <c r="L880" t="s">
        <v>74</v>
      </c>
      <c r="M880" t="s">
        <v>78</v>
      </c>
      <c r="N880" t="s">
        <v>79</v>
      </c>
      <c r="O880" t="s">
        <v>74</v>
      </c>
      <c r="P880" t="s">
        <v>74</v>
      </c>
      <c r="Q880" t="s">
        <v>74</v>
      </c>
      <c r="R880" t="s">
        <v>74</v>
      </c>
      <c r="S880" t="s">
        <v>74</v>
      </c>
      <c r="T880" t="s">
        <v>16759</v>
      </c>
      <c r="U880" t="s">
        <v>16760</v>
      </c>
      <c r="V880" t="s">
        <v>16761</v>
      </c>
      <c r="W880" t="s">
        <v>16762</v>
      </c>
      <c r="X880" t="s">
        <v>16763</v>
      </c>
      <c r="Y880" t="s">
        <v>16764</v>
      </c>
      <c r="Z880" t="s">
        <v>16765</v>
      </c>
      <c r="AA880" t="s">
        <v>16766</v>
      </c>
      <c r="AB880" t="s">
        <v>16767</v>
      </c>
      <c r="AC880" t="s">
        <v>16768</v>
      </c>
      <c r="AD880" t="s">
        <v>16769</v>
      </c>
      <c r="AE880" t="s">
        <v>16770</v>
      </c>
      <c r="AF880" t="s">
        <v>74</v>
      </c>
      <c r="AG880">
        <v>96</v>
      </c>
      <c r="AH880">
        <v>12</v>
      </c>
      <c r="AI880">
        <v>15</v>
      </c>
      <c r="AJ880">
        <v>0</v>
      </c>
      <c r="AK880">
        <v>64</v>
      </c>
      <c r="AL880" t="s">
        <v>539</v>
      </c>
      <c r="AM880" t="s">
        <v>540</v>
      </c>
      <c r="AN880" t="s">
        <v>541</v>
      </c>
      <c r="AO880" t="s">
        <v>542</v>
      </c>
      <c r="AP880" t="s">
        <v>543</v>
      </c>
      <c r="AQ880" t="s">
        <v>74</v>
      </c>
      <c r="AR880" t="s">
        <v>529</v>
      </c>
      <c r="AS880" t="s">
        <v>544</v>
      </c>
      <c r="AT880" t="s">
        <v>14663</v>
      </c>
      <c r="AU880">
        <v>2013</v>
      </c>
      <c r="AV880">
        <v>17</v>
      </c>
      <c r="AW880">
        <v>5</v>
      </c>
      <c r="AX880" t="s">
        <v>74</v>
      </c>
      <c r="AY880" t="s">
        <v>74</v>
      </c>
      <c r="AZ880" t="s">
        <v>74</v>
      </c>
      <c r="BA880" t="s">
        <v>74</v>
      </c>
      <c r="BB880">
        <v>733</v>
      </c>
      <c r="BC880">
        <v>745</v>
      </c>
      <c r="BD880" t="s">
        <v>74</v>
      </c>
      <c r="BE880" t="s">
        <v>16771</v>
      </c>
      <c r="BF880" t="str">
        <f>HYPERLINK("http://dx.doi.org/10.1007/s00792-013-0555-3","http://dx.doi.org/10.1007/s00792-013-0555-3")</f>
        <v>http://dx.doi.org/10.1007/s00792-013-0555-3</v>
      </c>
      <c r="BG880" t="s">
        <v>74</v>
      </c>
      <c r="BH880" t="s">
        <v>74</v>
      </c>
      <c r="BI880">
        <v>13</v>
      </c>
      <c r="BJ880" t="s">
        <v>546</v>
      </c>
      <c r="BK880" t="s">
        <v>99</v>
      </c>
      <c r="BL880" t="s">
        <v>546</v>
      </c>
      <c r="BM880" t="s">
        <v>16182</v>
      </c>
      <c r="BN880">
        <v>23812890</v>
      </c>
      <c r="BO880" t="s">
        <v>450</v>
      </c>
      <c r="BP880" t="s">
        <v>74</v>
      </c>
      <c r="BQ880" t="s">
        <v>74</v>
      </c>
      <c r="BR880" t="s">
        <v>103</v>
      </c>
      <c r="BS880" t="s">
        <v>16772</v>
      </c>
      <c r="BT880" t="str">
        <f>HYPERLINK("https%3A%2F%2Fwww.webofscience.com%2Fwos%2Fwoscc%2Ffull-record%2FWOS:000323514400005","View Full Record in Web of Science")</f>
        <v>View Full Record in Web of Science</v>
      </c>
    </row>
    <row r="881" spans="1:72" x14ac:dyDescent="0.15">
      <c r="A881" t="s">
        <v>72</v>
      </c>
      <c r="B881" t="s">
        <v>16773</v>
      </c>
      <c r="C881" t="s">
        <v>74</v>
      </c>
      <c r="D881" t="s">
        <v>74</v>
      </c>
      <c r="E881" t="s">
        <v>74</v>
      </c>
      <c r="F881" t="s">
        <v>16774</v>
      </c>
      <c r="G881" t="s">
        <v>74</v>
      </c>
      <c r="H881" t="s">
        <v>74</v>
      </c>
      <c r="I881" t="s">
        <v>16775</v>
      </c>
      <c r="J881" t="s">
        <v>796</v>
      </c>
      <c r="K881" t="s">
        <v>74</v>
      </c>
      <c r="L881" t="s">
        <v>74</v>
      </c>
      <c r="M881" t="s">
        <v>78</v>
      </c>
      <c r="N881" t="s">
        <v>79</v>
      </c>
      <c r="O881" t="s">
        <v>74</v>
      </c>
      <c r="P881" t="s">
        <v>74</v>
      </c>
      <c r="Q881" t="s">
        <v>74</v>
      </c>
      <c r="R881" t="s">
        <v>74</v>
      </c>
      <c r="S881" t="s">
        <v>74</v>
      </c>
      <c r="T881" t="s">
        <v>74</v>
      </c>
      <c r="U881" t="s">
        <v>74</v>
      </c>
      <c r="V881" t="s">
        <v>16776</v>
      </c>
      <c r="W881" t="s">
        <v>16777</v>
      </c>
      <c r="X881" t="s">
        <v>16778</v>
      </c>
      <c r="Y881" t="s">
        <v>16779</v>
      </c>
      <c r="Z881" t="s">
        <v>16780</v>
      </c>
      <c r="AA881" t="s">
        <v>74</v>
      </c>
      <c r="AB881" t="s">
        <v>16781</v>
      </c>
      <c r="AC881" t="s">
        <v>16782</v>
      </c>
      <c r="AD881" t="s">
        <v>16783</v>
      </c>
      <c r="AE881" t="s">
        <v>16784</v>
      </c>
      <c r="AF881" t="s">
        <v>74</v>
      </c>
      <c r="AG881">
        <v>15</v>
      </c>
      <c r="AH881">
        <v>7</v>
      </c>
      <c r="AI881">
        <v>8</v>
      </c>
      <c r="AJ881">
        <v>1</v>
      </c>
      <c r="AK881">
        <v>1</v>
      </c>
      <c r="AL881" t="s">
        <v>807</v>
      </c>
      <c r="AM881" t="s">
        <v>808</v>
      </c>
      <c r="AN881" t="s">
        <v>809</v>
      </c>
      <c r="AO881" t="s">
        <v>74</v>
      </c>
      <c r="AP881" t="s">
        <v>810</v>
      </c>
      <c r="AQ881" t="s">
        <v>74</v>
      </c>
      <c r="AR881" t="s">
        <v>796</v>
      </c>
      <c r="AS881" t="s">
        <v>811</v>
      </c>
      <c r="AT881" t="s">
        <v>14745</v>
      </c>
      <c r="AU881">
        <v>2013</v>
      </c>
      <c r="AV881">
        <v>1</v>
      </c>
      <c r="AW881">
        <v>5</v>
      </c>
      <c r="AX881" t="s">
        <v>74</v>
      </c>
      <c r="AY881" t="s">
        <v>74</v>
      </c>
      <c r="AZ881" t="s">
        <v>74</v>
      </c>
      <c r="BA881" t="s">
        <v>74</v>
      </c>
      <c r="BB881" t="s">
        <v>74</v>
      </c>
      <c r="BC881" t="s">
        <v>74</v>
      </c>
      <c r="BD881" t="s">
        <v>16785</v>
      </c>
      <c r="BE881" t="s">
        <v>16786</v>
      </c>
      <c r="BF881" t="str">
        <f>HYPERLINK("http://dx.doi.org/10.1128/genomeA.00725-13","http://dx.doi.org/10.1128/genomeA.00725-13")</f>
        <v>http://dx.doi.org/10.1128/genomeA.00725-13</v>
      </c>
      <c r="BG881" t="s">
        <v>74</v>
      </c>
      <c r="BH881" t="s">
        <v>74</v>
      </c>
      <c r="BI881">
        <v>2</v>
      </c>
      <c r="BJ881" t="s">
        <v>815</v>
      </c>
      <c r="BK881" t="s">
        <v>494</v>
      </c>
      <c r="BL881" t="s">
        <v>815</v>
      </c>
      <c r="BM881" t="s">
        <v>16787</v>
      </c>
      <c r="BN881">
        <v>24051316</v>
      </c>
      <c r="BO881" t="s">
        <v>831</v>
      </c>
      <c r="BP881" t="s">
        <v>74</v>
      </c>
      <c r="BQ881" t="s">
        <v>74</v>
      </c>
      <c r="BR881" t="s">
        <v>103</v>
      </c>
      <c r="BS881" t="s">
        <v>16788</v>
      </c>
      <c r="BT881" t="str">
        <f>HYPERLINK("https%3A%2F%2Fwww.webofscience.com%2Fwos%2Fwoscc%2Ffull-record%2FWOS:000460358500044","View Full Record in Web of Science")</f>
        <v>View Full Record in Web of Science</v>
      </c>
    </row>
    <row r="882" spans="1:72" x14ac:dyDescent="0.15">
      <c r="A882" t="s">
        <v>72</v>
      </c>
      <c r="B882" t="s">
        <v>16789</v>
      </c>
      <c r="C882" t="s">
        <v>74</v>
      </c>
      <c r="D882" t="s">
        <v>74</v>
      </c>
      <c r="E882" t="s">
        <v>74</v>
      </c>
      <c r="F882" t="s">
        <v>16790</v>
      </c>
      <c r="G882" t="s">
        <v>74</v>
      </c>
      <c r="H882" t="s">
        <v>74</v>
      </c>
      <c r="I882" t="s">
        <v>16791</v>
      </c>
      <c r="J882" t="s">
        <v>796</v>
      </c>
      <c r="K882" t="s">
        <v>74</v>
      </c>
      <c r="L882" t="s">
        <v>74</v>
      </c>
      <c r="M882" t="s">
        <v>78</v>
      </c>
      <c r="N882" t="s">
        <v>79</v>
      </c>
      <c r="O882" t="s">
        <v>74</v>
      </c>
      <c r="P882" t="s">
        <v>74</v>
      </c>
      <c r="Q882" t="s">
        <v>74</v>
      </c>
      <c r="R882" t="s">
        <v>74</v>
      </c>
      <c r="S882" t="s">
        <v>74</v>
      </c>
      <c r="T882" t="s">
        <v>74</v>
      </c>
      <c r="U882" t="s">
        <v>74</v>
      </c>
      <c r="V882" t="s">
        <v>16792</v>
      </c>
      <c r="W882" t="s">
        <v>16793</v>
      </c>
      <c r="X882" t="s">
        <v>16794</v>
      </c>
      <c r="Y882" t="s">
        <v>16795</v>
      </c>
      <c r="Z882" t="s">
        <v>16796</v>
      </c>
      <c r="AA882" t="s">
        <v>74</v>
      </c>
      <c r="AB882" t="s">
        <v>74</v>
      </c>
      <c r="AC882" t="s">
        <v>16797</v>
      </c>
      <c r="AD882" t="s">
        <v>6912</v>
      </c>
      <c r="AE882" t="s">
        <v>16798</v>
      </c>
      <c r="AF882" t="s">
        <v>74</v>
      </c>
      <c r="AG882">
        <v>12</v>
      </c>
      <c r="AH882">
        <v>3</v>
      </c>
      <c r="AI882">
        <v>3</v>
      </c>
      <c r="AJ882">
        <v>1</v>
      </c>
      <c r="AK882">
        <v>3</v>
      </c>
      <c r="AL882" t="s">
        <v>807</v>
      </c>
      <c r="AM882" t="s">
        <v>808</v>
      </c>
      <c r="AN882" t="s">
        <v>809</v>
      </c>
      <c r="AO882" t="s">
        <v>74</v>
      </c>
      <c r="AP882" t="s">
        <v>810</v>
      </c>
      <c r="AQ882" t="s">
        <v>74</v>
      </c>
      <c r="AR882" t="s">
        <v>796</v>
      </c>
      <c r="AS882" t="s">
        <v>811</v>
      </c>
      <c r="AT882" t="s">
        <v>14745</v>
      </c>
      <c r="AU882">
        <v>2013</v>
      </c>
      <c r="AV882">
        <v>1</v>
      </c>
      <c r="AW882">
        <v>5</v>
      </c>
      <c r="AX882" t="s">
        <v>74</v>
      </c>
      <c r="AY882" t="s">
        <v>74</v>
      </c>
      <c r="AZ882" t="s">
        <v>74</v>
      </c>
      <c r="BA882" t="s">
        <v>74</v>
      </c>
      <c r="BB882" t="s">
        <v>74</v>
      </c>
      <c r="BC882" t="s">
        <v>74</v>
      </c>
      <c r="BD882" t="s">
        <v>16799</v>
      </c>
      <c r="BE882" t="s">
        <v>16800</v>
      </c>
      <c r="BF882" t="str">
        <f>HYPERLINK("http://dx.doi.org/10.1128/genomeA.00699-13","http://dx.doi.org/10.1128/genomeA.00699-13")</f>
        <v>http://dx.doi.org/10.1128/genomeA.00699-13</v>
      </c>
      <c r="BG882" t="s">
        <v>74</v>
      </c>
      <c r="BH882" t="s">
        <v>74</v>
      </c>
      <c r="BI882">
        <v>2</v>
      </c>
      <c r="BJ882" t="s">
        <v>815</v>
      </c>
      <c r="BK882" t="s">
        <v>494</v>
      </c>
      <c r="BL882" t="s">
        <v>815</v>
      </c>
      <c r="BM882" t="s">
        <v>16787</v>
      </c>
      <c r="BN882">
        <v>24009125</v>
      </c>
      <c r="BO882" t="s">
        <v>4419</v>
      </c>
      <c r="BP882" t="s">
        <v>74</v>
      </c>
      <c r="BQ882" t="s">
        <v>74</v>
      </c>
      <c r="BR882" t="s">
        <v>103</v>
      </c>
      <c r="BS882" t="s">
        <v>16801</v>
      </c>
      <c r="BT882" t="str">
        <f>HYPERLINK("https%3A%2F%2Fwww.webofscience.com%2Fwos%2Fwoscc%2Ffull-record%2FWOS:000460358500029","View Full Record in Web of Science")</f>
        <v>View Full Record in Web of Science</v>
      </c>
    </row>
    <row r="883" spans="1:72" x14ac:dyDescent="0.15">
      <c r="A883" t="s">
        <v>72</v>
      </c>
      <c r="B883" t="s">
        <v>16802</v>
      </c>
      <c r="C883" t="s">
        <v>74</v>
      </c>
      <c r="D883" t="s">
        <v>74</v>
      </c>
      <c r="E883" t="s">
        <v>74</v>
      </c>
      <c r="F883" t="s">
        <v>16803</v>
      </c>
      <c r="G883" t="s">
        <v>74</v>
      </c>
      <c r="H883" t="s">
        <v>74</v>
      </c>
      <c r="I883" t="s">
        <v>16804</v>
      </c>
      <c r="J883" t="s">
        <v>6824</v>
      </c>
      <c r="K883" t="s">
        <v>74</v>
      </c>
      <c r="L883" t="s">
        <v>74</v>
      </c>
      <c r="M883" t="s">
        <v>78</v>
      </c>
      <c r="N883" t="s">
        <v>79</v>
      </c>
      <c r="O883" t="s">
        <v>74</v>
      </c>
      <c r="P883" t="s">
        <v>74</v>
      </c>
      <c r="Q883" t="s">
        <v>74</v>
      </c>
      <c r="R883" t="s">
        <v>74</v>
      </c>
      <c r="S883" t="s">
        <v>74</v>
      </c>
      <c r="T883" t="s">
        <v>74</v>
      </c>
      <c r="U883" t="s">
        <v>16805</v>
      </c>
      <c r="V883" t="s">
        <v>16806</v>
      </c>
      <c r="W883" t="s">
        <v>16807</v>
      </c>
      <c r="X883" t="s">
        <v>16808</v>
      </c>
      <c r="Y883" t="s">
        <v>16809</v>
      </c>
      <c r="Z883" t="s">
        <v>74</v>
      </c>
      <c r="AA883" t="s">
        <v>16810</v>
      </c>
      <c r="AB883" t="s">
        <v>16811</v>
      </c>
      <c r="AC883" t="s">
        <v>16812</v>
      </c>
      <c r="AD883" t="s">
        <v>16813</v>
      </c>
      <c r="AE883" t="s">
        <v>16814</v>
      </c>
      <c r="AF883" t="s">
        <v>74</v>
      </c>
      <c r="AG883">
        <v>29</v>
      </c>
      <c r="AH883">
        <v>81</v>
      </c>
      <c r="AI883">
        <v>83</v>
      </c>
      <c r="AJ883">
        <v>2</v>
      </c>
      <c r="AK883">
        <v>86</v>
      </c>
      <c r="AL883" t="s">
        <v>946</v>
      </c>
      <c r="AM883" t="s">
        <v>947</v>
      </c>
      <c r="AN883" t="s">
        <v>948</v>
      </c>
      <c r="AO883" t="s">
        <v>6835</v>
      </c>
      <c r="AP883" t="s">
        <v>6836</v>
      </c>
      <c r="AQ883" t="s">
        <v>74</v>
      </c>
      <c r="AR883" t="s">
        <v>6824</v>
      </c>
      <c r="AS883" t="s">
        <v>338</v>
      </c>
      <c r="AT883" t="s">
        <v>14663</v>
      </c>
      <c r="AU883">
        <v>2013</v>
      </c>
      <c r="AV883">
        <v>41</v>
      </c>
      <c r="AW883">
        <v>9</v>
      </c>
      <c r="AX883" t="s">
        <v>74</v>
      </c>
      <c r="AY883" t="s">
        <v>74</v>
      </c>
      <c r="AZ883" t="s">
        <v>74</v>
      </c>
      <c r="BA883" t="s">
        <v>74</v>
      </c>
      <c r="BB883">
        <v>947</v>
      </c>
      <c r="BC883">
        <v>950</v>
      </c>
      <c r="BD883" t="s">
        <v>74</v>
      </c>
      <c r="BE883" t="s">
        <v>16815</v>
      </c>
      <c r="BF883" t="str">
        <f>HYPERLINK("http://dx.doi.org/10.1130/G34352.1","http://dx.doi.org/10.1130/G34352.1")</f>
        <v>http://dx.doi.org/10.1130/G34352.1</v>
      </c>
      <c r="BG883" t="s">
        <v>74</v>
      </c>
      <c r="BH883" t="s">
        <v>74</v>
      </c>
      <c r="BI883">
        <v>4</v>
      </c>
      <c r="BJ883" t="s">
        <v>338</v>
      </c>
      <c r="BK883" t="s">
        <v>99</v>
      </c>
      <c r="BL883" t="s">
        <v>338</v>
      </c>
      <c r="BM883" t="s">
        <v>16816</v>
      </c>
      <c r="BN883" t="s">
        <v>74</v>
      </c>
      <c r="BO883" t="s">
        <v>74</v>
      </c>
      <c r="BP883" t="s">
        <v>74</v>
      </c>
      <c r="BQ883" t="s">
        <v>74</v>
      </c>
      <c r="BR883" t="s">
        <v>103</v>
      </c>
      <c r="BS883" t="s">
        <v>16817</v>
      </c>
      <c r="BT883" t="str">
        <f>HYPERLINK("https%3A%2F%2Fwww.webofscience.com%2Fwos%2Fwoscc%2Ffull-record%2FWOS:000323277300009","View Full Record in Web of Science")</f>
        <v>View Full Record in Web of Science</v>
      </c>
    </row>
    <row r="884" spans="1:72" x14ac:dyDescent="0.15">
      <c r="A884" t="s">
        <v>72</v>
      </c>
      <c r="B884" t="s">
        <v>16818</v>
      </c>
      <c r="C884" t="s">
        <v>74</v>
      </c>
      <c r="D884" t="s">
        <v>74</v>
      </c>
      <c r="E884" t="s">
        <v>74</v>
      </c>
      <c r="F884" t="s">
        <v>16819</v>
      </c>
      <c r="G884" t="s">
        <v>74</v>
      </c>
      <c r="H884" t="s">
        <v>74</v>
      </c>
      <c r="I884" t="s">
        <v>16820</v>
      </c>
      <c r="J884" t="s">
        <v>6824</v>
      </c>
      <c r="K884" t="s">
        <v>74</v>
      </c>
      <c r="L884" t="s">
        <v>74</v>
      </c>
      <c r="M884" t="s">
        <v>78</v>
      </c>
      <c r="N884" t="s">
        <v>79</v>
      </c>
      <c r="O884" t="s">
        <v>74</v>
      </c>
      <c r="P884" t="s">
        <v>74</v>
      </c>
      <c r="Q884" t="s">
        <v>74</v>
      </c>
      <c r="R884" t="s">
        <v>74</v>
      </c>
      <c r="S884" t="s">
        <v>74</v>
      </c>
      <c r="T884" t="s">
        <v>74</v>
      </c>
      <c r="U884" t="s">
        <v>16821</v>
      </c>
      <c r="V884" t="s">
        <v>16822</v>
      </c>
      <c r="W884" t="s">
        <v>16823</v>
      </c>
      <c r="X884" t="s">
        <v>16824</v>
      </c>
      <c r="Y884" t="s">
        <v>16825</v>
      </c>
      <c r="Z884" t="s">
        <v>16826</v>
      </c>
      <c r="AA884" t="s">
        <v>16827</v>
      </c>
      <c r="AB884" t="s">
        <v>16828</v>
      </c>
      <c r="AC884" t="s">
        <v>16829</v>
      </c>
      <c r="AD884" t="s">
        <v>16830</v>
      </c>
      <c r="AE884" t="s">
        <v>16831</v>
      </c>
      <c r="AF884" t="s">
        <v>74</v>
      </c>
      <c r="AG884">
        <v>34</v>
      </c>
      <c r="AH884">
        <v>33</v>
      </c>
      <c r="AI884">
        <v>35</v>
      </c>
      <c r="AJ884">
        <v>0</v>
      </c>
      <c r="AK884">
        <v>40</v>
      </c>
      <c r="AL884" t="s">
        <v>946</v>
      </c>
      <c r="AM884" t="s">
        <v>947</v>
      </c>
      <c r="AN884" t="s">
        <v>948</v>
      </c>
      <c r="AO884" t="s">
        <v>6835</v>
      </c>
      <c r="AP884" t="s">
        <v>74</v>
      </c>
      <c r="AQ884" t="s">
        <v>74</v>
      </c>
      <c r="AR884" t="s">
        <v>6824</v>
      </c>
      <c r="AS884" t="s">
        <v>338</v>
      </c>
      <c r="AT884" t="s">
        <v>14663</v>
      </c>
      <c r="AU884">
        <v>2013</v>
      </c>
      <c r="AV884">
        <v>41</v>
      </c>
      <c r="AW884">
        <v>9</v>
      </c>
      <c r="AX884" t="s">
        <v>74</v>
      </c>
      <c r="AY884" t="s">
        <v>74</v>
      </c>
      <c r="AZ884" t="s">
        <v>74</v>
      </c>
      <c r="BA884" t="s">
        <v>74</v>
      </c>
      <c r="BB884">
        <v>963</v>
      </c>
      <c r="BC884">
        <v>966</v>
      </c>
      <c r="BD884" t="s">
        <v>74</v>
      </c>
      <c r="BE884" t="s">
        <v>16832</v>
      </c>
      <c r="BF884" t="str">
        <f>HYPERLINK("http://dx.doi.org/10.1130/G34422.1","http://dx.doi.org/10.1130/G34422.1")</f>
        <v>http://dx.doi.org/10.1130/G34422.1</v>
      </c>
      <c r="BG884" t="s">
        <v>74</v>
      </c>
      <c r="BH884" t="s">
        <v>74</v>
      </c>
      <c r="BI884">
        <v>4</v>
      </c>
      <c r="BJ884" t="s">
        <v>338</v>
      </c>
      <c r="BK884" t="s">
        <v>99</v>
      </c>
      <c r="BL884" t="s">
        <v>338</v>
      </c>
      <c r="BM884" t="s">
        <v>16816</v>
      </c>
      <c r="BN884" t="s">
        <v>74</v>
      </c>
      <c r="BO884" t="s">
        <v>1549</v>
      </c>
      <c r="BP884" t="s">
        <v>74</v>
      </c>
      <c r="BQ884" t="s">
        <v>74</v>
      </c>
      <c r="BR884" t="s">
        <v>103</v>
      </c>
      <c r="BS884" t="s">
        <v>16833</v>
      </c>
      <c r="BT884" t="str">
        <f>HYPERLINK("https%3A%2F%2Fwww.webofscience.com%2Fwos%2Fwoscc%2Ffull-record%2FWOS:000323277300013","View Full Record in Web of Science")</f>
        <v>View Full Record in Web of Science</v>
      </c>
    </row>
    <row r="885" spans="1:72" x14ac:dyDescent="0.15">
      <c r="A885" t="s">
        <v>72</v>
      </c>
      <c r="B885" t="s">
        <v>16834</v>
      </c>
      <c r="C885" t="s">
        <v>74</v>
      </c>
      <c r="D885" t="s">
        <v>74</v>
      </c>
      <c r="E885" t="s">
        <v>74</v>
      </c>
      <c r="F885" t="s">
        <v>16835</v>
      </c>
      <c r="G885" t="s">
        <v>74</v>
      </c>
      <c r="H885" t="s">
        <v>74</v>
      </c>
      <c r="I885" t="s">
        <v>16836</v>
      </c>
      <c r="J885" t="s">
        <v>5360</v>
      </c>
      <c r="K885" t="s">
        <v>74</v>
      </c>
      <c r="L885" t="s">
        <v>74</v>
      </c>
      <c r="M885" t="s">
        <v>78</v>
      </c>
      <c r="N885" t="s">
        <v>79</v>
      </c>
      <c r="O885" t="s">
        <v>74</v>
      </c>
      <c r="P885" t="s">
        <v>74</v>
      </c>
      <c r="Q885" t="s">
        <v>74</v>
      </c>
      <c r="R885" t="s">
        <v>74</v>
      </c>
      <c r="S885" t="s">
        <v>74</v>
      </c>
      <c r="T885" t="s">
        <v>16837</v>
      </c>
      <c r="U885" t="s">
        <v>16838</v>
      </c>
      <c r="V885" t="s">
        <v>16839</v>
      </c>
      <c r="W885" t="s">
        <v>16840</v>
      </c>
      <c r="X885" t="s">
        <v>16841</v>
      </c>
      <c r="Y885" t="s">
        <v>16842</v>
      </c>
      <c r="Z885" t="s">
        <v>16843</v>
      </c>
      <c r="AA885" t="s">
        <v>16844</v>
      </c>
      <c r="AB885" t="s">
        <v>16845</v>
      </c>
      <c r="AC885" t="s">
        <v>16846</v>
      </c>
      <c r="AD885" t="s">
        <v>16847</v>
      </c>
      <c r="AE885" t="s">
        <v>16848</v>
      </c>
      <c r="AF885" t="s">
        <v>74</v>
      </c>
      <c r="AG885">
        <v>56</v>
      </c>
      <c r="AH885">
        <v>10</v>
      </c>
      <c r="AI885">
        <v>11</v>
      </c>
      <c r="AJ885">
        <v>1</v>
      </c>
      <c r="AK885">
        <v>59</v>
      </c>
      <c r="AL885" t="s">
        <v>1606</v>
      </c>
      <c r="AM885" t="s">
        <v>808</v>
      </c>
      <c r="AN885" t="s">
        <v>1607</v>
      </c>
      <c r="AO885" t="s">
        <v>5373</v>
      </c>
      <c r="AP885" t="s">
        <v>5374</v>
      </c>
      <c r="AQ885" t="s">
        <v>74</v>
      </c>
      <c r="AR885" t="s">
        <v>5375</v>
      </c>
      <c r="AS885" t="s">
        <v>5376</v>
      </c>
      <c r="AT885" t="s">
        <v>14663</v>
      </c>
      <c r="AU885">
        <v>2013</v>
      </c>
      <c r="AV885">
        <v>27</v>
      </c>
      <c r="AW885">
        <v>3</v>
      </c>
      <c r="AX885" t="s">
        <v>74</v>
      </c>
      <c r="AY885" t="s">
        <v>74</v>
      </c>
      <c r="AZ885" t="s">
        <v>74</v>
      </c>
      <c r="BA885" t="s">
        <v>74</v>
      </c>
      <c r="BB885">
        <v>930</v>
      </c>
      <c r="BC885">
        <v>940</v>
      </c>
      <c r="BD885" t="s">
        <v>74</v>
      </c>
      <c r="BE885" t="s">
        <v>16849</v>
      </c>
      <c r="BF885" t="str">
        <f>HYPERLINK("http://dx.doi.org/10.1002/gbc.20079","http://dx.doi.org/10.1002/gbc.20079")</f>
        <v>http://dx.doi.org/10.1002/gbc.20079</v>
      </c>
      <c r="BG885" t="s">
        <v>74</v>
      </c>
      <c r="BH885" t="s">
        <v>74</v>
      </c>
      <c r="BI885">
        <v>11</v>
      </c>
      <c r="BJ885" t="s">
        <v>5378</v>
      </c>
      <c r="BK885" t="s">
        <v>99</v>
      </c>
      <c r="BL885" t="s">
        <v>5379</v>
      </c>
      <c r="BM885" t="s">
        <v>15153</v>
      </c>
      <c r="BN885" t="s">
        <v>74</v>
      </c>
      <c r="BO885" t="s">
        <v>475</v>
      </c>
      <c r="BP885" t="s">
        <v>74</v>
      </c>
      <c r="BQ885" t="s">
        <v>74</v>
      </c>
      <c r="BR885" t="s">
        <v>103</v>
      </c>
      <c r="BS885" t="s">
        <v>16850</v>
      </c>
      <c r="BT885" t="str">
        <f>HYPERLINK("https%3A%2F%2Fwww.webofscience.com%2Fwos%2Fwoscc%2Ffull-record%2FWOS:000325488600028","View Full Record in Web of Science")</f>
        <v>View Full Record in Web of Science</v>
      </c>
    </row>
    <row r="886" spans="1:72" x14ac:dyDescent="0.15">
      <c r="A886" t="s">
        <v>72</v>
      </c>
      <c r="B886" t="s">
        <v>16851</v>
      </c>
      <c r="C886" t="s">
        <v>74</v>
      </c>
      <c r="D886" t="s">
        <v>74</v>
      </c>
      <c r="E886" t="s">
        <v>74</v>
      </c>
      <c r="F886" t="s">
        <v>16852</v>
      </c>
      <c r="G886" t="s">
        <v>74</v>
      </c>
      <c r="H886" t="s">
        <v>74</v>
      </c>
      <c r="I886" t="s">
        <v>16853</v>
      </c>
      <c r="J886" t="s">
        <v>8780</v>
      </c>
      <c r="K886" t="s">
        <v>74</v>
      </c>
      <c r="L886" t="s">
        <v>74</v>
      </c>
      <c r="M886" t="s">
        <v>78</v>
      </c>
      <c r="N886" t="s">
        <v>79</v>
      </c>
      <c r="O886" t="s">
        <v>74</v>
      </c>
      <c r="P886" t="s">
        <v>74</v>
      </c>
      <c r="Q886" t="s">
        <v>74</v>
      </c>
      <c r="R886" t="s">
        <v>74</v>
      </c>
      <c r="S886" t="s">
        <v>74</v>
      </c>
      <c r="T886" t="s">
        <v>74</v>
      </c>
      <c r="U886" t="s">
        <v>16854</v>
      </c>
      <c r="V886" t="s">
        <v>16855</v>
      </c>
      <c r="W886" t="s">
        <v>16856</v>
      </c>
      <c r="X886" t="s">
        <v>16857</v>
      </c>
      <c r="Y886" t="s">
        <v>16858</v>
      </c>
      <c r="Z886" t="s">
        <v>16859</v>
      </c>
      <c r="AA886" t="s">
        <v>16860</v>
      </c>
      <c r="AB886" t="s">
        <v>16861</v>
      </c>
      <c r="AC886" t="s">
        <v>16862</v>
      </c>
      <c r="AD886" t="s">
        <v>16863</v>
      </c>
      <c r="AE886" t="s">
        <v>16864</v>
      </c>
      <c r="AF886" t="s">
        <v>74</v>
      </c>
      <c r="AG886">
        <v>35</v>
      </c>
      <c r="AH886">
        <v>24</v>
      </c>
      <c r="AI886">
        <v>26</v>
      </c>
      <c r="AJ886">
        <v>0</v>
      </c>
      <c r="AK886">
        <v>17</v>
      </c>
      <c r="AL886" t="s">
        <v>8792</v>
      </c>
      <c r="AM886" t="s">
        <v>849</v>
      </c>
      <c r="AN886" t="s">
        <v>14944</v>
      </c>
      <c r="AO886" t="s">
        <v>8794</v>
      </c>
      <c r="AP886" t="s">
        <v>8795</v>
      </c>
      <c r="AQ886" t="s">
        <v>74</v>
      </c>
      <c r="AR886" t="s">
        <v>8796</v>
      </c>
      <c r="AS886" t="s">
        <v>8797</v>
      </c>
      <c r="AT886" t="s">
        <v>14663</v>
      </c>
      <c r="AU886">
        <v>2013</v>
      </c>
      <c r="AV886">
        <v>63</v>
      </c>
      <c r="AW886" t="s">
        <v>74</v>
      </c>
      <c r="AX886">
        <v>9</v>
      </c>
      <c r="AY886" t="s">
        <v>74</v>
      </c>
      <c r="AZ886" t="s">
        <v>74</v>
      </c>
      <c r="BA886" t="s">
        <v>74</v>
      </c>
      <c r="BB886">
        <v>3197</v>
      </c>
      <c r="BC886">
        <v>3203</v>
      </c>
      <c r="BD886" t="s">
        <v>74</v>
      </c>
      <c r="BE886" t="s">
        <v>16865</v>
      </c>
      <c r="BF886" t="str">
        <f>HYPERLINK("http://dx.doi.org/10.1099/ijs.0.046920-0","http://dx.doi.org/10.1099/ijs.0.046920-0")</f>
        <v>http://dx.doi.org/10.1099/ijs.0.046920-0</v>
      </c>
      <c r="BG886" t="s">
        <v>74</v>
      </c>
      <c r="BH886" t="s">
        <v>74</v>
      </c>
      <c r="BI886">
        <v>7</v>
      </c>
      <c r="BJ886" t="s">
        <v>815</v>
      </c>
      <c r="BK886" t="s">
        <v>99</v>
      </c>
      <c r="BL886" t="s">
        <v>815</v>
      </c>
      <c r="BM886" t="s">
        <v>14946</v>
      </c>
      <c r="BN886">
        <v>23456802</v>
      </c>
      <c r="BO886" t="s">
        <v>74</v>
      </c>
      <c r="BP886" t="s">
        <v>74</v>
      </c>
      <c r="BQ886" t="s">
        <v>74</v>
      </c>
      <c r="BR886" t="s">
        <v>103</v>
      </c>
      <c r="BS886" t="s">
        <v>16866</v>
      </c>
      <c r="BT886" t="str">
        <f>HYPERLINK("https%3A%2F%2Fwww.webofscience.com%2Fwos%2Fwoscc%2Ffull-record%2FWOS:000326426100012","View Full Record in Web of Science")</f>
        <v>View Full Record in Web of Science</v>
      </c>
    </row>
    <row r="887" spans="1:72" x14ac:dyDescent="0.15">
      <c r="A887" t="s">
        <v>72</v>
      </c>
      <c r="B887" t="s">
        <v>16867</v>
      </c>
      <c r="C887" t="s">
        <v>74</v>
      </c>
      <c r="D887" t="s">
        <v>74</v>
      </c>
      <c r="E887" t="s">
        <v>74</v>
      </c>
      <c r="F887" t="s">
        <v>16868</v>
      </c>
      <c r="G887" t="s">
        <v>74</v>
      </c>
      <c r="H887" t="s">
        <v>74</v>
      </c>
      <c r="I887" t="s">
        <v>16869</v>
      </c>
      <c r="J887" t="s">
        <v>16870</v>
      </c>
      <c r="K887" t="s">
        <v>74</v>
      </c>
      <c r="L887" t="s">
        <v>74</v>
      </c>
      <c r="M887" t="s">
        <v>78</v>
      </c>
      <c r="N887" t="s">
        <v>79</v>
      </c>
      <c r="O887" t="s">
        <v>74</v>
      </c>
      <c r="P887" t="s">
        <v>74</v>
      </c>
      <c r="Q887" t="s">
        <v>74</v>
      </c>
      <c r="R887" t="s">
        <v>74</v>
      </c>
      <c r="S887" t="s">
        <v>74</v>
      </c>
      <c r="T887" t="s">
        <v>16871</v>
      </c>
      <c r="U887" t="s">
        <v>16872</v>
      </c>
      <c r="V887" t="s">
        <v>74</v>
      </c>
      <c r="W887" t="s">
        <v>16873</v>
      </c>
      <c r="X887" t="s">
        <v>16874</v>
      </c>
      <c r="Y887" t="s">
        <v>16875</v>
      </c>
      <c r="Z887" t="s">
        <v>16876</v>
      </c>
      <c r="AA887" t="s">
        <v>74</v>
      </c>
      <c r="AB887" t="s">
        <v>74</v>
      </c>
      <c r="AC887" t="s">
        <v>16877</v>
      </c>
      <c r="AD887" t="s">
        <v>16878</v>
      </c>
      <c r="AE887" t="s">
        <v>16879</v>
      </c>
      <c r="AF887" t="s">
        <v>74</v>
      </c>
      <c r="AG887">
        <v>12</v>
      </c>
      <c r="AH887">
        <v>28</v>
      </c>
      <c r="AI887">
        <v>34</v>
      </c>
      <c r="AJ887">
        <v>2</v>
      </c>
      <c r="AK887">
        <v>19</v>
      </c>
      <c r="AL887" t="s">
        <v>16880</v>
      </c>
      <c r="AM887" t="s">
        <v>540</v>
      </c>
      <c r="AN887" t="s">
        <v>16881</v>
      </c>
      <c r="AO887" t="s">
        <v>16882</v>
      </c>
      <c r="AP887" t="s">
        <v>74</v>
      </c>
      <c r="AQ887" t="s">
        <v>74</v>
      </c>
      <c r="AR887" t="s">
        <v>16883</v>
      </c>
      <c r="AS887" t="s">
        <v>16884</v>
      </c>
      <c r="AT887" t="s">
        <v>14663</v>
      </c>
      <c r="AU887">
        <v>2013</v>
      </c>
      <c r="AV887">
        <v>66</v>
      </c>
      <c r="AW887">
        <v>9</v>
      </c>
      <c r="AX887" t="s">
        <v>74</v>
      </c>
      <c r="AY887" t="s">
        <v>74</v>
      </c>
      <c r="AZ887" t="s">
        <v>74</v>
      </c>
      <c r="BA887" t="s">
        <v>74</v>
      </c>
      <c r="BB887">
        <v>559</v>
      </c>
      <c r="BC887">
        <v>561</v>
      </c>
      <c r="BD887" t="s">
        <v>74</v>
      </c>
      <c r="BE887" t="s">
        <v>16885</v>
      </c>
      <c r="BF887" t="str">
        <f>HYPERLINK("http://dx.doi.org/10.1038/ja.2013.41","http://dx.doi.org/10.1038/ja.2013.41")</f>
        <v>http://dx.doi.org/10.1038/ja.2013.41</v>
      </c>
      <c r="BG887" t="s">
        <v>74</v>
      </c>
      <c r="BH887" t="s">
        <v>74</v>
      </c>
      <c r="BI887">
        <v>3</v>
      </c>
      <c r="BJ887" t="s">
        <v>16886</v>
      </c>
      <c r="BK887" t="s">
        <v>16887</v>
      </c>
      <c r="BL887" t="s">
        <v>16886</v>
      </c>
      <c r="BM887" t="s">
        <v>16888</v>
      </c>
      <c r="BN887">
        <v>23677030</v>
      </c>
      <c r="BO887" t="s">
        <v>475</v>
      </c>
      <c r="BP887" t="s">
        <v>74</v>
      </c>
      <c r="BQ887" t="s">
        <v>74</v>
      </c>
      <c r="BR887" t="s">
        <v>103</v>
      </c>
      <c r="BS887" t="s">
        <v>16889</v>
      </c>
      <c r="BT887" t="str">
        <f>HYPERLINK("https%3A%2F%2Fwww.webofscience.com%2Fwos%2Fwoscc%2Ffull-record%2FWOS:000325008300010","View Full Record in Web of Science")</f>
        <v>View Full Record in Web of Science</v>
      </c>
    </row>
    <row r="888" spans="1:72" x14ac:dyDescent="0.15">
      <c r="A888" t="s">
        <v>72</v>
      </c>
      <c r="B888" t="s">
        <v>16890</v>
      </c>
      <c r="C888" t="s">
        <v>74</v>
      </c>
      <c r="D888" t="s">
        <v>74</v>
      </c>
      <c r="E888" t="s">
        <v>74</v>
      </c>
      <c r="F888" t="s">
        <v>16891</v>
      </c>
      <c r="G888" t="s">
        <v>74</v>
      </c>
      <c r="H888" t="s">
        <v>74</v>
      </c>
      <c r="I888" t="s">
        <v>16892</v>
      </c>
      <c r="J888" t="s">
        <v>5566</v>
      </c>
      <c r="K888" t="s">
        <v>74</v>
      </c>
      <c r="L888" t="s">
        <v>74</v>
      </c>
      <c r="M888" t="s">
        <v>78</v>
      </c>
      <c r="N888" t="s">
        <v>79</v>
      </c>
      <c r="O888" t="s">
        <v>74</v>
      </c>
      <c r="P888" t="s">
        <v>74</v>
      </c>
      <c r="Q888" t="s">
        <v>74</v>
      </c>
      <c r="R888" t="s">
        <v>74</v>
      </c>
      <c r="S888" t="s">
        <v>74</v>
      </c>
      <c r="T888" t="s">
        <v>16893</v>
      </c>
      <c r="U888" t="s">
        <v>16894</v>
      </c>
      <c r="V888" t="s">
        <v>16895</v>
      </c>
      <c r="W888" t="s">
        <v>16896</v>
      </c>
      <c r="X888" t="s">
        <v>709</v>
      </c>
      <c r="Y888" t="s">
        <v>16897</v>
      </c>
      <c r="Z888" t="s">
        <v>16898</v>
      </c>
      <c r="AA888" t="s">
        <v>13065</v>
      </c>
      <c r="AB888" t="s">
        <v>13066</v>
      </c>
      <c r="AC888" t="s">
        <v>16899</v>
      </c>
      <c r="AD888" t="s">
        <v>16900</v>
      </c>
      <c r="AE888" t="s">
        <v>16901</v>
      </c>
      <c r="AF888" t="s">
        <v>74</v>
      </c>
      <c r="AG888">
        <v>52</v>
      </c>
      <c r="AH888">
        <v>31</v>
      </c>
      <c r="AI888">
        <v>32</v>
      </c>
      <c r="AJ888">
        <v>0</v>
      </c>
      <c r="AK888">
        <v>17</v>
      </c>
      <c r="AL888" t="s">
        <v>872</v>
      </c>
      <c r="AM888" t="s">
        <v>252</v>
      </c>
      <c r="AN888" t="s">
        <v>873</v>
      </c>
      <c r="AO888" t="s">
        <v>5577</v>
      </c>
      <c r="AP888" t="s">
        <v>5578</v>
      </c>
      <c r="AQ888" t="s">
        <v>74</v>
      </c>
      <c r="AR888" t="s">
        <v>5579</v>
      </c>
      <c r="AS888" t="s">
        <v>5580</v>
      </c>
      <c r="AT888" t="s">
        <v>14663</v>
      </c>
      <c r="AU888">
        <v>2013</v>
      </c>
      <c r="AV888">
        <v>102</v>
      </c>
      <c r="AW888" t="s">
        <v>74</v>
      </c>
      <c r="AX888" t="s">
        <v>74</v>
      </c>
      <c r="AY888" t="s">
        <v>74</v>
      </c>
      <c r="AZ888" t="s">
        <v>74</v>
      </c>
      <c r="BA888" t="s">
        <v>74</v>
      </c>
      <c r="BB888">
        <v>207</v>
      </c>
      <c r="BC888">
        <v>221</v>
      </c>
      <c r="BD888" t="s">
        <v>74</v>
      </c>
      <c r="BE888" t="s">
        <v>16902</v>
      </c>
      <c r="BF888" t="str">
        <f>HYPERLINK("http://dx.doi.org/10.1016/j.jastp.2013.05.018","http://dx.doi.org/10.1016/j.jastp.2013.05.018")</f>
        <v>http://dx.doi.org/10.1016/j.jastp.2013.05.018</v>
      </c>
      <c r="BG888" t="s">
        <v>74</v>
      </c>
      <c r="BH888" t="s">
        <v>74</v>
      </c>
      <c r="BI888">
        <v>15</v>
      </c>
      <c r="BJ888" t="s">
        <v>5582</v>
      </c>
      <c r="BK888" t="s">
        <v>99</v>
      </c>
      <c r="BL888" t="s">
        <v>5582</v>
      </c>
      <c r="BM888" t="s">
        <v>15684</v>
      </c>
      <c r="BN888" t="s">
        <v>74</v>
      </c>
      <c r="BO888" t="s">
        <v>8305</v>
      </c>
      <c r="BP888" t="s">
        <v>74</v>
      </c>
      <c r="BQ888" t="s">
        <v>74</v>
      </c>
      <c r="BR888" t="s">
        <v>103</v>
      </c>
      <c r="BS888" t="s">
        <v>16903</v>
      </c>
      <c r="BT888" t="str">
        <f>HYPERLINK("https%3A%2F%2Fwww.webofscience.com%2Fwos%2Fwoscc%2Ffull-record%2FWOS:000324014100023","View Full Record in Web of Science")</f>
        <v>View Full Record in Web of Science</v>
      </c>
    </row>
    <row r="889" spans="1:72" x14ac:dyDescent="0.15">
      <c r="A889" t="s">
        <v>72</v>
      </c>
      <c r="B889" t="s">
        <v>16904</v>
      </c>
      <c r="C889" t="s">
        <v>74</v>
      </c>
      <c r="D889" t="s">
        <v>74</v>
      </c>
      <c r="E889" t="s">
        <v>74</v>
      </c>
      <c r="F889" t="s">
        <v>16905</v>
      </c>
      <c r="G889" t="s">
        <v>74</v>
      </c>
      <c r="H889" t="s">
        <v>74</v>
      </c>
      <c r="I889" t="s">
        <v>16906</v>
      </c>
      <c r="J889" t="s">
        <v>6936</v>
      </c>
      <c r="K889" t="s">
        <v>74</v>
      </c>
      <c r="L889" t="s">
        <v>74</v>
      </c>
      <c r="M889" t="s">
        <v>78</v>
      </c>
      <c r="N889" t="s">
        <v>79</v>
      </c>
      <c r="O889" t="s">
        <v>74</v>
      </c>
      <c r="P889" t="s">
        <v>74</v>
      </c>
      <c r="Q889" t="s">
        <v>74</v>
      </c>
      <c r="R889" t="s">
        <v>74</v>
      </c>
      <c r="S889" t="s">
        <v>74</v>
      </c>
      <c r="T889" t="s">
        <v>16907</v>
      </c>
      <c r="U889" t="s">
        <v>16908</v>
      </c>
      <c r="V889" t="s">
        <v>16909</v>
      </c>
      <c r="W889" t="s">
        <v>16910</v>
      </c>
      <c r="X889" t="s">
        <v>16911</v>
      </c>
      <c r="Y889" t="s">
        <v>16912</v>
      </c>
      <c r="Z889" t="s">
        <v>16913</v>
      </c>
      <c r="AA889" t="s">
        <v>16914</v>
      </c>
      <c r="AB889" t="s">
        <v>16915</v>
      </c>
      <c r="AC889" t="s">
        <v>16916</v>
      </c>
      <c r="AD889" t="s">
        <v>16917</v>
      </c>
      <c r="AE889" t="s">
        <v>16918</v>
      </c>
      <c r="AF889" t="s">
        <v>74</v>
      </c>
      <c r="AG889">
        <v>82</v>
      </c>
      <c r="AH889">
        <v>19</v>
      </c>
      <c r="AI889">
        <v>20</v>
      </c>
      <c r="AJ889">
        <v>0</v>
      </c>
      <c r="AK889">
        <v>57</v>
      </c>
      <c r="AL889" t="s">
        <v>410</v>
      </c>
      <c r="AM889" t="s">
        <v>411</v>
      </c>
      <c r="AN889" t="s">
        <v>412</v>
      </c>
      <c r="AO889" t="s">
        <v>6949</v>
      </c>
      <c r="AP889" t="s">
        <v>6950</v>
      </c>
      <c r="AQ889" t="s">
        <v>74</v>
      </c>
      <c r="AR889" t="s">
        <v>6951</v>
      </c>
      <c r="AS889" t="s">
        <v>6952</v>
      </c>
      <c r="AT889" t="s">
        <v>14663</v>
      </c>
      <c r="AU889">
        <v>2013</v>
      </c>
      <c r="AV889">
        <v>40</v>
      </c>
      <c r="AW889">
        <v>9</v>
      </c>
      <c r="AX889" t="s">
        <v>74</v>
      </c>
      <c r="AY889" t="s">
        <v>74</v>
      </c>
      <c r="AZ889" t="s">
        <v>74</v>
      </c>
      <c r="BA889" t="s">
        <v>74</v>
      </c>
      <c r="BB889">
        <v>1688</v>
      </c>
      <c r="BC889">
        <v>1701</v>
      </c>
      <c r="BD889" t="s">
        <v>74</v>
      </c>
      <c r="BE889" t="s">
        <v>16919</v>
      </c>
      <c r="BF889" t="str">
        <f>HYPERLINK("http://dx.doi.org/10.1111/jbi.12122","http://dx.doi.org/10.1111/jbi.12122")</f>
        <v>http://dx.doi.org/10.1111/jbi.12122</v>
      </c>
      <c r="BG889" t="s">
        <v>74</v>
      </c>
      <c r="BH889" t="s">
        <v>74</v>
      </c>
      <c r="BI889">
        <v>14</v>
      </c>
      <c r="BJ889" t="s">
        <v>6954</v>
      </c>
      <c r="BK889" t="s">
        <v>99</v>
      </c>
      <c r="BL889" t="s">
        <v>6955</v>
      </c>
      <c r="BM889" t="s">
        <v>16920</v>
      </c>
      <c r="BN889" t="s">
        <v>74</v>
      </c>
      <c r="BO889" t="s">
        <v>74</v>
      </c>
      <c r="BP889" t="s">
        <v>74</v>
      </c>
      <c r="BQ889" t="s">
        <v>74</v>
      </c>
      <c r="BR889" t="s">
        <v>103</v>
      </c>
      <c r="BS889" t="s">
        <v>16921</v>
      </c>
      <c r="BT889" t="str">
        <f>HYPERLINK("https%3A%2F%2Fwww.webofscience.com%2Fwos%2Fwoscc%2Ffull-record%2FWOS:000322981900006","View Full Record in Web of Science")</f>
        <v>View Full Record in Web of Science</v>
      </c>
    </row>
    <row r="890" spans="1:72" x14ac:dyDescent="0.15">
      <c r="A890" t="s">
        <v>72</v>
      </c>
      <c r="B890" t="s">
        <v>16922</v>
      </c>
      <c r="C890" t="s">
        <v>74</v>
      </c>
      <c r="D890" t="s">
        <v>74</v>
      </c>
      <c r="E890" t="s">
        <v>74</v>
      </c>
      <c r="F890" t="s">
        <v>16923</v>
      </c>
      <c r="G890" t="s">
        <v>74</v>
      </c>
      <c r="H890" t="s">
        <v>74</v>
      </c>
      <c r="I890" t="s">
        <v>16924</v>
      </c>
      <c r="J890" t="s">
        <v>1484</v>
      </c>
      <c r="K890" t="s">
        <v>74</v>
      </c>
      <c r="L890" t="s">
        <v>74</v>
      </c>
      <c r="M890" t="s">
        <v>78</v>
      </c>
      <c r="N890" t="s">
        <v>79</v>
      </c>
      <c r="O890" t="s">
        <v>74</v>
      </c>
      <c r="P890" t="s">
        <v>74</v>
      </c>
      <c r="Q890" t="s">
        <v>74</v>
      </c>
      <c r="R890" t="s">
        <v>74</v>
      </c>
      <c r="S890" t="s">
        <v>74</v>
      </c>
      <c r="T890" t="s">
        <v>16925</v>
      </c>
      <c r="U890" t="s">
        <v>16926</v>
      </c>
      <c r="V890" t="s">
        <v>16927</v>
      </c>
      <c r="W890" t="s">
        <v>16928</v>
      </c>
      <c r="X890" t="s">
        <v>709</v>
      </c>
      <c r="Y890" t="s">
        <v>16929</v>
      </c>
      <c r="Z890" t="s">
        <v>16930</v>
      </c>
      <c r="AA890" t="s">
        <v>7857</v>
      </c>
      <c r="AB890" t="s">
        <v>7858</v>
      </c>
      <c r="AC890" t="s">
        <v>16931</v>
      </c>
      <c r="AD890" t="s">
        <v>16932</v>
      </c>
      <c r="AE890" t="s">
        <v>16933</v>
      </c>
      <c r="AF890" t="s">
        <v>74</v>
      </c>
      <c r="AG890">
        <v>42</v>
      </c>
      <c r="AH890">
        <v>226</v>
      </c>
      <c r="AI890">
        <v>242</v>
      </c>
      <c r="AJ890">
        <v>6</v>
      </c>
      <c r="AK890">
        <v>71</v>
      </c>
      <c r="AL890" t="s">
        <v>1495</v>
      </c>
      <c r="AM890" t="s">
        <v>1496</v>
      </c>
      <c r="AN890" t="s">
        <v>1497</v>
      </c>
      <c r="AO890" t="s">
        <v>1498</v>
      </c>
      <c r="AP890" t="s">
        <v>1499</v>
      </c>
      <c r="AQ890" t="s">
        <v>74</v>
      </c>
      <c r="AR890" t="s">
        <v>1500</v>
      </c>
      <c r="AS890" t="s">
        <v>1501</v>
      </c>
      <c r="AT890" t="s">
        <v>14663</v>
      </c>
      <c r="AU890">
        <v>2013</v>
      </c>
      <c r="AV890">
        <v>26</v>
      </c>
      <c r="AW890">
        <v>17</v>
      </c>
      <c r="AX890" t="s">
        <v>74</v>
      </c>
      <c r="AY890" t="s">
        <v>74</v>
      </c>
      <c r="AZ890" t="s">
        <v>74</v>
      </c>
      <c r="BA890" t="s">
        <v>74</v>
      </c>
      <c r="BB890">
        <v>6633</v>
      </c>
      <c r="BC890">
        <v>6648</v>
      </c>
      <c r="BD890" t="s">
        <v>74</v>
      </c>
      <c r="BE890" t="s">
        <v>16934</v>
      </c>
      <c r="BF890" t="str">
        <f>HYPERLINK("http://dx.doi.org/10.1175/JCLI-D-12-00813.1","http://dx.doi.org/10.1175/JCLI-D-12-00813.1")</f>
        <v>http://dx.doi.org/10.1175/JCLI-D-12-00813.1</v>
      </c>
      <c r="BG890" t="s">
        <v>74</v>
      </c>
      <c r="BH890" t="s">
        <v>74</v>
      </c>
      <c r="BI890">
        <v>16</v>
      </c>
      <c r="BJ890" t="s">
        <v>1503</v>
      </c>
      <c r="BK890" t="s">
        <v>99</v>
      </c>
      <c r="BL890" t="s">
        <v>1503</v>
      </c>
      <c r="BM890" t="s">
        <v>16392</v>
      </c>
      <c r="BN890" t="s">
        <v>74</v>
      </c>
      <c r="BO890" t="s">
        <v>1549</v>
      </c>
      <c r="BP890" t="s">
        <v>74</v>
      </c>
      <c r="BQ890" t="s">
        <v>74</v>
      </c>
      <c r="BR890" t="s">
        <v>103</v>
      </c>
      <c r="BS890" t="s">
        <v>16935</v>
      </c>
      <c r="BT890" t="str">
        <f>HYPERLINK("https%3A%2F%2Fwww.webofscience.com%2Fwos%2Fwoscc%2Ffull-record%2FWOS:000323412300025","View Full Record in Web of Science")</f>
        <v>View Full Record in Web of Science</v>
      </c>
    </row>
    <row r="891" spans="1:72" x14ac:dyDescent="0.15">
      <c r="A891" t="s">
        <v>72</v>
      </c>
      <c r="B891" t="s">
        <v>16936</v>
      </c>
      <c r="C891" t="s">
        <v>74</v>
      </c>
      <c r="D891" t="s">
        <v>74</v>
      </c>
      <c r="E891" t="s">
        <v>74</v>
      </c>
      <c r="F891" t="s">
        <v>16937</v>
      </c>
      <c r="G891" t="s">
        <v>74</v>
      </c>
      <c r="H891" t="s">
        <v>74</v>
      </c>
      <c r="I891" t="s">
        <v>16938</v>
      </c>
      <c r="J891" t="s">
        <v>1484</v>
      </c>
      <c r="K891" t="s">
        <v>74</v>
      </c>
      <c r="L891" t="s">
        <v>74</v>
      </c>
      <c r="M891" t="s">
        <v>78</v>
      </c>
      <c r="N891" t="s">
        <v>79</v>
      </c>
      <c r="O891" t="s">
        <v>74</v>
      </c>
      <c r="P891" t="s">
        <v>74</v>
      </c>
      <c r="Q891" t="s">
        <v>74</v>
      </c>
      <c r="R891" t="s">
        <v>74</v>
      </c>
      <c r="S891" t="s">
        <v>74</v>
      </c>
      <c r="T891" t="s">
        <v>16939</v>
      </c>
      <c r="U891" t="s">
        <v>16940</v>
      </c>
      <c r="V891" t="s">
        <v>16941</v>
      </c>
      <c r="W891" t="s">
        <v>16942</v>
      </c>
      <c r="X891" t="s">
        <v>16943</v>
      </c>
      <c r="Y891" t="s">
        <v>16944</v>
      </c>
      <c r="Z891" t="s">
        <v>16945</v>
      </c>
      <c r="AA891" t="s">
        <v>16946</v>
      </c>
      <c r="AB891" t="s">
        <v>16947</v>
      </c>
      <c r="AC891" t="s">
        <v>16948</v>
      </c>
      <c r="AD891" t="s">
        <v>16949</v>
      </c>
      <c r="AE891" t="s">
        <v>16950</v>
      </c>
      <c r="AF891" t="s">
        <v>74</v>
      </c>
      <c r="AG891">
        <v>94</v>
      </c>
      <c r="AH891">
        <v>99</v>
      </c>
      <c r="AI891">
        <v>111</v>
      </c>
      <c r="AJ891">
        <v>3</v>
      </c>
      <c r="AK891">
        <v>95</v>
      </c>
      <c r="AL891" t="s">
        <v>1495</v>
      </c>
      <c r="AM891" t="s">
        <v>1496</v>
      </c>
      <c r="AN891" t="s">
        <v>1497</v>
      </c>
      <c r="AO891" t="s">
        <v>1498</v>
      </c>
      <c r="AP891" t="s">
        <v>1499</v>
      </c>
      <c r="AQ891" t="s">
        <v>74</v>
      </c>
      <c r="AR891" t="s">
        <v>1500</v>
      </c>
      <c r="AS891" t="s">
        <v>1501</v>
      </c>
      <c r="AT891" t="s">
        <v>14663</v>
      </c>
      <c r="AU891">
        <v>2013</v>
      </c>
      <c r="AV891">
        <v>26</v>
      </c>
      <c r="AW891">
        <v>18</v>
      </c>
      <c r="AX891" t="s">
        <v>74</v>
      </c>
      <c r="AY891" t="s">
        <v>74</v>
      </c>
      <c r="AZ891" t="s">
        <v>74</v>
      </c>
      <c r="BA891" t="s">
        <v>74</v>
      </c>
      <c r="BB891">
        <v>6915</v>
      </c>
      <c r="BC891">
        <v>6936</v>
      </c>
      <c r="BD891" t="s">
        <v>74</v>
      </c>
      <c r="BE891" t="s">
        <v>16951</v>
      </c>
      <c r="BF891" t="str">
        <f>HYPERLINK("http://dx.doi.org/10.1175/JCLI-D-12-00108.1","http://dx.doi.org/10.1175/JCLI-D-12-00108.1")</f>
        <v>http://dx.doi.org/10.1175/JCLI-D-12-00108.1</v>
      </c>
      <c r="BG891" t="s">
        <v>74</v>
      </c>
      <c r="BH891" t="s">
        <v>74</v>
      </c>
      <c r="BI891">
        <v>22</v>
      </c>
      <c r="BJ891" t="s">
        <v>1503</v>
      </c>
      <c r="BK891" t="s">
        <v>99</v>
      </c>
      <c r="BL891" t="s">
        <v>1503</v>
      </c>
      <c r="BM891" t="s">
        <v>15702</v>
      </c>
      <c r="BN891" t="s">
        <v>74</v>
      </c>
      <c r="BO891" t="s">
        <v>16952</v>
      </c>
      <c r="BP891" t="s">
        <v>74</v>
      </c>
      <c r="BQ891" t="s">
        <v>74</v>
      </c>
      <c r="BR891" t="s">
        <v>103</v>
      </c>
      <c r="BS891" t="s">
        <v>16953</v>
      </c>
      <c r="BT891" t="str">
        <f>HYPERLINK("https%3A%2F%2Fwww.webofscience.com%2Fwos%2Fwoscc%2Ffull-record%2FWOS:000324057600010","View Full Record in Web of Science")</f>
        <v>View Full Record in Web of Science</v>
      </c>
    </row>
    <row r="892" spans="1:72" x14ac:dyDescent="0.15">
      <c r="A892" t="s">
        <v>72</v>
      </c>
      <c r="B892" t="s">
        <v>16954</v>
      </c>
      <c r="C892" t="s">
        <v>74</v>
      </c>
      <c r="D892" t="s">
        <v>74</v>
      </c>
      <c r="E892" t="s">
        <v>74</v>
      </c>
      <c r="F892" t="s">
        <v>16955</v>
      </c>
      <c r="G892" t="s">
        <v>74</v>
      </c>
      <c r="H892" t="s">
        <v>74</v>
      </c>
      <c r="I892" t="s">
        <v>16956</v>
      </c>
      <c r="J892" t="s">
        <v>1484</v>
      </c>
      <c r="K892" t="s">
        <v>74</v>
      </c>
      <c r="L892" t="s">
        <v>74</v>
      </c>
      <c r="M892" t="s">
        <v>78</v>
      </c>
      <c r="N892" t="s">
        <v>79</v>
      </c>
      <c r="O892" t="s">
        <v>74</v>
      </c>
      <c r="P892" t="s">
        <v>74</v>
      </c>
      <c r="Q892" t="s">
        <v>74</v>
      </c>
      <c r="R892" t="s">
        <v>74</v>
      </c>
      <c r="S892" t="s">
        <v>74</v>
      </c>
      <c r="T892" t="s">
        <v>16957</v>
      </c>
      <c r="U892" t="s">
        <v>16958</v>
      </c>
      <c r="V892" t="s">
        <v>16959</v>
      </c>
      <c r="W892" t="s">
        <v>16960</v>
      </c>
      <c r="X892" t="s">
        <v>16961</v>
      </c>
      <c r="Y892" t="s">
        <v>16962</v>
      </c>
      <c r="Z892" t="s">
        <v>16963</v>
      </c>
      <c r="AA892" t="s">
        <v>16964</v>
      </c>
      <c r="AB892" t="s">
        <v>16965</v>
      </c>
      <c r="AC892" t="s">
        <v>16966</v>
      </c>
      <c r="AD892" t="s">
        <v>16967</v>
      </c>
      <c r="AE892" t="s">
        <v>16968</v>
      </c>
      <c r="AF892" t="s">
        <v>74</v>
      </c>
      <c r="AG892">
        <v>54</v>
      </c>
      <c r="AH892">
        <v>58</v>
      </c>
      <c r="AI892">
        <v>59</v>
      </c>
      <c r="AJ892">
        <v>2</v>
      </c>
      <c r="AK892">
        <v>35</v>
      </c>
      <c r="AL892" t="s">
        <v>1495</v>
      </c>
      <c r="AM892" t="s">
        <v>1496</v>
      </c>
      <c r="AN892" t="s">
        <v>1497</v>
      </c>
      <c r="AO892" t="s">
        <v>1498</v>
      </c>
      <c r="AP892" t="s">
        <v>1499</v>
      </c>
      <c r="AQ892" t="s">
        <v>74</v>
      </c>
      <c r="AR892" t="s">
        <v>1500</v>
      </c>
      <c r="AS892" t="s">
        <v>1501</v>
      </c>
      <c r="AT892" t="s">
        <v>14663</v>
      </c>
      <c r="AU892">
        <v>2013</v>
      </c>
      <c r="AV892">
        <v>26</v>
      </c>
      <c r="AW892">
        <v>18</v>
      </c>
      <c r="AX892" t="s">
        <v>74</v>
      </c>
      <c r="AY892" t="s">
        <v>74</v>
      </c>
      <c r="AZ892" t="s">
        <v>74</v>
      </c>
      <c r="BA892" t="s">
        <v>74</v>
      </c>
      <c r="BB892">
        <v>7198</v>
      </c>
      <c r="BC892">
        <v>7220</v>
      </c>
      <c r="BD892" t="s">
        <v>74</v>
      </c>
      <c r="BE892" t="s">
        <v>16969</v>
      </c>
      <c r="BF892" t="str">
        <f>HYPERLINK("http://dx.doi.org/10.1175/JCLI-D-12-00504.1","http://dx.doi.org/10.1175/JCLI-D-12-00504.1")</f>
        <v>http://dx.doi.org/10.1175/JCLI-D-12-00504.1</v>
      </c>
      <c r="BG892" t="s">
        <v>74</v>
      </c>
      <c r="BH892" t="s">
        <v>74</v>
      </c>
      <c r="BI892">
        <v>23</v>
      </c>
      <c r="BJ892" t="s">
        <v>1503</v>
      </c>
      <c r="BK892" t="s">
        <v>99</v>
      </c>
      <c r="BL892" t="s">
        <v>1503</v>
      </c>
      <c r="BM892" t="s">
        <v>15702</v>
      </c>
      <c r="BN892" t="s">
        <v>74</v>
      </c>
      <c r="BO892" t="s">
        <v>475</v>
      </c>
      <c r="BP892" t="s">
        <v>74</v>
      </c>
      <c r="BQ892" t="s">
        <v>74</v>
      </c>
      <c r="BR892" t="s">
        <v>103</v>
      </c>
      <c r="BS892" t="s">
        <v>16970</v>
      </c>
      <c r="BT892" t="str">
        <f>HYPERLINK("https%3A%2F%2Fwww.webofscience.com%2Fwos%2Fwoscc%2Ffull-record%2FWOS:000324057600026","View Full Record in Web of Science")</f>
        <v>View Full Record in Web of Science</v>
      </c>
    </row>
    <row r="893" spans="1:72" x14ac:dyDescent="0.15">
      <c r="A893" t="s">
        <v>72</v>
      </c>
      <c r="B893" t="s">
        <v>16971</v>
      </c>
      <c r="C893" t="s">
        <v>74</v>
      </c>
      <c r="D893" t="s">
        <v>74</v>
      </c>
      <c r="E893" t="s">
        <v>74</v>
      </c>
      <c r="F893" t="s">
        <v>16972</v>
      </c>
      <c r="G893" t="s">
        <v>74</v>
      </c>
      <c r="H893" t="s">
        <v>74</v>
      </c>
      <c r="I893" t="s">
        <v>16973</v>
      </c>
      <c r="J893" t="s">
        <v>1484</v>
      </c>
      <c r="K893" t="s">
        <v>74</v>
      </c>
      <c r="L893" t="s">
        <v>74</v>
      </c>
      <c r="M893" t="s">
        <v>78</v>
      </c>
      <c r="N893" t="s">
        <v>79</v>
      </c>
      <c r="O893" t="s">
        <v>74</v>
      </c>
      <c r="P893" t="s">
        <v>74</v>
      </c>
      <c r="Q893" t="s">
        <v>74</v>
      </c>
      <c r="R893" t="s">
        <v>74</v>
      </c>
      <c r="S893" t="s">
        <v>74</v>
      </c>
      <c r="T893" t="s">
        <v>16974</v>
      </c>
      <c r="U893" t="s">
        <v>16975</v>
      </c>
      <c r="V893" t="s">
        <v>16976</v>
      </c>
      <c r="W893" t="s">
        <v>16977</v>
      </c>
      <c r="X893" t="s">
        <v>16978</v>
      </c>
      <c r="Y893" t="s">
        <v>16979</v>
      </c>
      <c r="Z893" t="s">
        <v>16980</v>
      </c>
      <c r="AA893" t="s">
        <v>16981</v>
      </c>
      <c r="AB893" t="s">
        <v>16982</v>
      </c>
      <c r="AC893" t="s">
        <v>16983</v>
      </c>
      <c r="AD893" t="s">
        <v>16984</v>
      </c>
      <c r="AE893" t="s">
        <v>16985</v>
      </c>
      <c r="AF893" t="s">
        <v>74</v>
      </c>
      <c r="AG893">
        <v>40</v>
      </c>
      <c r="AH893">
        <v>369</v>
      </c>
      <c r="AI893">
        <v>412</v>
      </c>
      <c r="AJ893">
        <v>9</v>
      </c>
      <c r="AK893">
        <v>221</v>
      </c>
      <c r="AL893" t="s">
        <v>1495</v>
      </c>
      <c r="AM893" t="s">
        <v>1496</v>
      </c>
      <c r="AN893" t="s">
        <v>1497</v>
      </c>
      <c r="AO893" t="s">
        <v>1498</v>
      </c>
      <c r="AP893" t="s">
        <v>74</v>
      </c>
      <c r="AQ893" t="s">
        <v>74</v>
      </c>
      <c r="AR893" t="s">
        <v>1500</v>
      </c>
      <c r="AS893" t="s">
        <v>1501</v>
      </c>
      <c r="AT893" t="s">
        <v>14663</v>
      </c>
      <c r="AU893">
        <v>2013</v>
      </c>
      <c r="AV893">
        <v>26</v>
      </c>
      <c r="AW893">
        <v>18</v>
      </c>
      <c r="AX893" t="s">
        <v>74</v>
      </c>
      <c r="AY893" t="s">
        <v>74</v>
      </c>
      <c r="AZ893" t="s">
        <v>74</v>
      </c>
      <c r="BA893" t="s">
        <v>74</v>
      </c>
      <c r="BB893">
        <v>7298</v>
      </c>
      <c r="BC893">
        <v>7310</v>
      </c>
      <c r="BD893" t="s">
        <v>74</v>
      </c>
      <c r="BE893" t="s">
        <v>16986</v>
      </c>
      <c r="BF893" t="str">
        <f>HYPERLINK("http://dx.doi.org/10.1175/JCLI-D-12-00548.1","http://dx.doi.org/10.1175/JCLI-D-12-00548.1")</f>
        <v>http://dx.doi.org/10.1175/JCLI-D-12-00548.1</v>
      </c>
      <c r="BG893" t="s">
        <v>74</v>
      </c>
      <c r="BH893" t="s">
        <v>74</v>
      </c>
      <c r="BI893">
        <v>13</v>
      </c>
      <c r="BJ893" t="s">
        <v>1503</v>
      </c>
      <c r="BK893" t="s">
        <v>99</v>
      </c>
      <c r="BL893" t="s">
        <v>1503</v>
      </c>
      <c r="BM893" t="s">
        <v>15702</v>
      </c>
      <c r="BN893" t="s">
        <v>74</v>
      </c>
      <c r="BO893" t="s">
        <v>1733</v>
      </c>
      <c r="BP893" t="s">
        <v>120</v>
      </c>
      <c r="BQ893" t="s">
        <v>121</v>
      </c>
      <c r="BR893" t="s">
        <v>103</v>
      </c>
      <c r="BS893" t="s">
        <v>16987</v>
      </c>
      <c r="BT893" t="str">
        <f>HYPERLINK("https%3A%2F%2Fwww.webofscience.com%2Fwos%2Fwoscc%2Ffull-record%2FWOS:000324057600031","View Full Record in Web of Science")</f>
        <v>View Full Record in Web of Science</v>
      </c>
    </row>
    <row r="894" spans="1:72" x14ac:dyDescent="0.15">
      <c r="A894" t="s">
        <v>72</v>
      </c>
      <c r="B894" t="s">
        <v>16988</v>
      </c>
      <c r="C894" t="s">
        <v>74</v>
      </c>
      <c r="D894" t="s">
        <v>74</v>
      </c>
      <c r="E894" t="s">
        <v>74</v>
      </c>
      <c r="F894" t="s">
        <v>16989</v>
      </c>
      <c r="G894" t="s">
        <v>74</v>
      </c>
      <c r="H894" t="s">
        <v>74</v>
      </c>
      <c r="I894" t="s">
        <v>16990</v>
      </c>
      <c r="J894" t="s">
        <v>5193</v>
      </c>
      <c r="K894" t="s">
        <v>74</v>
      </c>
      <c r="L894" t="s">
        <v>74</v>
      </c>
      <c r="M894" t="s">
        <v>78</v>
      </c>
      <c r="N894" t="s">
        <v>79</v>
      </c>
      <c r="O894" t="s">
        <v>74</v>
      </c>
      <c r="P894" t="s">
        <v>74</v>
      </c>
      <c r="Q894" t="s">
        <v>74</v>
      </c>
      <c r="R894" t="s">
        <v>74</v>
      </c>
      <c r="S894" t="s">
        <v>74</v>
      </c>
      <c r="T894" t="s">
        <v>16991</v>
      </c>
      <c r="U894" t="s">
        <v>16992</v>
      </c>
      <c r="V894" t="s">
        <v>16993</v>
      </c>
      <c r="W894" t="s">
        <v>16994</v>
      </c>
      <c r="X894" t="s">
        <v>16995</v>
      </c>
      <c r="Y894" t="s">
        <v>16996</v>
      </c>
      <c r="Z894" t="s">
        <v>16997</v>
      </c>
      <c r="AA894" t="s">
        <v>16998</v>
      </c>
      <c r="AB894" t="s">
        <v>74</v>
      </c>
      <c r="AC894" t="s">
        <v>16999</v>
      </c>
      <c r="AD894" t="s">
        <v>17000</v>
      </c>
      <c r="AE894" t="s">
        <v>17001</v>
      </c>
      <c r="AF894" t="s">
        <v>74</v>
      </c>
      <c r="AG894">
        <v>32</v>
      </c>
      <c r="AH894">
        <v>18</v>
      </c>
      <c r="AI894">
        <v>20</v>
      </c>
      <c r="AJ894">
        <v>1</v>
      </c>
      <c r="AK894">
        <v>26</v>
      </c>
      <c r="AL894" t="s">
        <v>1606</v>
      </c>
      <c r="AM894" t="s">
        <v>808</v>
      </c>
      <c r="AN894" t="s">
        <v>1607</v>
      </c>
      <c r="AO894" t="s">
        <v>5205</v>
      </c>
      <c r="AP894" t="s">
        <v>5206</v>
      </c>
      <c r="AQ894" t="s">
        <v>74</v>
      </c>
      <c r="AR894" t="s">
        <v>5207</v>
      </c>
      <c r="AS894" t="s">
        <v>5208</v>
      </c>
      <c r="AT894" t="s">
        <v>14663</v>
      </c>
      <c r="AU894">
        <v>2013</v>
      </c>
      <c r="AV894">
        <v>118</v>
      </c>
      <c r="AW894">
        <v>3</v>
      </c>
      <c r="AX894" t="s">
        <v>74</v>
      </c>
      <c r="AY894" t="s">
        <v>74</v>
      </c>
      <c r="AZ894" t="s">
        <v>74</v>
      </c>
      <c r="BA894" t="s">
        <v>74</v>
      </c>
      <c r="BB894">
        <v>1257</v>
      </c>
      <c r="BC894">
        <v>1263</v>
      </c>
      <c r="BD894" t="s">
        <v>74</v>
      </c>
      <c r="BE894" t="s">
        <v>17002</v>
      </c>
      <c r="BF894" t="str">
        <f>HYPERLINK("http://dx.doi.org/10.1002/jgrf.20089","http://dx.doi.org/10.1002/jgrf.20089")</f>
        <v>http://dx.doi.org/10.1002/jgrf.20089</v>
      </c>
      <c r="BG894" t="s">
        <v>74</v>
      </c>
      <c r="BH894" t="s">
        <v>74</v>
      </c>
      <c r="BI894">
        <v>7</v>
      </c>
      <c r="BJ894" t="s">
        <v>337</v>
      </c>
      <c r="BK894" t="s">
        <v>99</v>
      </c>
      <c r="BL894" t="s">
        <v>338</v>
      </c>
      <c r="BM894" t="s">
        <v>14978</v>
      </c>
      <c r="BN894" t="s">
        <v>74</v>
      </c>
      <c r="BO894" t="s">
        <v>450</v>
      </c>
      <c r="BP894" t="s">
        <v>74</v>
      </c>
      <c r="BQ894" t="s">
        <v>74</v>
      </c>
      <c r="BR894" t="s">
        <v>103</v>
      </c>
      <c r="BS894" t="s">
        <v>17003</v>
      </c>
      <c r="BT894" t="str">
        <f>HYPERLINK("https%3A%2F%2Fwww.webofscience.com%2Fwos%2Fwoscc%2Ffull-record%2FWOS:000325978500005","View Full Record in Web of Science")</f>
        <v>View Full Record in Web of Science</v>
      </c>
    </row>
    <row r="895" spans="1:72" x14ac:dyDescent="0.15">
      <c r="A895" t="s">
        <v>72</v>
      </c>
      <c r="B895" t="s">
        <v>17004</v>
      </c>
      <c r="C895" t="s">
        <v>74</v>
      </c>
      <c r="D895" t="s">
        <v>74</v>
      </c>
      <c r="E895" t="s">
        <v>74</v>
      </c>
      <c r="F895" t="s">
        <v>17005</v>
      </c>
      <c r="G895" t="s">
        <v>74</v>
      </c>
      <c r="H895" t="s">
        <v>74</v>
      </c>
      <c r="I895" t="s">
        <v>17006</v>
      </c>
      <c r="J895" t="s">
        <v>5193</v>
      </c>
      <c r="K895" t="s">
        <v>74</v>
      </c>
      <c r="L895" t="s">
        <v>74</v>
      </c>
      <c r="M895" t="s">
        <v>78</v>
      </c>
      <c r="N895" t="s">
        <v>79</v>
      </c>
      <c r="O895" t="s">
        <v>74</v>
      </c>
      <c r="P895" t="s">
        <v>74</v>
      </c>
      <c r="Q895" t="s">
        <v>74</v>
      </c>
      <c r="R895" t="s">
        <v>74</v>
      </c>
      <c r="S895" t="s">
        <v>74</v>
      </c>
      <c r="T895" t="s">
        <v>17007</v>
      </c>
      <c r="U895" t="s">
        <v>17008</v>
      </c>
      <c r="V895" t="s">
        <v>17009</v>
      </c>
      <c r="W895" t="s">
        <v>17010</v>
      </c>
      <c r="X895" t="s">
        <v>17011</v>
      </c>
      <c r="Y895" t="s">
        <v>17012</v>
      </c>
      <c r="Z895" t="s">
        <v>17013</v>
      </c>
      <c r="AA895" t="s">
        <v>17014</v>
      </c>
      <c r="AB895" t="s">
        <v>17015</v>
      </c>
      <c r="AC895" t="s">
        <v>17016</v>
      </c>
      <c r="AD895" t="s">
        <v>17017</v>
      </c>
      <c r="AE895" t="s">
        <v>17018</v>
      </c>
      <c r="AF895" t="s">
        <v>74</v>
      </c>
      <c r="AG895">
        <v>56</v>
      </c>
      <c r="AH895">
        <v>43</v>
      </c>
      <c r="AI895">
        <v>44</v>
      </c>
      <c r="AJ895">
        <v>0</v>
      </c>
      <c r="AK895">
        <v>22</v>
      </c>
      <c r="AL895" t="s">
        <v>1606</v>
      </c>
      <c r="AM895" t="s">
        <v>808</v>
      </c>
      <c r="AN895" t="s">
        <v>1607</v>
      </c>
      <c r="AO895" t="s">
        <v>5205</v>
      </c>
      <c r="AP895" t="s">
        <v>5206</v>
      </c>
      <c r="AQ895" t="s">
        <v>74</v>
      </c>
      <c r="AR895" t="s">
        <v>5207</v>
      </c>
      <c r="AS895" t="s">
        <v>5208</v>
      </c>
      <c r="AT895" t="s">
        <v>14663</v>
      </c>
      <c r="AU895">
        <v>2013</v>
      </c>
      <c r="AV895">
        <v>118</v>
      </c>
      <c r="AW895">
        <v>3</v>
      </c>
      <c r="AX895" t="s">
        <v>74</v>
      </c>
      <c r="AY895" t="s">
        <v>74</v>
      </c>
      <c r="AZ895" t="s">
        <v>74</v>
      </c>
      <c r="BA895" t="s">
        <v>74</v>
      </c>
      <c r="BB895">
        <v>1356</v>
      </c>
      <c r="BC895">
        <v>1366</v>
      </c>
      <c r="BD895" t="s">
        <v>74</v>
      </c>
      <c r="BE895" t="s">
        <v>17019</v>
      </c>
      <c r="BF895" t="str">
        <f>HYPERLINK("http://dx.doi.org/10.1002/jgrf.20087","http://dx.doi.org/10.1002/jgrf.20087")</f>
        <v>http://dx.doi.org/10.1002/jgrf.20087</v>
      </c>
      <c r="BG895" t="s">
        <v>74</v>
      </c>
      <c r="BH895" t="s">
        <v>74</v>
      </c>
      <c r="BI895">
        <v>11</v>
      </c>
      <c r="BJ895" t="s">
        <v>337</v>
      </c>
      <c r="BK895" t="s">
        <v>99</v>
      </c>
      <c r="BL895" t="s">
        <v>338</v>
      </c>
      <c r="BM895" t="s">
        <v>14978</v>
      </c>
      <c r="BN895" t="s">
        <v>74</v>
      </c>
      <c r="BO895" t="s">
        <v>10937</v>
      </c>
      <c r="BP895" t="s">
        <v>74</v>
      </c>
      <c r="BQ895" t="s">
        <v>74</v>
      </c>
      <c r="BR895" t="s">
        <v>103</v>
      </c>
      <c r="BS895" t="s">
        <v>17020</v>
      </c>
      <c r="BT895" t="str">
        <f>HYPERLINK("https%3A%2F%2Fwww.webofscience.com%2Fwos%2Fwoscc%2Ffull-record%2FWOS:000325978500013","View Full Record in Web of Science")</f>
        <v>View Full Record in Web of Science</v>
      </c>
    </row>
    <row r="896" spans="1:72" x14ac:dyDescent="0.15">
      <c r="A896" t="s">
        <v>72</v>
      </c>
      <c r="B896" t="s">
        <v>17021</v>
      </c>
      <c r="C896" t="s">
        <v>74</v>
      </c>
      <c r="D896" t="s">
        <v>74</v>
      </c>
      <c r="E896" t="s">
        <v>74</v>
      </c>
      <c r="F896" t="s">
        <v>17022</v>
      </c>
      <c r="G896" t="s">
        <v>74</v>
      </c>
      <c r="H896" t="s">
        <v>74</v>
      </c>
      <c r="I896" t="s">
        <v>17023</v>
      </c>
      <c r="J896" t="s">
        <v>5193</v>
      </c>
      <c r="K896" t="s">
        <v>74</v>
      </c>
      <c r="L896" t="s">
        <v>74</v>
      </c>
      <c r="M896" t="s">
        <v>78</v>
      </c>
      <c r="N896" t="s">
        <v>79</v>
      </c>
      <c r="O896" t="s">
        <v>74</v>
      </c>
      <c r="P896" t="s">
        <v>74</v>
      </c>
      <c r="Q896" t="s">
        <v>74</v>
      </c>
      <c r="R896" t="s">
        <v>74</v>
      </c>
      <c r="S896" t="s">
        <v>74</v>
      </c>
      <c r="T896" t="s">
        <v>17024</v>
      </c>
      <c r="U896" t="s">
        <v>17025</v>
      </c>
      <c r="V896" t="s">
        <v>17026</v>
      </c>
      <c r="W896" t="s">
        <v>17027</v>
      </c>
      <c r="X896" t="s">
        <v>17028</v>
      </c>
      <c r="Y896" t="s">
        <v>17029</v>
      </c>
      <c r="Z896" t="s">
        <v>17030</v>
      </c>
      <c r="AA896" t="s">
        <v>17031</v>
      </c>
      <c r="AB896" t="s">
        <v>17032</v>
      </c>
      <c r="AC896" t="s">
        <v>17033</v>
      </c>
      <c r="AD896" t="s">
        <v>17034</v>
      </c>
      <c r="AE896" t="s">
        <v>17035</v>
      </c>
      <c r="AF896" t="s">
        <v>74</v>
      </c>
      <c r="AG896">
        <v>46</v>
      </c>
      <c r="AH896">
        <v>41</v>
      </c>
      <c r="AI896">
        <v>43</v>
      </c>
      <c r="AJ896">
        <v>2</v>
      </c>
      <c r="AK896">
        <v>20</v>
      </c>
      <c r="AL896" t="s">
        <v>1606</v>
      </c>
      <c r="AM896" t="s">
        <v>808</v>
      </c>
      <c r="AN896" t="s">
        <v>1607</v>
      </c>
      <c r="AO896" t="s">
        <v>5205</v>
      </c>
      <c r="AP896" t="s">
        <v>5206</v>
      </c>
      <c r="AQ896" t="s">
        <v>74</v>
      </c>
      <c r="AR896" t="s">
        <v>5207</v>
      </c>
      <c r="AS896" t="s">
        <v>5208</v>
      </c>
      <c r="AT896" t="s">
        <v>14663</v>
      </c>
      <c r="AU896">
        <v>2013</v>
      </c>
      <c r="AV896">
        <v>118</v>
      </c>
      <c r="AW896">
        <v>3</v>
      </c>
      <c r="AX896" t="s">
        <v>74</v>
      </c>
      <c r="AY896" t="s">
        <v>74</v>
      </c>
      <c r="AZ896" t="s">
        <v>74</v>
      </c>
      <c r="BA896" t="s">
        <v>74</v>
      </c>
      <c r="BB896">
        <v>1628</v>
      </c>
      <c r="BC896">
        <v>1640</v>
      </c>
      <c r="BD896" t="s">
        <v>74</v>
      </c>
      <c r="BE896" t="s">
        <v>17036</v>
      </c>
      <c r="BF896" t="str">
        <f>HYPERLINK("http://dx.doi.org/10.1002/jgrf.20120","http://dx.doi.org/10.1002/jgrf.20120")</f>
        <v>http://dx.doi.org/10.1002/jgrf.20120</v>
      </c>
      <c r="BG896" t="s">
        <v>74</v>
      </c>
      <c r="BH896" t="s">
        <v>74</v>
      </c>
      <c r="BI896">
        <v>13</v>
      </c>
      <c r="BJ896" t="s">
        <v>337</v>
      </c>
      <c r="BK896" t="s">
        <v>99</v>
      </c>
      <c r="BL896" t="s">
        <v>338</v>
      </c>
      <c r="BM896" t="s">
        <v>14978</v>
      </c>
      <c r="BN896" t="s">
        <v>74</v>
      </c>
      <c r="BO896" t="s">
        <v>450</v>
      </c>
      <c r="BP896" t="s">
        <v>74</v>
      </c>
      <c r="BQ896" t="s">
        <v>74</v>
      </c>
      <c r="BR896" t="s">
        <v>103</v>
      </c>
      <c r="BS896" t="s">
        <v>17037</v>
      </c>
      <c r="BT896" t="str">
        <f>HYPERLINK("https%3A%2F%2Fwww.webofscience.com%2Fwos%2Fwoscc%2Ffull-record%2FWOS:000325978500030","View Full Record in Web of Science")</f>
        <v>View Full Record in Web of Science</v>
      </c>
    </row>
    <row r="897" spans="1:72" x14ac:dyDescent="0.15">
      <c r="A897" t="s">
        <v>72</v>
      </c>
      <c r="B897" t="s">
        <v>17038</v>
      </c>
      <c r="C897" t="s">
        <v>74</v>
      </c>
      <c r="D897" t="s">
        <v>74</v>
      </c>
      <c r="E897" t="s">
        <v>74</v>
      </c>
      <c r="F897" t="s">
        <v>17039</v>
      </c>
      <c r="G897" t="s">
        <v>74</v>
      </c>
      <c r="H897" t="s">
        <v>74</v>
      </c>
      <c r="I897" t="s">
        <v>17040</v>
      </c>
      <c r="J897" t="s">
        <v>5193</v>
      </c>
      <c r="K897" t="s">
        <v>74</v>
      </c>
      <c r="L897" t="s">
        <v>74</v>
      </c>
      <c r="M897" t="s">
        <v>78</v>
      </c>
      <c r="N897" t="s">
        <v>79</v>
      </c>
      <c r="O897" t="s">
        <v>74</v>
      </c>
      <c r="P897" t="s">
        <v>74</v>
      </c>
      <c r="Q897" t="s">
        <v>74</v>
      </c>
      <c r="R897" t="s">
        <v>74</v>
      </c>
      <c r="S897" t="s">
        <v>74</v>
      </c>
      <c r="T897" t="s">
        <v>17041</v>
      </c>
      <c r="U897" t="s">
        <v>17042</v>
      </c>
      <c r="V897" t="s">
        <v>17043</v>
      </c>
      <c r="W897" t="s">
        <v>17044</v>
      </c>
      <c r="X897" t="s">
        <v>17045</v>
      </c>
      <c r="Y897" t="s">
        <v>17046</v>
      </c>
      <c r="Z897" t="s">
        <v>17047</v>
      </c>
      <c r="AA897" t="s">
        <v>17048</v>
      </c>
      <c r="AB897" t="s">
        <v>17049</v>
      </c>
      <c r="AC897" t="s">
        <v>17050</v>
      </c>
      <c r="AD897" t="s">
        <v>17051</v>
      </c>
      <c r="AE897" t="s">
        <v>17052</v>
      </c>
      <c r="AF897" t="s">
        <v>74</v>
      </c>
      <c r="AG897">
        <v>34</v>
      </c>
      <c r="AH897">
        <v>108</v>
      </c>
      <c r="AI897">
        <v>122</v>
      </c>
      <c r="AJ897">
        <v>0</v>
      </c>
      <c r="AK897">
        <v>14</v>
      </c>
      <c r="AL897" t="s">
        <v>1606</v>
      </c>
      <c r="AM897" t="s">
        <v>808</v>
      </c>
      <c r="AN897" t="s">
        <v>1607</v>
      </c>
      <c r="AO897" t="s">
        <v>5205</v>
      </c>
      <c r="AP897" t="s">
        <v>5206</v>
      </c>
      <c r="AQ897" t="s">
        <v>74</v>
      </c>
      <c r="AR897" t="s">
        <v>5207</v>
      </c>
      <c r="AS897" t="s">
        <v>5208</v>
      </c>
      <c r="AT897" t="s">
        <v>14663</v>
      </c>
      <c r="AU897">
        <v>2013</v>
      </c>
      <c r="AV897">
        <v>118</v>
      </c>
      <c r="AW897">
        <v>3</v>
      </c>
      <c r="AX897" t="s">
        <v>74</v>
      </c>
      <c r="AY897" t="s">
        <v>74</v>
      </c>
      <c r="AZ897" t="s">
        <v>74</v>
      </c>
      <c r="BA897" t="s">
        <v>74</v>
      </c>
      <c r="BB897">
        <v>1746</v>
      </c>
      <c r="BC897">
        <v>1753</v>
      </c>
      <c r="BD897" t="s">
        <v>74</v>
      </c>
      <c r="BE897" t="s">
        <v>17053</v>
      </c>
      <c r="BF897" t="str">
        <f>HYPERLINK("http://dx.doi.org/10.1002/jgrf.20125","http://dx.doi.org/10.1002/jgrf.20125")</f>
        <v>http://dx.doi.org/10.1002/jgrf.20125</v>
      </c>
      <c r="BG897" t="s">
        <v>74</v>
      </c>
      <c r="BH897" t="s">
        <v>74</v>
      </c>
      <c r="BI897">
        <v>8</v>
      </c>
      <c r="BJ897" t="s">
        <v>337</v>
      </c>
      <c r="BK897" t="s">
        <v>99</v>
      </c>
      <c r="BL897" t="s">
        <v>338</v>
      </c>
      <c r="BM897" t="s">
        <v>14978</v>
      </c>
      <c r="BN897" t="s">
        <v>74</v>
      </c>
      <c r="BO897" t="s">
        <v>1381</v>
      </c>
      <c r="BP897" t="s">
        <v>74</v>
      </c>
      <c r="BQ897" t="s">
        <v>74</v>
      </c>
      <c r="BR897" t="s">
        <v>103</v>
      </c>
      <c r="BS897" t="s">
        <v>17054</v>
      </c>
      <c r="BT897" t="str">
        <f>HYPERLINK("https%3A%2F%2Fwww.webofscience.com%2Fwos%2Fwoscc%2Ffull-record%2FWOS:000325978500038","View Full Record in Web of Science")</f>
        <v>View Full Record in Web of Science</v>
      </c>
    </row>
    <row r="898" spans="1:72" x14ac:dyDescent="0.15">
      <c r="A898" t="s">
        <v>72</v>
      </c>
      <c r="B898" t="s">
        <v>17055</v>
      </c>
      <c r="C898" t="s">
        <v>74</v>
      </c>
      <c r="D898" t="s">
        <v>74</v>
      </c>
      <c r="E898" t="s">
        <v>74</v>
      </c>
      <c r="F898" t="s">
        <v>17056</v>
      </c>
      <c r="G898" t="s">
        <v>74</v>
      </c>
      <c r="H898" t="s">
        <v>74</v>
      </c>
      <c r="I898" t="s">
        <v>17057</v>
      </c>
      <c r="J898" t="s">
        <v>1595</v>
      </c>
      <c r="K898" t="s">
        <v>74</v>
      </c>
      <c r="L898" t="s">
        <v>74</v>
      </c>
      <c r="M898" t="s">
        <v>78</v>
      </c>
      <c r="N898" t="s">
        <v>79</v>
      </c>
      <c r="O898" t="s">
        <v>74</v>
      </c>
      <c r="P898" t="s">
        <v>74</v>
      </c>
      <c r="Q898" t="s">
        <v>74</v>
      </c>
      <c r="R898" t="s">
        <v>74</v>
      </c>
      <c r="S898" t="s">
        <v>74</v>
      </c>
      <c r="T898" t="s">
        <v>17058</v>
      </c>
      <c r="U898" t="s">
        <v>17059</v>
      </c>
      <c r="V898" t="s">
        <v>17060</v>
      </c>
      <c r="W898" t="s">
        <v>17061</v>
      </c>
      <c r="X898" t="s">
        <v>17062</v>
      </c>
      <c r="Y898" t="s">
        <v>17063</v>
      </c>
      <c r="Z898" t="s">
        <v>17064</v>
      </c>
      <c r="AA898" t="s">
        <v>17065</v>
      </c>
      <c r="AB898" t="s">
        <v>17066</v>
      </c>
      <c r="AC898" t="s">
        <v>17067</v>
      </c>
      <c r="AD898" t="s">
        <v>17068</v>
      </c>
      <c r="AE898" t="s">
        <v>17069</v>
      </c>
      <c r="AF898" t="s">
        <v>74</v>
      </c>
      <c r="AG898">
        <v>47</v>
      </c>
      <c r="AH898">
        <v>64</v>
      </c>
      <c r="AI898">
        <v>72</v>
      </c>
      <c r="AJ898">
        <v>1</v>
      </c>
      <c r="AK898">
        <v>37</v>
      </c>
      <c r="AL898" t="s">
        <v>1606</v>
      </c>
      <c r="AM898" t="s">
        <v>808</v>
      </c>
      <c r="AN898" t="s">
        <v>1607</v>
      </c>
      <c r="AO898" t="s">
        <v>1608</v>
      </c>
      <c r="AP898" t="s">
        <v>1609</v>
      </c>
      <c r="AQ898" t="s">
        <v>74</v>
      </c>
      <c r="AR898" t="s">
        <v>1610</v>
      </c>
      <c r="AS898" t="s">
        <v>1611</v>
      </c>
      <c r="AT898" t="s">
        <v>14663</v>
      </c>
      <c r="AU898">
        <v>2013</v>
      </c>
      <c r="AV898">
        <v>118</v>
      </c>
      <c r="AW898">
        <v>9</v>
      </c>
      <c r="AX898" t="s">
        <v>74</v>
      </c>
      <c r="AY898" t="s">
        <v>74</v>
      </c>
      <c r="AZ898" t="s">
        <v>74</v>
      </c>
      <c r="BA898" t="s">
        <v>74</v>
      </c>
      <c r="BB898">
        <v>4152</v>
      </c>
      <c r="BC898">
        <v>4168</v>
      </c>
      <c r="BD898" t="s">
        <v>74</v>
      </c>
      <c r="BE898" t="s">
        <v>17070</v>
      </c>
      <c r="BF898" t="str">
        <f>HYPERLINK("http://dx.doi.org/10.1002/jgrc.20298","http://dx.doi.org/10.1002/jgrc.20298")</f>
        <v>http://dx.doi.org/10.1002/jgrc.20298</v>
      </c>
      <c r="BG898" t="s">
        <v>74</v>
      </c>
      <c r="BH898" t="s">
        <v>74</v>
      </c>
      <c r="BI898">
        <v>17</v>
      </c>
      <c r="BJ898" t="s">
        <v>1613</v>
      </c>
      <c r="BK898" t="s">
        <v>99</v>
      </c>
      <c r="BL898" t="s">
        <v>1613</v>
      </c>
      <c r="BM898" t="s">
        <v>15033</v>
      </c>
      <c r="BN898" t="s">
        <v>74</v>
      </c>
      <c r="BO898" t="s">
        <v>13298</v>
      </c>
      <c r="BP898" t="s">
        <v>74</v>
      </c>
      <c r="BQ898" t="s">
        <v>74</v>
      </c>
      <c r="BR898" t="s">
        <v>103</v>
      </c>
      <c r="BS898" t="s">
        <v>17071</v>
      </c>
      <c r="BT898" t="str">
        <f>HYPERLINK("https%3A%2F%2Fwww.webofscience.com%2Fwos%2Fwoscc%2Ffull-record%2FWOS:000326230200011","View Full Record in Web of Science")</f>
        <v>View Full Record in Web of Science</v>
      </c>
    </row>
    <row r="899" spans="1:72" x14ac:dyDescent="0.15">
      <c r="A899" t="s">
        <v>72</v>
      </c>
      <c r="B899" t="s">
        <v>17072</v>
      </c>
      <c r="C899" t="s">
        <v>74</v>
      </c>
      <c r="D899" t="s">
        <v>74</v>
      </c>
      <c r="E899" t="s">
        <v>74</v>
      </c>
      <c r="F899" t="s">
        <v>17073</v>
      </c>
      <c r="G899" t="s">
        <v>74</v>
      </c>
      <c r="H899" t="s">
        <v>74</v>
      </c>
      <c r="I899" t="s">
        <v>17074</v>
      </c>
      <c r="J899" t="s">
        <v>1595</v>
      </c>
      <c r="K899" t="s">
        <v>74</v>
      </c>
      <c r="L899" t="s">
        <v>74</v>
      </c>
      <c r="M899" t="s">
        <v>78</v>
      </c>
      <c r="N899" t="s">
        <v>79</v>
      </c>
      <c r="O899" t="s">
        <v>74</v>
      </c>
      <c r="P899" t="s">
        <v>74</v>
      </c>
      <c r="Q899" t="s">
        <v>74</v>
      </c>
      <c r="R899" t="s">
        <v>74</v>
      </c>
      <c r="S899" t="s">
        <v>74</v>
      </c>
      <c r="T899" t="s">
        <v>17075</v>
      </c>
      <c r="U899" t="s">
        <v>17076</v>
      </c>
      <c r="V899" t="s">
        <v>17077</v>
      </c>
      <c r="W899" t="s">
        <v>17078</v>
      </c>
      <c r="X899" t="s">
        <v>2990</v>
      </c>
      <c r="Y899" t="s">
        <v>2991</v>
      </c>
      <c r="Z899" t="s">
        <v>2992</v>
      </c>
      <c r="AA899" t="s">
        <v>17079</v>
      </c>
      <c r="AB899" t="s">
        <v>17080</v>
      </c>
      <c r="AC899" t="s">
        <v>17081</v>
      </c>
      <c r="AD899" t="s">
        <v>17082</v>
      </c>
      <c r="AE899" t="s">
        <v>17083</v>
      </c>
      <c r="AF899" t="s">
        <v>74</v>
      </c>
      <c r="AG899">
        <v>68</v>
      </c>
      <c r="AH899">
        <v>49</v>
      </c>
      <c r="AI899">
        <v>50</v>
      </c>
      <c r="AJ899">
        <v>0</v>
      </c>
      <c r="AK899">
        <v>35</v>
      </c>
      <c r="AL899" t="s">
        <v>1606</v>
      </c>
      <c r="AM899" t="s">
        <v>808</v>
      </c>
      <c r="AN899" t="s">
        <v>1607</v>
      </c>
      <c r="AO899" t="s">
        <v>1608</v>
      </c>
      <c r="AP899" t="s">
        <v>1609</v>
      </c>
      <c r="AQ899" t="s">
        <v>74</v>
      </c>
      <c r="AR899" t="s">
        <v>1610</v>
      </c>
      <c r="AS899" t="s">
        <v>1611</v>
      </c>
      <c r="AT899" t="s">
        <v>14663</v>
      </c>
      <c r="AU899">
        <v>2013</v>
      </c>
      <c r="AV899">
        <v>118</v>
      </c>
      <c r="AW899">
        <v>9</v>
      </c>
      <c r="AX899" t="s">
        <v>74</v>
      </c>
      <c r="AY899" t="s">
        <v>74</v>
      </c>
      <c r="AZ899" t="s">
        <v>74</v>
      </c>
      <c r="BA899" t="s">
        <v>74</v>
      </c>
      <c r="BB899">
        <v>4213</v>
      </c>
      <c r="BC899">
        <v>4227</v>
      </c>
      <c r="BD899" t="s">
        <v>74</v>
      </c>
      <c r="BE899" t="s">
        <v>17084</v>
      </c>
      <c r="BF899" t="str">
        <f>HYPERLINK("http://dx.doi.org/10.1002/jgrc.20303","http://dx.doi.org/10.1002/jgrc.20303")</f>
        <v>http://dx.doi.org/10.1002/jgrc.20303</v>
      </c>
      <c r="BG899" t="s">
        <v>74</v>
      </c>
      <c r="BH899" t="s">
        <v>74</v>
      </c>
      <c r="BI899">
        <v>15</v>
      </c>
      <c r="BJ899" t="s">
        <v>1613</v>
      </c>
      <c r="BK899" t="s">
        <v>99</v>
      </c>
      <c r="BL899" t="s">
        <v>1613</v>
      </c>
      <c r="BM899" t="s">
        <v>15033</v>
      </c>
      <c r="BN899" t="s">
        <v>74</v>
      </c>
      <c r="BO899" t="s">
        <v>831</v>
      </c>
      <c r="BP899" t="s">
        <v>74</v>
      </c>
      <c r="BQ899" t="s">
        <v>74</v>
      </c>
      <c r="BR899" t="s">
        <v>103</v>
      </c>
      <c r="BS899" t="s">
        <v>17085</v>
      </c>
      <c r="BT899" t="str">
        <f>HYPERLINK("https%3A%2F%2Fwww.webofscience.com%2Fwos%2Fwoscc%2Ffull-record%2FWOS:000326230200015","View Full Record in Web of Science")</f>
        <v>View Full Record in Web of Science</v>
      </c>
    </row>
    <row r="900" spans="1:72" x14ac:dyDescent="0.15">
      <c r="A900" t="s">
        <v>72</v>
      </c>
      <c r="B900" t="s">
        <v>17086</v>
      </c>
      <c r="C900" t="s">
        <v>74</v>
      </c>
      <c r="D900" t="s">
        <v>74</v>
      </c>
      <c r="E900" t="s">
        <v>74</v>
      </c>
      <c r="F900" t="s">
        <v>17087</v>
      </c>
      <c r="G900" t="s">
        <v>74</v>
      </c>
      <c r="H900" t="s">
        <v>74</v>
      </c>
      <c r="I900" t="s">
        <v>17088</v>
      </c>
      <c r="J900" t="s">
        <v>1688</v>
      </c>
      <c r="K900" t="s">
        <v>74</v>
      </c>
      <c r="L900" t="s">
        <v>74</v>
      </c>
      <c r="M900" t="s">
        <v>78</v>
      </c>
      <c r="N900" t="s">
        <v>79</v>
      </c>
      <c r="O900" t="s">
        <v>74</v>
      </c>
      <c r="P900" t="s">
        <v>74</v>
      </c>
      <c r="Q900" t="s">
        <v>74</v>
      </c>
      <c r="R900" t="s">
        <v>74</v>
      </c>
      <c r="S900" t="s">
        <v>74</v>
      </c>
      <c r="T900" t="s">
        <v>17089</v>
      </c>
      <c r="U900" t="s">
        <v>17090</v>
      </c>
      <c r="V900" t="s">
        <v>17091</v>
      </c>
      <c r="W900" t="s">
        <v>17092</v>
      </c>
      <c r="X900" t="s">
        <v>17093</v>
      </c>
      <c r="Y900" t="s">
        <v>17094</v>
      </c>
      <c r="Z900" t="s">
        <v>17095</v>
      </c>
      <c r="AA900" t="s">
        <v>17096</v>
      </c>
      <c r="AB900" t="s">
        <v>17097</v>
      </c>
      <c r="AC900" t="s">
        <v>17098</v>
      </c>
      <c r="AD900" t="s">
        <v>17099</v>
      </c>
      <c r="AE900" t="s">
        <v>17100</v>
      </c>
      <c r="AF900" t="s">
        <v>74</v>
      </c>
      <c r="AG900">
        <v>42</v>
      </c>
      <c r="AH900">
        <v>7</v>
      </c>
      <c r="AI900">
        <v>7</v>
      </c>
      <c r="AJ900">
        <v>1</v>
      </c>
      <c r="AK900">
        <v>6</v>
      </c>
      <c r="AL900" t="s">
        <v>1606</v>
      </c>
      <c r="AM900" t="s">
        <v>808</v>
      </c>
      <c r="AN900" t="s">
        <v>1607</v>
      </c>
      <c r="AO900" t="s">
        <v>1700</v>
      </c>
      <c r="AP900" t="s">
        <v>1701</v>
      </c>
      <c r="AQ900" t="s">
        <v>74</v>
      </c>
      <c r="AR900" t="s">
        <v>1702</v>
      </c>
      <c r="AS900" t="s">
        <v>1703</v>
      </c>
      <c r="AT900" t="s">
        <v>14663</v>
      </c>
      <c r="AU900">
        <v>2013</v>
      </c>
      <c r="AV900">
        <v>118</v>
      </c>
      <c r="AW900">
        <v>9</v>
      </c>
      <c r="AX900" t="s">
        <v>74</v>
      </c>
      <c r="AY900" t="s">
        <v>74</v>
      </c>
      <c r="AZ900" t="s">
        <v>74</v>
      </c>
      <c r="BA900" t="s">
        <v>74</v>
      </c>
      <c r="BB900">
        <v>5813</v>
      </c>
      <c r="BC900">
        <v>5829</v>
      </c>
      <c r="BD900" t="s">
        <v>74</v>
      </c>
      <c r="BE900" t="s">
        <v>17101</v>
      </c>
      <c r="BF900" t="str">
        <f>HYPERLINK("http://dx.doi.org/10.1002/jgra.50491","http://dx.doi.org/10.1002/jgra.50491")</f>
        <v>http://dx.doi.org/10.1002/jgra.50491</v>
      </c>
      <c r="BG900" t="s">
        <v>74</v>
      </c>
      <c r="BH900" t="s">
        <v>74</v>
      </c>
      <c r="BI900">
        <v>17</v>
      </c>
      <c r="BJ900" t="s">
        <v>1705</v>
      </c>
      <c r="BK900" t="s">
        <v>99</v>
      </c>
      <c r="BL900" t="s">
        <v>1705</v>
      </c>
      <c r="BM900" t="s">
        <v>15185</v>
      </c>
      <c r="BN900" t="s">
        <v>74</v>
      </c>
      <c r="BO900" t="s">
        <v>17102</v>
      </c>
      <c r="BP900" t="s">
        <v>74</v>
      </c>
      <c r="BQ900" t="s">
        <v>74</v>
      </c>
      <c r="BR900" t="s">
        <v>103</v>
      </c>
      <c r="BS900" t="s">
        <v>17103</v>
      </c>
      <c r="BT900" t="str">
        <f>HYPERLINK("https%3A%2F%2Fwww.webofscience.com%2Fwos%2Fwoscc%2Ffull-record%2FWOS:000325483800039","View Full Record in Web of Science")</f>
        <v>View Full Record in Web of Science</v>
      </c>
    </row>
    <row r="901" spans="1:72" x14ac:dyDescent="0.15">
      <c r="A901" t="s">
        <v>72</v>
      </c>
      <c r="B901" t="s">
        <v>17104</v>
      </c>
      <c r="C901" t="s">
        <v>74</v>
      </c>
      <c r="D901" t="s">
        <v>74</v>
      </c>
      <c r="E901" t="s">
        <v>74</v>
      </c>
      <c r="F901" t="s">
        <v>17105</v>
      </c>
      <c r="G901" t="s">
        <v>74</v>
      </c>
      <c r="H901" t="s">
        <v>74</v>
      </c>
      <c r="I901" t="s">
        <v>17106</v>
      </c>
      <c r="J901" t="s">
        <v>1688</v>
      </c>
      <c r="K901" t="s">
        <v>74</v>
      </c>
      <c r="L901" t="s">
        <v>74</v>
      </c>
      <c r="M901" t="s">
        <v>78</v>
      </c>
      <c r="N901" t="s">
        <v>79</v>
      </c>
      <c r="O901" t="s">
        <v>74</v>
      </c>
      <c r="P901" t="s">
        <v>74</v>
      </c>
      <c r="Q901" t="s">
        <v>74</v>
      </c>
      <c r="R901" t="s">
        <v>74</v>
      </c>
      <c r="S901" t="s">
        <v>74</v>
      </c>
      <c r="T901" t="s">
        <v>17107</v>
      </c>
      <c r="U901" t="s">
        <v>17108</v>
      </c>
      <c r="V901" t="s">
        <v>17109</v>
      </c>
      <c r="W901" t="s">
        <v>17110</v>
      </c>
      <c r="X901" t="s">
        <v>17111</v>
      </c>
      <c r="Y901" t="s">
        <v>17112</v>
      </c>
      <c r="Z901" t="s">
        <v>17113</v>
      </c>
      <c r="AA901" t="s">
        <v>17114</v>
      </c>
      <c r="AB901" t="s">
        <v>17115</v>
      </c>
      <c r="AC901" t="s">
        <v>17116</v>
      </c>
      <c r="AD901" t="s">
        <v>17117</v>
      </c>
      <c r="AE901" t="s">
        <v>17118</v>
      </c>
      <c r="AF901" t="s">
        <v>74</v>
      </c>
      <c r="AG901">
        <v>38</v>
      </c>
      <c r="AH901">
        <v>36</v>
      </c>
      <c r="AI901">
        <v>39</v>
      </c>
      <c r="AJ901">
        <v>0</v>
      </c>
      <c r="AK901">
        <v>17</v>
      </c>
      <c r="AL901" t="s">
        <v>1606</v>
      </c>
      <c r="AM901" t="s">
        <v>808</v>
      </c>
      <c r="AN901" t="s">
        <v>1607</v>
      </c>
      <c r="AO901" t="s">
        <v>1700</v>
      </c>
      <c r="AP901" t="s">
        <v>1701</v>
      </c>
      <c r="AQ901" t="s">
        <v>74</v>
      </c>
      <c r="AR901" t="s">
        <v>1702</v>
      </c>
      <c r="AS901" t="s">
        <v>1703</v>
      </c>
      <c r="AT901" t="s">
        <v>14663</v>
      </c>
      <c r="AU901">
        <v>2013</v>
      </c>
      <c r="AV901">
        <v>118</v>
      </c>
      <c r="AW901">
        <v>9</v>
      </c>
      <c r="AX901" t="s">
        <v>74</v>
      </c>
      <c r="AY901" t="s">
        <v>74</v>
      </c>
      <c r="AZ901" t="s">
        <v>74</v>
      </c>
      <c r="BA901" t="s">
        <v>74</v>
      </c>
      <c r="BB901">
        <v>5830</v>
      </c>
      <c r="BC901">
        <v>5841</v>
      </c>
      <c r="BD901" t="s">
        <v>74</v>
      </c>
      <c r="BE901" t="s">
        <v>17119</v>
      </c>
      <c r="BF901" t="str">
        <f>HYPERLINK("http://dx.doi.org/10.1002/jgra.50515","http://dx.doi.org/10.1002/jgra.50515")</f>
        <v>http://dx.doi.org/10.1002/jgra.50515</v>
      </c>
      <c r="BG901" t="s">
        <v>74</v>
      </c>
      <c r="BH901" t="s">
        <v>74</v>
      </c>
      <c r="BI901">
        <v>12</v>
      </c>
      <c r="BJ901" t="s">
        <v>1705</v>
      </c>
      <c r="BK901" t="s">
        <v>99</v>
      </c>
      <c r="BL901" t="s">
        <v>1705</v>
      </c>
      <c r="BM901" t="s">
        <v>15185</v>
      </c>
      <c r="BN901" t="s">
        <v>74</v>
      </c>
      <c r="BO901" t="s">
        <v>7079</v>
      </c>
      <c r="BP901" t="s">
        <v>74</v>
      </c>
      <c r="BQ901" t="s">
        <v>74</v>
      </c>
      <c r="BR901" t="s">
        <v>103</v>
      </c>
      <c r="BS901" t="s">
        <v>17120</v>
      </c>
      <c r="BT901" t="str">
        <f>HYPERLINK("https%3A%2F%2Fwww.webofscience.com%2Fwos%2Fwoscc%2Ffull-record%2FWOS:000325483800040","View Full Record in Web of Science")</f>
        <v>View Full Record in Web of Science</v>
      </c>
    </row>
    <row r="902" spans="1:72" x14ac:dyDescent="0.15">
      <c r="A902" t="s">
        <v>72</v>
      </c>
      <c r="B902" t="s">
        <v>17121</v>
      </c>
      <c r="C902" t="s">
        <v>74</v>
      </c>
      <c r="D902" t="s">
        <v>74</v>
      </c>
      <c r="E902" t="s">
        <v>74</v>
      </c>
      <c r="F902" t="s">
        <v>17122</v>
      </c>
      <c r="G902" t="s">
        <v>74</v>
      </c>
      <c r="H902" t="s">
        <v>74</v>
      </c>
      <c r="I902" t="s">
        <v>17123</v>
      </c>
      <c r="J902" t="s">
        <v>1688</v>
      </c>
      <c r="K902" t="s">
        <v>74</v>
      </c>
      <c r="L902" t="s">
        <v>74</v>
      </c>
      <c r="M902" t="s">
        <v>78</v>
      </c>
      <c r="N902" t="s">
        <v>79</v>
      </c>
      <c r="O902" t="s">
        <v>74</v>
      </c>
      <c r="P902" t="s">
        <v>74</v>
      </c>
      <c r="Q902" t="s">
        <v>74</v>
      </c>
      <c r="R902" t="s">
        <v>74</v>
      </c>
      <c r="S902" t="s">
        <v>74</v>
      </c>
      <c r="T902" t="s">
        <v>17124</v>
      </c>
      <c r="U902" t="s">
        <v>17125</v>
      </c>
      <c r="V902" t="s">
        <v>17126</v>
      </c>
      <c r="W902" t="s">
        <v>17127</v>
      </c>
      <c r="X902" t="s">
        <v>17128</v>
      </c>
      <c r="Y902" t="s">
        <v>17129</v>
      </c>
      <c r="Z902" t="s">
        <v>17130</v>
      </c>
      <c r="AA902" t="s">
        <v>17131</v>
      </c>
      <c r="AB902" t="s">
        <v>17132</v>
      </c>
      <c r="AC902" t="s">
        <v>17133</v>
      </c>
      <c r="AD902" t="s">
        <v>17134</v>
      </c>
      <c r="AE902" t="s">
        <v>17135</v>
      </c>
      <c r="AF902" t="s">
        <v>74</v>
      </c>
      <c r="AG902">
        <v>51</v>
      </c>
      <c r="AH902">
        <v>47</v>
      </c>
      <c r="AI902">
        <v>51</v>
      </c>
      <c r="AJ902">
        <v>0</v>
      </c>
      <c r="AK902">
        <v>8</v>
      </c>
      <c r="AL902" t="s">
        <v>1606</v>
      </c>
      <c r="AM902" t="s">
        <v>808</v>
      </c>
      <c r="AN902" t="s">
        <v>1607</v>
      </c>
      <c r="AO902" t="s">
        <v>1700</v>
      </c>
      <c r="AP902" t="s">
        <v>1701</v>
      </c>
      <c r="AQ902" t="s">
        <v>74</v>
      </c>
      <c r="AR902" t="s">
        <v>1702</v>
      </c>
      <c r="AS902" t="s">
        <v>1703</v>
      </c>
      <c r="AT902" t="s">
        <v>14663</v>
      </c>
      <c r="AU902">
        <v>2013</v>
      </c>
      <c r="AV902">
        <v>118</v>
      </c>
      <c r="AW902">
        <v>9</v>
      </c>
      <c r="AX902" t="s">
        <v>74</v>
      </c>
      <c r="AY902" t="s">
        <v>74</v>
      </c>
      <c r="AZ902" t="s">
        <v>74</v>
      </c>
      <c r="BA902" t="s">
        <v>74</v>
      </c>
      <c r="BB902">
        <v>5951</v>
      </c>
      <c r="BC902">
        <v>5966</v>
      </c>
      <c r="BD902" t="s">
        <v>74</v>
      </c>
      <c r="BE902" t="s">
        <v>17136</v>
      </c>
      <c r="BF902" t="str">
        <f>HYPERLINK("http://dx.doi.org/10.1002/jgra.50554","http://dx.doi.org/10.1002/jgra.50554")</f>
        <v>http://dx.doi.org/10.1002/jgra.50554</v>
      </c>
      <c r="BG902" t="s">
        <v>74</v>
      </c>
      <c r="BH902" t="s">
        <v>74</v>
      </c>
      <c r="BI902">
        <v>16</v>
      </c>
      <c r="BJ902" t="s">
        <v>1705</v>
      </c>
      <c r="BK902" t="s">
        <v>99</v>
      </c>
      <c r="BL902" t="s">
        <v>1705</v>
      </c>
      <c r="BM902" t="s">
        <v>15185</v>
      </c>
      <c r="BN902" t="s">
        <v>74</v>
      </c>
      <c r="BO902" t="s">
        <v>13332</v>
      </c>
      <c r="BP902" t="s">
        <v>74</v>
      </c>
      <c r="BQ902" t="s">
        <v>74</v>
      </c>
      <c r="BR902" t="s">
        <v>103</v>
      </c>
      <c r="BS902" t="s">
        <v>17137</v>
      </c>
      <c r="BT902" t="str">
        <f>HYPERLINK("https%3A%2F%2Fwww.webofscience.com%2Fwos%2Fwoscc%2Ffull-record%2FWOS:000325483800049","View Full Record in Web of Science")</f>
        <v>View Full Record in Web of Science</v>
      </c>
    </row>
    <row r="903" spans="1:72" x14ac:dyDescent="0.15">
      <c r="A903" t="s">
        <v>72</v>
      </c>
      <c r="B903" t="s">
        <v>17138</v>
      </c>
      <c r="C903" t="s">
        <v>74</v>
      </c>
      <c r="D903" t="s">
        <v>74</v>
      </c>
      <c r="E903" t="s">
        <v>74</v>
      </c>
      <c r="F903" t="s">
        <v>17139</v>
      </c>
      <c r="G903" t="s">
        <v>74</v>
      </c>
      <c r="H903" t="s">
        <v>74</v>
      </c>
      <c r="I903" t="s">
        <v>17140</v>
      </c>
      <c r="J903" t="s">
        <v>14703</v>
      </c>
      <c r="K903" t="s">
        <v>74</v>
      </c>
      <c r="L903" t="s">
        <v>74</v>
      </c>
      <c r="M903" t="s">
        <v>78</v>
      </c>
      <c r="N903" t="s">
        <v>79</v>
      </c>
      <c r="O903" t="s">
        <v>74</v>
      </c>
      <c r="P903" t="s">
        <v>74</v>
      </c>
      <c r="Q903" t="s">
        <v>74</v>
      </c>
      <c r="R903" t="s">
        <v>74</v>
      </c>
      <c r="S903" t="s">
        <v>74</v>
      </c>
      <c r="T903" t="s">
        <v>17141</v>
      </c>
      <c r="U903" t="s">
        <v>17142</v>
      </c>
      <c r="V903" t="s">
        <v>17143</v>
      </c>
      <c r="W903" t="s">
        <v>17144</v>
      </c>
      <c r="X903" t="s">
        <v>17145</v>
      </c>
      <c r="Y903" t="s">
        <v>17146</v>
      </c>
      <c r="Z903" t="s">
        <v>17147</v>
      </c>
      <c r="AA903" t="s">
        <v>17148</v>
      </c>
      <c r="AB903" t="s">
        <v>17149</v>
      </c>
      <c r="AC903" t="s">
        <v>17150</v>
      </c>
      <c r="AD903" t="s">
        <v>17151</v>
      </c>
      <c r="AE903" t="s">
        <v>17152</v>
      </c>
      <c r="AF903" t="s">
        <v>74</v>
      </c>
      <c r="AG903">
        <v>45</v>
      </c>
      <c r="AH903">
        <v>17</v>
      </c>
      <c r="AI903">
        <v>18</v>
      </c>
      <c r="AJ903">
        <v>3</v>
      </c>
      <c r="AK903">
        <v>90</v>
      </c>
      <c r="AL903" t="s">
        <v>14713</v>
      </c>
      <c r="AM903" t="s">
        <v>5916</v>
      </c>
      <c r="AN903" t="s">
        <v>14714</v>
      </c>
      <c r="AO903" t="s">
        <v>14715</v>
      </c>
      <c r="AP903" t="s">
        <v>14716</v>
      </c>
      <c r="AQ903" t="s">
        <v>74</v>
      </c>
      <c r="AR903" t="s">
        <v>14717</v>
      </c>
      <c r="AS903" t="s">
        <v>14718</v>
      </c>
      <c r="AT903" t="s">
        <v>14663</v>
      </c>
      <c r="AU903">
        <v>2013</v>
      </c>
      <c r="AV903">
        <v>23</v>
      </c>
      <c r="AW903">
        <v>9</v>
      </c>
      <c r="AX903" t="s">
        <v>74</v>
      </c>
      <c r="AY903" t="s">
        <v>74</v>
      </c>
      <c r="AZ903" t="s">
        <v>74</v>
      </c>
      <c r="BA903" t="s">
        <v>74</v>
      </c>
      <c r="BB903">
        <v>1187</v>
      </c>
      <c r="BC903">
        <v>1196</v>
      </c>
      <c r="BD903" t="s">
        <v>74</v>
      </c>
      <c r="BE903" t="s">
        <v>17153</v>
      </c>
      <c r="BF903" t="str">
        <f>HYPERLINK("http://dx.doi.org/10.4014/jmb.1305.05017","http://dx.doi.org/10.4014/jmb.1305.05017")</f>
        <v>http://dx.doi.org/10.4014/jmb.1305.05017</v>
      </c>
      <c r="BG903" t="s">
        <v>74</v>
      </c>
      <c r="BH903" t="s">
        <v>74</v>
      </c>
      <c r="BI903">
        <v>10</v>
      </c>
      <c r="BJ903" t="s">
        <v>14720</v>
      </c>
      <c r="BK903" t="s">
        <v>99</v>
      </c>
      <c r="BL903" t="s">
        <v>14720</v>
      </c>
      <c r="BM903" t="s">
        <v>14721</v>
      </c>
      <c r="BN903">
        <v>23751559</v>
      </c>
      <c r="BO903" t="s">
        <v>74</v>
      </c>
      <c r="BP903" t="s">
        <v>74</v>
      </c>
      <c r="BQ903" t="s">
        <v>74</v>
      </c>
      <c r="BR903" t="s">
        <v>103</v>
      </c>
      <c r="BS903" t="s">
        <v>17154</v>
      </c>
      <c r="BT903" t="str">
        <f>HYPERLINK("https%3A%2F%2Fwww.webofscience.com%2Fwos%2Fwoscc%2Ffull-record%2FWOS:000330098100001","View Full Record in Web of Science")</f>
        <v>View Full Record in Web of Science</v>
      </c>
    </row>
    <row r="904" spans="1:72" x14ac:dyDescent="0.15">
      <c r="A904" t="s">
        <v>72</v>
      </c>
      <c r="B904" t="s">
        <v>17155</v>
      </c>
      <c r="C904" t="s">
        <v>74</v>
      </c>
      <c r="D904" t="s">
        <v>74</v>
      </c>
      <c r="E904" t="s">
        <v>74</v>
      </c>
      <c r="F904" t="s">
        <v>17156</v>
      </c>
      <c r="G904" t="s">
        <v>74</v>
      </c>
      <c r="H904" t="s">
        <v>74</v>
      </c>
      <c r="I904" t="s">
        <v>17157</v>
      </c>
      <c r="J904" t="s">
        <v>15925</v>
      </c>
      <c r="K904" t="s">
        <v>74</v>
      </c>
      <c r="L904" t="s">
        <v>74</v>
      </c>
      <c r="M904" t="s">
        <v>78</v>
      </c>
      <c r="N904" t="s">
        <v>79</v>
      </c>
      <c r="O904" t="s">
        <v>74</v>
      </c>
      <c r="P904" t="s">
        <v>74</v>
      </c>
      <c r="Q904" t="s">
        <v>74</v>
      </c>
      <c r="R904" t="s">
        <v>74</v>
      </c>
      <c r="S904" t="s">
        <v>74</v>
      </c>
      <c r="T904" t="s">
        <v>17158</v>
      </c>
      <c r="U904" t="s">
        <v>17159</v>
      </c>
      <c r="V904" t="s">
        <v>17160</v>
      </c>
      <c r="W904" t="s">
        <v>17161</v>
      </c>
      <c r="X904" t="s">
        <v>17162</v>
      </c>
      <c r="Y904" t="s">
        <v>17163</v>
      </c>
      <c r="Z904" t="s">
        <v>17164</v>
      </c>
      <c r="AA904" t="s">
        <v>17165</v>
      </c>
      <c r="AB904" t="s">
        <v>17166</v>
      </c>
      <c r="AC904" t="s">
        <v>17167</v>
      </c>
      <c r="AD904" t="s">
        <v>17168</v>
      </c>
      <c r="AE904" t="s">
        <v>17169</v>
      </c>
      <c r="AF904" t="s">
        <v>74</v>
      </c>
      <c r="AG904">
        <v>56</v>
      </c>
      <c r="AH904">
        <v>13</v>
      </c>
      <c r="AI904">
        <v>14</v>
      </c>
      <c r="AJ904">
        <v>0</v>
      </c>
      <c r="AK904">
        <v>6</v>
      </c>
      <c r="AL904" t="s">
        <v>1748</v>
      </c>
      <c r="AM904" t="s">
        <v>921</v>
      </c>
      <c r="AN904" t="s">
        <v>3232</v>
      </c>
      <c r="AO904" t="s">
        <v>15936</v>
      </c>
      <c r="AP904" t="s">
        <v>74</v>
      </c>
      <c r="AQ904" t="s">
        <v>74</v>
      </c>
      <c r="AR904" t="s">
        <v>15938</v>
      </c>
      <c r="AS904" t="s">
        <v>15939</v>
      </c>
      <c r="AT904" t="s">
        <v>14663</v>
      </c>
      <c r="AU904">
        <v>2013</v>
      </c>
      <c r="AV904">
        <v>93</v>
      </c>
      <c r="AW904">
        <v>6</v>
      </c>
      <c r="AX904" t="s">
        <v>74</v>
      </c>
      <c r="AY904" t="s">
        <v>74</v>
      </c>
      <c r="AZ904" t="s">
        <v>74</v>
      </c>
      <c r="BA904" t="s">
        <v>74</v>
      </c>
      <c r="BB904">
        <v>1481</v>
      </c>
      <c r="BC904">
        <v>1502</v>
      </c>
      <c r="BD904" t="s">
        <v>74</v>
      </c>
      <c r="BE904" t="s">
        <v>17170</v>
      </c>
      <c r="BF904" t="str">
        <f>HYPERLINK("http://dx.doi.org/10.1017/S0025315412001956","http://dx.doi.org/10.1017/S0025315412001956")</f>
        <v>http://dx.doi.org/10.1017/S0025315412001956</v>
      </c>
      <c r="BG904" t="s">
        <v>74</v>
      </c>
      <c r="BH904" t="s">
        <v>74</v>
      </c>
      <c r="BI904">
        <v>22</v>
      </c>
      <c r="BJ904" t="s">
        <v>285</v>
      </c>
      <c r="BK904" t="s">
        <v>99</v>
      </c>
      <c r="BL904" t="s">
        <v>285</v>
      </c>
      <c r="BM904" t="s">
        <v>15941</v>
      </c>
      <c r="BN904" t="s">
        <v>74</v>
      </c>
      <c r="BO904" t="s">
        <v>74</v>
      </c>
      <c r="BP904" t="s">
        <v>74</v>
      </c>
      <c r="BQ904" t="s">
        <v>74</v>
      </c>
      <c r="BR904" t="s">
        <v>103</v>
      </c>
      <c r="BS904" t="s">
        <v>17171</v>
      </c>
      <c r="BT904" t="str">
        <f>HYPERLINK("https%3A%2F%2Fwww.webofscience.com%2Fwos%2Fwoscc%2Ffull-record%2FWOS:000322960700005","View Full Record in Web of Science")</f>
        <v>View Full Record in Web of Science</v>
      </c>
    </row>
    <row r="905" spans="1:72" x14ac:dyDescent="0.15">
      <c r="A905" t="s">
        <v>72</v>
      </c>
      <c r="B905" t="s">
        <v>17172</v>
      </c>
      <c r="C905" t="s">
        <v>74</v>
      </c>
      <c r="D905" t="s">
        <v>74</v>
      </c>
      <c r="E905" t="s">
        <v>74</v>
      </c>
      <c r="F905" t="s">
        <v>17173</v>
      </c>
      <c r="G905" t="s">
        <v>74</v>
      </c>
      <c r="H905" t="s">
        <v>74</v>
      </c>
      <c r="I905" t="s">
        <v>17174</v>
      </c>
      <c r="J905" t="s">
        <v>17175</v>
      </c>
      <c r="K905" t="s">
        <v>74</v>
      </c>
      <c r="L905" t="s">
        <v>74</v>
      </c>
      <c r="M905" t="s">
        <v>78</v>
      </c>
      <c r="N905" t="s">
        <v>79</v>
      </c>
      <c r="O905" t="s">
        <v>74</v>
      </c>
      <c r="P905" t="s">
        <v>74</v>
      </c>
      <c r="Q905" t="s">
        <v>74</v>
      </c>
      <c r="R905" t="s">
        <v>74</v>
      </c>
      <c r="S905" t="s">
        <v>74</v>
      </c>
      <c r="T905" t="s">
        <v>17176</v>
      </c>
      <c r="U905" t="s">
        <v>17177</v>
      </c>
      <c r="V905" t="s">
        <v>17178</v>
      </c>
      <c r="W905" t="s">
        <v>17179</v>
      </c>
      <c r="X905" t="s">
        <v>17180</v>
      </c>
      <c r="Y905" t="s">
        <v>17181</v>
      </c>
      <c r="Z905" t="s">
        <v>17182</v>
      </c>
      <c r="AA905" t="s">
        <v>17183</v>
      </c>
      <c r="AB905" t="s">
        <v>17184</v>
      </c>
      <c r="AC905" t="s">
        <v>17185</v>
      </c>
      <c r="AD905" t="s">
        <v>17186</v>
      </c>
      <c r="AE905" t="s">
        <v>17187</v>
      </c>
      <c r="AF905" t="s">
        <v>74</v>
      </c>
      <c r="AG905">
        <v>75</v>
      </c>
      <c r="AH905">
        <v>30</v>
      </c>
      <c r="AI905">
        <v>31</v>
      </c>
      <c r="AJ905">
        <v>1</v>
      </c>
      <c r="AK905">
        <v>37</v>
      </c>
      <c r="AL905" t="s">
        <v>304</v>
      </c>
      <c r="AM905" t="s">
        <v>305</v>
      </c>
      <c r="AN905" t="s">
        <v>306</v>
      </c>
      <c r="AO905" t="s">
        <v>17188</v>
      </c>
      <c r="AP905" t="s">
        <v>17189</v>
      </c>
      <c r="AQ905" t="s">
        <v>74</v>
      </c>
      <c r="AR905" t="s">
        <v>17190</v>
      </c>
      <c r="AS905" t="s">
        <v>17191</v>
      </c>
      <c r="AT905" t="s">
        <v>14858</v>
      </c>
      <c r="AU905">
        <v>2013</v>
      </c>
      <c r="AV905">
        <v>265</v>
      </c>
      <c r="AW905" t="s">
        <v>74</v>
      </c>
      <c r="AX905" t="s">
        <v>74</v>
      </c>
      <c r="AY905" t="s">
        <v>74</v>
      </c>
      <c r="AZ905" t="s">
        <v>74</v>
      </c>
      <c r="BA905" t="s">
        <v>74</v>
      </c>
      <c r="BB905">
        <v>60</v>
      </c>
      <c r="BC905">
        <v>77</v>
      </c>
      <c r="BD905" t="s">
        <v>74</v>
      </c>
      <c r="BE905" t="s">
        <v>17192</v>
      </c>
      <c r="BF905" t="str">
        <f>HYPERLINK("http://dx.doi.org/10.1016/j.jvolgeores.2013.08.013","http://dx.doi.org/10.1016/j.jvolgeores.2013.08.013")</f>
        <v>http://dx.doi.org/10.1016/j.jvolgeores.2013.08.013</v>
      </c>
      <c r="BG905" t="s">
        <v>74</v>
      </c>
      <c r="BH905" t="s">
        <v>74</v>
      </c>
      <c r="BI905">
        <v>18</v>
      </c>
      <c r="BJ905" t="s">
        <v>337</v>
      </c>
      <c r="BK905" t="s">
        <v>99</v>
      </c>
      <c r="BL905" t="s">
        <v>338</v>
      </c>
      <c r="BM905" t="s">
        <v>17193</v>
      </c>
      <c r="BN905" t="s">
        <v>74</v>
      </c>
      <c r="BO905" t="s">
        <v>450</v>
      </c>
      <c r="BP905" t="s">
        <v>74</v>
      </c>
      <c r="BQ905" t="s">
        <v>74</v>
      </c>
      <c r="BR905" t="s">
        <v>103</v>
      </c>
      <c r="BS905" t="s">
        <v>17194</v>
      </c>
      <c r="BT905" t="str">
        <f>HYPERLINK("https%3A%2F%2Fwww.webofscience.com%2Fwos%2Fwoscc%2Ffull-record%2FWOS:000327293600006","View Full Record in Web of Science")</f>
        <v>View Full Record in Web of Science</v>
      </c>
    </row>
    <row r="906" spans="1:72" x14ac:dyDescent="0.15">
      <c r="A906" t="s">
        <v>72</v>
      </c>
      <c r="B906" t="s">
        <v>17195</v>
      </c>
      <c r="C906" t="s">
        <v>74</v>
      </c>
      <c r="D906" t="s">
        <v>74</v>
      </c>
      <c r="E906" t="s">
        <v>74</v>
      </c>
      <c r="F906" t="s">
        <v>17196</v>
      </c>
      <c r="G906" t="s">
        <v>74</v>
      </c>
      <c r="H906" t="s">
        <v>74</v>
      </c>
      <c r="I906" t="s">
        <v>17197</v>
      </c>
      <c r="J906" t="s">
        <v>17198</v>
      </c>
      <c r="K906" t="s">
        <v>74</v>
      </c>
      <c r="L906" t="s">
        <v>74</v>
      </c>
      <c r="M906" t="s">
        <v>78</v>
      </c>
      <c r="N906" t="s">
        <v>79</v>
      </c>
      <c r="O906" t="s">
        <v>74</v>
      </c>
      <c r="P906" t="s">
        <v>74</v>
      </c>
      <c r="Q906" t="s">
        <v>74</v>
      </c>
      <c r="R906" t="s">
        <v>74</v>
      </c>
      <c r="S906" t="s">
        <v>74</v>
      </c>
      <c r="T906" t="s">
        <v>17199</v>
      </c>
      <c r="U906" t="s">
        <v>17200</v>
      </c>
      <c r="V906" t="s">
        <v>17201</v>
      </c>
      <c r="W906" t="s">
        <v>17202</v>
      </c>
      <c r="X906" t="s">
        <v>17203</v>
      </c>
      <c r="Y906" t="s">
        <v>17204</v>
      </c>
      <c r="Z906" t="s">
        <v>17205</v>
      </c>
      <c r="AA906" t="s">
        <v>17206</v>
      </c>
      <c r="AB906" t="s">
        <v>17207</v>
      </c>
      <c r="AC906" t="s">
        <v>17208</v>
      </c>
      <c r="AD906" t="s">
        <v>17209</v>
      </c>
      <c r="AE906" t="s">
        <v>17210</v>
      </c>
      <c r="AF906" t="s">
        <v>74</v>
      </c>
      <c r="AG906">
        <v>93</v>
      </c>
      <c r="AH906">
        <v>41</v>
      </c>
      <c r="AI906">
        <v>46</v>
      </c>
      <c r="AJ906">
        <v>0</v>
      </c>
      <c r="AK906">
        <v>29</v>
      </c>
      <c r="AL906" t="s">
        <v>304</v>
      </c>
      <c r="AM906" t="s">
        <v>305</v>
      </c>
      <c r="AN906" t="s">
        <v>306</v>
      </c>
      <c r="AO906" t="s">
        <v>17211</v>
      </c>
      <c r="AP906" t="s">
        <v>17212</v>
      </c>
      <c r="AQ906" t="s">
        <v>74</v>
      </c>
      <c r="AR906" t="s">
        <v>17198</v>
      </c>
      <c r="AS906" t="s">
        <v>17213</v>
      </c>
      <c r="AT906" t="s">
        <v>14858</v>
      </c>
      <c r="AU906">
        <v>2013</v>
      </c>
      <c r="AV906">
        <v>177</v>
      </c>
      <c r="AW906" t="s">
        <v>74</v>
      </c>
      <c r="AX906" t="s">
        <v>74</v>
      </c>
      <c r="AY906" t="s">
        <v>74</v>
      </c>
      <c r="AZ906" t="s">
        <v>74</v>
      </c>
      <c r="BA906" t="s">
        <v>74</v>
      </c>
      <c r="BB906">
        <v>366</v>
      </c>
      <c r="BC906">
        <v>380</v>
      </c>
      <c r="BD906" t="s">
        <v>74</v>
      </c>
      <c r="BE906" t="s">
        <v>17214</v>
      </c>
      <c r="BF906" t="str">
        <f>HYPERLINK("http://dx.doi.org/10.1016/j.lithos.2013.05.015","http://dx.doi.org/10.1016/j.lithos.2013.05.015")</f>
        <v>http://dx.doi.org/10.1016/j.lithos.2013.05.015</v>
      </c>
      <c r="BG906" t="s">
        <v>74</v>
      </c>
      <c r="BH906" t="s">
        <v>74</v>
      </c>
      <c r="BI906">
        <v>15</v>
      </c>
      <c r="BJ906" t="s">
        <v>12374</v>
      </c>
      <c r="BK906" t="s">
        <v>99</v>
      </c>
      <c r="BL906" t="s">
        <v>12374</v>
      </c>
      <c r="BM906" t="s">
        <v>17215</v>
      </c>
      <c r="BN906" t="s">
        <v>74</v>
      </c>
      <c r="BO906" t="s">
        <v>450</v>
      </c>
      <c r="BP906" t="s">
        <v>74</v>
      </c>
      <c r="BQ906" t="s">
        <v>74</v>
      </c>
      <c r="BR906" t="s">
        <v>103</v>
      </c>
      <c r="BS906" t="s">
        <v>17216</v>
      </c>
      <c r="BT906" t="str">
        <f>HYPERLINK("https%3A%2F%2Fwww.webofscience.com%2Fwos%2Fwoscc%2Ffull-record%2FWOS:000324721000023","View Full Record in Web of Science")</f>
        <v>View Full Record in Web of Science</v>
      </c>
    </row>
    <row r="907" spans="1:72" x14ac:dyDescent="0.15">
      <c r="A907" t="s">
        <v>72</v>
      </c>
      <c r="B907" t="s">
        <v>17217</v>
      </c>
      <c r="C907" t="s">
        <v>74</v>
      </c>
      <c r="D907" t="s">
        <v>74</v>
      </c>
      <c r="E907" t="s">
        <v>74</v>
      </c>
      <c r="F907" t="s">
        <v>17218</v>
      </c>
      <c r="G907" t="s">
        <v>74</v>
      </c>
      <c r="H907" t="s">
        <v>74</v>
      </c>
      <c r="I907" t="s">
        <v>17219</v>
      </c>
      <c r="J907" t="s">
        <v>9256</v>
      </c>
      <c r="K907" t="s">
        <v>74</v>
      </c>
      <c r="L907" t="s">
        <v>74</v>
      </c>
      <c r="M907" t="s">
        <v>78</v>
      </c>
      <c r="N907" t="s">
        <v>213</v>
      </c>
      <c r="O907" t="s">
        <v>74</v>
      </c>
      <c r="P907" t="s">
        <v>74</v>
      </c>
      <c r="Q907" t="s">
        <v>74</v>
      </c>
      <c r="R907" t="s">
        <v>74</v>
      </c>
      <c r="S907" t="s">
        <v>74</v>
      </c>
      <c r="T907" t="s">
        <v>74</v>
      </c>
      <c r="U907" t="s">
        <v>17220</v>
      </c>
      <c r="V907" t="s">
        <v>17221</v>
      </c>
      <c r="W907" t="s">
        <v>17222</v>
      </c>
      <c r="X907" t="s">
        <v>17223</v>
      </c>
      <c r="Y907" t="s">
        <v>17224</v>
      </c>
      <c r="Z907" t="s">
        <v>17225</v>
      </c>
      <c r="AA907" t="s">
        <v>17226</v>
      </c>
      <c r="AB907" t="s">
        <v>17227</v>
      </c>
      <c r="AC907" t="s">
        <v>17228</v>
      </c>
      <c r="AD907" t="s">
        <v>17229</v>
      </c>
      <c r="AE907" t="s">
        <v>17230</v>
      </c>
      <c r="AF907" t="s">
        <v>74</v>
      </c>
      <c r="AG907">
        <v>185</v>
      </c>
      <c r="AH907">
        <v>75</v>
      </c>
      <c r="AI907">
        <v>80</v>
      </c>
      <c r="AJ907">
        <v>0</v>
      </c>
      <c r="AK907">
        <v>165</v>
      </c>
      <c r="AL907" t="s">
        <v>6098</v>
      </c>
      <c r="AM907" t="s">
        <v>6099</v>
      </c>
      <c r="AN907" t="s">
        <v>6100</v>
      </c>
      <c r="AO907" t="s">
        <v>9268</v>
      </c>
      <c r="AP907" t="s">
        <v>9269</v>
      </c>
      <c r="AQ907" t="s">
        <v>74</v>
      </c>
      <c r="AR907" t="s">
        <v>9270</v>
      </c>
      <c r="AS907" t="s">
        <v>9271</v>
      </c>
      <c r="AT907" t="s">
        <v>14663</v>
      </c>
      <c r="AU907">
        <v>2013</v>
      </c>
      <c r="AV907">
        <v>160</v>
      </c>
      <c r="AW907">
        <v>9</v>
      </c>
      <c r="AX907" t="s">
        <v>74</v>
      </c>
      <c r="AY907" t="s">
        <v>74</v>
      </c>
      <c r="AZ907" t="s">
        <v>74</v>
      </c>
      <c r="BA907" t="s">
        <v>74</v>
      </c>
      <c r="BB907">
        <v>2295</v>
      </c>
      <c r="BC907">
        <v>2317</v>
      </c>
      <c r="BD907" t="s">
        <v>74</v>
      </c>
      <c r="BE907" t="s">
        <v>17231</v>
      </c>
      <c r="BF907" t="str">
        <f>HYPERLINK("http://dx.doi.org/10.1007/s00227-013-2232-6","http://dx.doi.org/10.1007/s00227-013-2232-6")</f>
        <v>http://dx.doi.org/10.1007/s00227-013-2232-6</v>
      </c>
      <c r="BG907" t="s">
        <v>74</v>
      </c>
      <c r="BH907" t="s">
        <v>74</v>
      </c>
      <c r="BI907">
        <v>23</v>
      </c>
      <c r="BJ907" t="s">
        <v>285</v>
      </c>
      <c r="BK907" t="s">
        <v>99</v>
      </c>
      <c r="BL907" t="s">
        <v>285</v>
      </c>
      <c r="BM907" t="s">
        <v>17232</v>
      </c>
      <c r="BN907" t="s">
        <v>74</v>
      </c>
      <c r="BO907" t="s">
        <v>831</v>
      </c>
      <c r="BP907" t="s">
        <v>74</v>
      </c>
      <c r="BQ907" t="s">
        <v>74</v>
      </c>
      <c r="BR907" t="s">
        <v>103</v>
      </c>
      <c r="BS907" t="s">
        <v>17233</v>
      </c>
      <c r="BT907" t="str">
        <f>HYPERLINK("https%3A%2F%2Fwww.webofscience.com%2Fwos%2Fwoscc%2Ffull-record%2FWOS:000323622400003","View Full Record in Web of Science")</f>
        <v>View Full Record in Web of Science</v>
      </c>
    </row>
    <row r="908" spans="1:72" x14ac:dyDescent="0.15">
      <c r="A908" t="s">
        <v>72</v>
      </c>
      <c r="B908" t="s">
        <v>17234</v>
      </c>
      <c r="C908" t="s">
        <v>74</v>
      </c>
      <c r="D908" t="s">
        <v>74</v>
      </c>
      <c r="E908" t="s">
        <v>74</v>
      </c>
      <c r="F908" t="s">
        <v>17235</v>
      </c>
      <c r="G908" t="s">
        <v>74</v>
      </c>
      <c r="H908" t="s">
        <v>74</v>
      </c>
      <c r="I908" t="s">
        <v>17236</v>
      </c>
      <c r="J908" t="s">
        <v>8804</v>
      </c>
      <c r="K908" t="s">
        <v>74</v>
      </c>
      <c r="L908" t="s">
        <v>74</v>
      </c>
      <c r="M908" t="s">
        <v>78</v>
      </c>
      <c r="N908" t="s">
        <v>79</v>
      </c>
      <c r="O908" t="s">
        <v>74</v>
      </c>
      <c r="P908" t="s">
        <v>74</v>
      </c>
      <c r="Q908" t="s">
        <v>74</v>
      </c>
      <c r="R908" t="s">
        <v>74</v>
      </c>
      <c r="S908" t="s">
        <v>74</v>
      </c>
      <c r="T908" t="s">
        <v>74</v>
      </c>
      <c r="U908" t="s">
        <v>17237</v>
      </c>
      <c r="V908" t="s">
        <v>17238</v>
      </c>
      <c r="W908" t="s">
        <v>17239</v>
      </c>
      <c r="X908" t="s">
        <v>17240</v>
      </c>
      <c r="Y908" t="s">
        <v>17241</v>
      </c>
      <c r="Z908" t="s">
        <v>17242</v>
      </c>
      <c r="AA908" t="s">
        <v>17243</v>
      </c>
      <c r="AB908" t="s">
        <v>17244</v>
      </c>
      <c r="AC908" t="s">
        <v>17245</v>
      </c>
      <c r="AD908" t="s">
        <v>8301</v>
      </c>
      <c r="AE908" t="s">
        <v>17246</v>
      </c>
      <c r="AF908" t="s">
        <v>74</v>
      </c>
      <c r="AG908">
        <v>93</v>
      </c>
      <c r="AH908">
        <v>16</v>
      </c>
      <c r="AI908">
        <v>18</v>
      </c>
      <c r="AJ908">
        <v>2</v>
      </c>
      <c r="AK908">
        <v>16</v>
      </c>
      <c r="AL908" t="s">
        <v>624</v>
      </c>
      <c r="AM908" t="s">
        <v>411</v>
      </c>
      <c r="AN908" t="s">
        <v>412</v>
      </c>
      <c r="AO908" t="s">
        <v>8816</v>
      </c>
      <c r="AP908" t="s">
        <v>8817</v>
      </c>
      <c r="AQ908" t="s">
        <v>74</v>
      </c>
      <c r="AR908" t="s">
        <v>8818</v>
      </c>
      <c r="AS908" t="s">
        <v>8819</v>
      </c>
      <c r="AT908" t="s">
        <v>14663</v>
      </c>
      <c r="AU908">
        <v>2013</v>
      </c>
      <c r="AV908">
        <v>48</v>
      </c>
      <c r="AW908">
        <v>9</v>
      </c>
      <c r="AX908" t="s">
        <v>74</v>
      </c>
      <c r="AY908" t="s">
        <v>74</v>
      </c>
      <c r="AZ908" t="s">
        <v>74</v>
      </c>
      <c r="BA908" t="s">
        <v>74</v>
      </c>
      <c r="BB908">
        <v>1590</v>
      </c>
      <c r="BC908">
        <v>1606</v>
      </c>
      <c r="BD908" t="s">
        <v>74</v>
      </c>
      <c r="BE908" t="s">
        <v>17247</v>
      </c>
      <c r="BF908" t="str">
        <f>HYPERLINK("http://dx.doi.org/10.1111/maps.12184","http://dx.doi.org/10.1111/maps.12184")</f>
        <v>http://dx.doi.org/10.1111/maps.12184</v>
      </c>
      <c r="BG908" t="s">
        <v>74</v>
      </c>
      <c r="BH908" t="s">
        <v>74</v>
      </c>
      <c r="BI908">
        <v>17</v>
      </c>
      <c r="BJ908" t="s">
        <v>313</v>
      </c>
      <c r="BK908" t="s">
        <v>99</v>
      </c>
      <c r="BL908" t="s">
        <v>313</v>
      </c>
      <c r="BM908" t="s">
        <v>17248</v>
      </c>
      <c r="BN908" t="s">
        <v>74</v>
      </c>
      <c r="BO908" t="s">
        <v>74</v>
      </c>
      <c r="BP908" t="s">
        <v>74</v>
      </c>
      <c r="BQ908" t="s">
        <v>74</v>
      </c>
      <c r="BR908" t="s">
        <v>103</v>
      </c>
      <c r="BS908" t="s">
        <v>17249</v>
      </c>
      <c r="BT908" t="str">
        <f>HYPERLINK("https%3A%2F%2Fwww.webofscience.com%2Fwos%2Fwoscc%2Ffull-record%2FWOS:000327885300003","View Full Record in Web of Science")</f>
        <v>View Full Record in Web of Science</v>
      </c>
    </row>
    <row r="909" spans="1:72" x14ac:dyDescent="0.15">
      <c r="A909" t="s">
        <v>72</v>
      </c>
      <c r="B909" t="s">
        <v>17250</v>
      </c>
      <c r="C909" t="s">
        <v>74</v>
      </c>
      <c r="D909" t="s">
        <v>74</v>
      </c>
      <c r="E909" t="s">
        <v>74</v>
      </c>
      <c r="F909" t="s">
        <v>17251</v>
      </c>
      <c r="G909" t="s">
        <v>74</v>
      </c>
      <c r="H909" t="s">
        <v>74</v>
      </c>
      <c r="I909" t="s">
        <v>17252</v>
      </c>
      <c r="J909" t="s">
        <v>2578</v>
      </c>
      <c r="K909" t="s">
        <v>74</v>
      </c>
      <c r="L909" t="s">
        <v>74</v>
      </c>
      <c r="M909" t="s">
        <v>78</v>
      </c>
      <c r="N909" t="s">
        <v>79</v>
      </c>
      <c r="O909" t="s">
        <v>74</v>
      </c>
      <c r="P909" t="s">
        <v>74</v>
      </c>
      <c r="Q909" t="s">
        <v>74</v>
      </c>
      <c r="R909" t="s">
        <v>74</v>
      </c>
      <c r="S909" t="s">
        <v>74</v>
      </c>
      <c r="T909" t="s">
        <v>17253</v>
      </c>
      <c r="U909" t="s">
        <v>17254</v>
      </c>
      <c r="V909" t="s">
        <v>17255</v>
      </c>
      <c r="W909" t="s">
        <v>17256</v>
      </c>
      <c r="X909" t="s">
        <v>17257</v>
      </c>
      <c r="Y909" t="s">
        <v>17258</v>
      </c>
      <c r="Z909" t="s">
        <v>17259</v>
      </c>
      <c r="AA909" t="s">
        <v>17260</v>
      </c>
      <c r="AB909" t="s">
        <v>17261</v>
      </c>
      <c r="AC909" t="s">
        <v>17262</v>
      </c>
      <c r="AD909" t="s">
        <v>17263</v>
      </c>
      <c r="AE909" t="s">
        <v>17264</v>
      </c>
      <c r="AF909" t="s">
        <v>74</v>
      </c>
      <c r="AG909">
        <v>52</v>
      </c>
      <c r="AH909">
        <v>27</v>
      </c>
      <c r="AI909">
        <v>27</v>
      </c>
      <c r="AJ909">
        <v>0</v>
      </c>
      <c r="AK909">
        <v>56</v>
      </c>
      <c r="AL909" t="s">
        <v>2588</v>
      </c>
      <c r="AM909" t="s">
        <v>2470</v>
      </c>
      <c r="AN909" t="s">
        <v>2589</v>
      </c>
      <c r="AO909" t="s">
        <v>2590</v>
      </c>
      <c r="AP909" t="s">
        <v>2591</v>
      </c>
      <c r="AQ909" t="s">
        <v>74</v>
      </c>
      <c r="AR909" t="s">
        <v>2592</v>
      </c>
      <c r="AS909" t="s">
        <v>2593</v>
      </c>
      <c r="AT909" t="s">
        <v>14663</v>
      </c>
      <c r="AU909">
        <v>2013</v>
      </c>
      <c r="AV909">
        <v>68</v>
      </c>
      <c r="AW909">
        <v>3</v>
      </c>
      <c r="AX909" t="s">
        <v>74</v>
      </c>
      <c r="AY909" t="s">
        <v>74</v>
      </c>
      <c r="AZ909" t="s">
        <v>74</v>
      </c>
      <c r="BA909" t="s">
        <v>74</v>
      </c>
      <c r="BB909">
        <v>595</v>
      </c>
      <c r="BC909">
        <v>603</v>
      </c>
      <c r="BD909" t="s">
        <v>74</v>
      </c>
      <c r="BE909" t="s">
        <v>17265</v>
      </c>
      <c r="BF909" t="str">
        <f>HYPERLINK("http://dx.doi.org/10.1016/j.ympev.2013.04.006","http://dx.doi.org/10.1016/j.ympev.2013.04.006")</f>
        <v>http://dx.doi.org/10.1016/j.ympev.2013.04.006</v>
      </c>
      <c r="BG909" t="s">
        <v>74</v>
      </c>
      <c r="BH909" t="s">
        <v>74</v>
      </c>
      <c r="BI909">
        <v>9</v>
      </c>
      <c r="BJ909" t="s">
        <v>2595</v>
      </c>
      <c r="BK909" t="s">
        <v>99</v>
      </c>
      <c r="BL909" t="s">
        <v>2595</v>
      </c>
      <c r="BM909" t="s">
        <v>17266</v>
      </c>
      <c r="BN909">
        <v>23608128</v>
      </c>
      <c r="BO909" t="s">
        <v>74</v>
      </c>
      <c r="BP909" t="s">
        <v>74</v>
      </c>
      <c r="BQ909" t="s">
        <v>74</v>
      </c>
      <c r="BR909" t="s">
        <v>103</v>
      </c>
      <c r="BS909" t="s">
        <v>17267</v>
      </c>
      <c r="BT909" t="str">
        <f>HYPERLINK("https%3A%2F%2Fwww.webofscience.com%2Fwos%2Fwoscc%2Ffull-record%2FWOS:000321316000018","View Full Record in Web of Science")</f>
        <v>View Full Record in Web of Science</v>
      </c>
    </row>
    <row r="910" spans="1:72" x14ac:dyDescent="0.15">
      <c r="A910" t="s">
        <v>72</v>
      </c>
      <c r="B910" t="s">
        <v>17268</v>
      </c>
      <c r="C910" t="s">
        <v>74</v>
      </c>
      <c r="D910" t="s">
        <v>74</v>
      </c>
      <c r="E910" t="s">
        <v>74</v>
      </c>
      <c r="F910" t="s">
        <v>17269</v>
      </c>
      <c r="G910" t="s">
        <v>74</v>
      </c>
      <c r="H910" t="s">
        <v>74</v>
      </c>
      <c r="I910" t="s">
        <v>17270</v>
      </c>
      <c r="J910" t="s">
        <v>13630</v>
      </c>
      <c r="K910" t="s">
        <v>74</v>
      </c>
      <c r="L910" t="s">
        <v>74</v>
      </c>
      <c r="M910" t="s">
        <v>78</v>
      </c>
      <c r="N910" t="s">
        <v>79</v>
      </c>
      <c r="O910" t="s">
        <v>74</v>
      </c>
      <c r="P910" t="s">
        <v>74</v>
      </c>
      <c r="Q910" t="s">
        <v>74</v>
      </c>
      <c r="R910" t="s">
        <v>74</v>
      </c>
      <c r="S910" t="s">
        <v>74</v>
      </c>
      <c r="T910" t="s">
        <v>74</v>
      </c>
      <c r="U910" t="s">
        <v>17271</v>
      </c>
      <c r="V910" t="s">
        <v>17272</v>
      </c>
      <c r="W910" t="s">
        <v>17273</v>
      </c>
      <c r="X910" t="s">
        <v>17274</v>
      </c>
      <c r="Y910" t="s">
        <v>17275</v>
      </c>
      <c r="Z910" t="s">
        <v>17276</v>
      </c>
      <c r="AA910" t="s">
        <v>4873</v>
      </c>
      <c r="AB910" t="s">
        <v>17277</v>
      </c>
      <c r="AC910" t="s">
        <v>17278</v>
      </c>
      <c r="AD910" t="s">
        <v>17279</v>
      </c>
      <c r="AE910" t="s">
        <v>17280</v>
      </c>
      <c r="AF910" t="s">
        <v>74</v>
      </c>
      <c r="AG910">
        <v>30</v>
      </c>
      <c r="AH910">
        <v>136</v>
      </c>
      <c r="AI910">
        <v>146</v>
      </c>
      <c r="AJ910">
        <v>14</v>
      </c>
      <c r="AK910">
        <v>49</v>
      </c>
      <c r="AL910" t="s">
        <v>1371</v>
      </c>
      <c r="AM910" t="s">
        <v>849</v>
      </c>
      <c r="AN910" t="s">
        <v>1372</v>
      </c>
      <c r="AO910" t="s">
        <v>13638</v>
      </c>
      <c r="AP910" t="s">
        <v>13639</v>
      </c>
      <c r="AQ910" t="s">
        <v>74</v>
      </c>
      <c r="AR910" t="s">
        <v>13640</v>
      </c>
      <c r="AS910" t="s">
        <v>13641</v>
      </c>
      <c r="AT910" t="s">
        <v>14663</v>
      </c>
      <c r="AU910">
        <v>2013</v>
      </c>
      <c r="AV910">
        <v>3</v>
      </c>
      <c r="AW910">
        <v>9</v>
      </c>
      <c r="AX910" t="s">
        <v>74</v>
      </c>
      <c r="AY910" t="s">
        <v>74</v>
      </c>
      <c r="AZ910" t="s">
        <v>74</v>
      </c>
      <c r="BA910" t="s">
        <v>74</v>
      </c>
      <c r="BB910" t="s">
        <v>74</v>
      </c>
      <c r="BC910" t="s">
        <v>74</v>
      </c>
      <c r="BD910" t="s">
        <v>74</v>
      </c>
      <c r="BE910" t="s">
        <v>17281</v>
      </c>
      <c r="BF910" t="str">
        <f>HYPERLINK("http://dx.doi.org/10.1038/NCLIMATE1937","http://dx.doi.org/10.1038/NCLIMATE1937")</f>
        <v>http://dx.doi.org/10.1038/NCLIMATE1937</v>
      </c>
      <c r="BG910" t="s">
        <v>74</v>
      </c>
      <c r="BH910" t="s">
        <v>74</v>
      </c>
      <c r="BI910">
        <v>5</v>
      </c>
      <c r="BJ910" t="s">
        <v>13643</v>
      </c>
      <c r="BK910" t="s">
        <v>3932</v>
      </c>
      <c r="BL910" t="s">
        <v>3933</v>
      </c>
      <c r="BM910" t="s">
        <v>17282</v>
      </c>
      <c r="BN910" t="s">
        <v>74</v>
      </c>
      <c r="BO910" t="s">
        <v>74</v>
      </c>
      <c r="BP910" t="s">
        <v>74</v>
      </c>
      <c r="BQ910" t="s">
        <v>74</v>
      </c>
      <c r="BR910" t="s">
        <v>103</v>
      </c>
      <c r="BS910" t="s">
        <v>17283</v>
      </c>
      <c r="BT910" t="str">
        <f>HYPERLINK("https%3A%2F%2Fwww.webofscience.com%2Fwos%2Fwoscc%2Ffull-record%2FWOS:000326816100025","View Full Record in Web of Science")</f>
        <v>View Full Record in Web of Science</v>
      </c>
    </row>
    <row r="911" spans="1:72" x14ac:dyDescent="0.15">
      <c r="A911" t="s">
        <v>72</v>
      </c>
      <c r="B911" t="s">
        <v>17284</v>
      </c>
      <c r="C911" t="s">
        <v>74</v>
      </c>
      <c r="D911" t="s">
        <v>74</v>
      </c>
      <c r="E911" t="s">
        <v>74</v>
      </c>
      <c r="F911" t="s">
        <v>17285</v>
      </c>
      <c r="G911" t="s">
        <v>74</v>
      </c>
      <c r="H911" t="s">
        <v>74</v>
      </c>
      <c r="I911" t="s">
        <v>17286</v>
      </c>
      <c r="J911" t="s">
        <v>2637</v>
      </c>
      <c r="K911" t="s">
        <v>74</v>
      </c>
      <c r="L911" t="s">
        <v>74</v>
      </c>
      <c r="M911" t="s">
        <v>78</v>
      </c>
      <c r="N911" t="s">
        <v>79</v>
      </c>
      <c r="O911" t="s">
        <v>74</v>
      </c>
      <c r="P911" t="s">
        <v>74</v>
      </c>
      <c r="Q911" t="s">
        <v>74</v>
      </c>
      <c r="R911" t="s">
        <v>74</v>
      </c>
      <c r="S911" t="s">
        <v>74</v>
      </c>
      <c r="T911" t="s">
        <v>74</v>
      </c>
      <c r="U911" t="s">
        <v>17287</v>
      </c>
      <c r="V911" t="s">
        <v>17288</v>
      </c>
      <c r="W911" t="s">
        <v>17289</v>
      </c>
      <c r="X911" t="s">
        <v>17290</v>
      </c>
      <c r="Y911" t="s">
        <v>11308</v>
      </c>
      <c r="Z911" t="s">
        <v>11309</v>
      </c>
      <c r="AA911" t="s">
        <v>17291</v>
      </c>
      <c r="AB911" t="s">
        <v>17292</v>
      </c>
      <c r="AC911" t="s">
        <v>17293</v>
      </c>
      <c r="AD911" t="s">
        <v>17294</v>
      </c>
      <c r="AE911" t="s">
        <v>17295</v>
      </c>
      <c r="AF911" t="s">
        <v>74</v>
      </c>
      <c r="AG911">
        <v>46</v>
      </c>
      <c r="AH911">
        <v>105</v>
      </c>
      <c r="AI911">
        <v>113</v>
      </c>
      <c r="AJ911">
        <v>3</v>
      </c>
      <c r="AK911">
        <v>73</v>
      </c>
      <c r="AL911" t="s">
        <v>1371</v>
      </c>
      <c r="AM911" t="s">
        <v>849</v>
      </c>
      <c r="AN911" t="s">
        <v>1372</v>
      </c>
      <c r="AO911" t="s">
        <v>2648</v>
      </c>
      <c r="AP911" t="s">
        <v>74</v>
      </c>
      <c r="AQ911" t="s">
        <v>74</v>
      </c>
      <c r="AR911" t="s">
        <v>2649</v>
      </c>
      <c r="AS911" t="s">
        <v>2650</v>
      </c>
      <c r="AT911" t="s">
        <v>14663</v>
      </c>
      <c r="AU911">
        <v>2013</v>
      </c>
      <c r="AV911">
        <v>4</v>
      </c>
      <c r="AW911" t="s">
        <v>74</v>
      </c>
      <c r="AX911" t="s">
        <v>74</v>
      </c>
      <c r="AY911" t="s">
        <v>74</v>
      </c>
      <c r="AZ911" t="s">
        <v>74</v>
      </c>
      <c r="BA911" t="s">
        <v>74</v>
      </c>
      <c r="BB911" t="s">
        <v>74</v>
      </c>
      <c r="BC911" t="s">
        <v>74</v>
      </c>
      <c r="BD911">
        <v>2457</v>
      </c>
      <c r="BE911" t="s">
        <v>17296</v>
      </c>
      <c r="BF911" t="str">
        <f>HYPERLINK("http://dx.doi.org/10.1038/ncomms3457","http://dx.doi.org/10.1038/ncomms3457")</f>
        <v>http://dx.doi.org/10.1038/ncomms3457</v>
      </c>
      <c r="BG911" t="s">
        <v>74</v>
      </c>
      <c r="BH911" t="s">
        <v>74</v>
      </c>
      <c r="BI911">
        <v>7</v>
      </c>
      <c r="BJ911" t="s">
        <v>2652</v>
      </c>
      <c r="BK911" t="s">
        <v>99</v>
      </c>
      <c r="BL911" t="s">
        <v>2653</v>
      </c>
      <c r="BM911" t="s">
        <v>17297</v>
      </c>
      <c r="BN911">
        <v>24036630</v>
      </c>
      <c r="BO911" t="s">
        <v>1733</v>
      </c>
      <c r="BP911" t="s">
        <v>74</v>
      </c>
      <c r="BQ911" t="s">
        <v>74</v>
      </c>
      <c r="BR911" t="s">
        <v>103</v>
      </c>
      <c r="BS911" t="s">
        <v>17298</v>
      </c>
      <c r="BT911" t="str">
        <f>HYPERLINK("https%3A%2F%2Fwww.webofscience.com%2Fwos%2Fwoscc%2Ffull-record%2FWOS:000325533900004","View Full Record in Web of Science")</f>
        <v>View Full Record in Web of Science</v>
      </c>
    </row>
    <row r="912" spans="1:72" x14ac:dyDescent="0.15">
      <c r="A912" t="s">
        <v>72</v>
      </c>
      <c r="B912" t="s">
        <v>17299</v>
      </c>
      <c r="C912" t="s">
        <v>74</v>
      </c>
      <c r="D912" t="s">
        <v>74</v>
      </c>
      <c r="E912" t="s">
        <v>74</v>
      </c>
      <c r="F912" t="s">
        <v>17300</v>
      </c>
      <c r="G912" t="s">
        <v>74</v>
      </c>
      <c r="H912" t="s">
        <v>74</v>
      </c>
      <c r="I912" t="s">
        <v>17301</v>
      </c>
      <c r="J912" t="s">
        <v>6033</v>
      </c>
      <c r="K912" t="s">
        <v>74</v>
      </c>
      <c r="L912" t="s">
        <v>74</v>
      </c>
      <c r="M912" t="s">
        <v>78</v>
      </c>
      <c r="N912" t="s">
        <v>1019</v>
      </c>
      <c r="O912" t="s">
        <v>74</v>
      </c>
      <c r="P912" t="s">
        <v>74</v>
      </c>
      <c r="Q912" t="s">
        <v>74</v>
      </c>
      <c r="R912" t="s">
        <v>74</v>
      </c>
      <c r="S912" t="s">
        <v>74</v>
      </c>
      <c r="T912" t="s">
        <v>74</v>
      </c>
      <c r="U912" t="s">
        <v>17302</v>
      </c>
      <c r="V912" t="s">
        <v>74</v>
      </c>
      <c r="W912" t="s">
        <v>11373</v>
      </c>
      <c r="X912" t="s">
        <v>709</v>
      </c>
      <c r="Y912" t="s">
        <v>17303</v>
      </c>
      <c r="Z912" t="s">
        <v>17304</v>
      </c>
      <c r="AA912" t="s">
        <v>74</v>
      </c>
      <c r="AB912" t="s">
        <v>74</v>
      </c>
      <c r="AC912" t="s">
        <v>17305</v>
      </c>
      <c r="AD912" t="s">
        <v>1628</v>
      </c>
      <c r="AE912" t="s">
        <v>74</v>
      </c>
      <c r="AF912" t="s">
        <v>74</v>
      </c>
      <c r="AG912">
        <v>14</v>
      </c>
      <c r="AH912">
        <v>0</v>
      </c>
      <c r="AI912">
        <v>0</v>
      </c>
      <c r="AJ912">
        <v>0</v>
      </c>
      <c r="AK912">
        <v>14</v>
      </c>
      <c r="AL912" t="s">
        <v>1371</v>
      </c>
      <c r="AM912" t="s">
        <v>921</v>
      </c>
      <c r="AN912" t="s">
        <v>6039</v>
      </c>
      <c r="AO912" t="s">
        <v>6040</v>
      </c>
      <c r="AP912" t="s">
        <v>6041</v>
      </c>
      <c r="AQ912" t="s">
        <v>74</v>
      </c>
      <c r="AR912" t="s">
        <v>6042</v>
      </c>
      <c r="AS912" t="s">
        <v>6043</v>
      </c>
      <c r="AT912" t="s">
        <v>14663</v>
      </c>
      <c r="AU912">
        <v>2013</v>
      </c>
      <c r="AV912">
        <v>6</v>
      </c>
      <c r="AW912">
        <v>9</v>
      </c>
      <c r="AX912" t="s">
        <v>74</v>
      </c>
      <c r="AY912" t="s">
        <v>74</v>
      </c>
      <c r="AZ912" t="s">
        <v>74</v>
      </c>
      <c r="BA912" t="s">
        <v>74</v>
      </c>
      <c r="BB912">
        <v>680</v>
      </c>
      <c r="BC912">
        <v>681</v>
      </c>
      <c r="BD912" t="s">
        <v>74</v>
      </c>
      <c r="BE912" t="s">
        <v>17306</v>
      </c>
      <c r="BF912" t="str">
        <f>HYPERLINK("http://dx.doi.org/10.1038/ngeo1897","http://dx.doi.org/10.1038/ngeo1897")</f>
        <v>http://dx.doi.org/10.1038/ngeo1897</v>
      </c>
      <c r="BG912" t="s">
        <v>74</v>
      </c>
      <c r="BH912" t="s">
        <v>74</v>
      </c>
      <c r="BI912">
        <v>3</v>
      </c>
      <c r="BJ912" t="s">
        <v>337</v>
      </c>
      <c r="BK912" t="s">
        <v>99</v>
      </c>
      <c r="BL912" t="s">
        <v>338</v>
      </c>
      <c r="BM912" t="s">
        <v>17307</v>
      </c>
      <c r="BN912" t="s">
        <v>74</v>
      </c>
      <c r="BO912" t="s">
        <v>74</v>
      </c>
      <c r="BP912" t="s">
        <v>74</v>
      </c>
      <c r="BQ912" t="s">
        <v>74</v>
      </c>
      <c r="BR912" t="s">
        <v>103</v>
      </c>
      <c r="BS912" t="s">
        <v>17308</v>
      </c>
      <c r="BT912" t="str">
        <f>HYPERLINK("https%3A%2F%2Fwww.webofscience.com%2Fwos%2Fwoscc%2Ffull-record%2FWOS:000323717500005","View Full Record in Web of Science")</f>
        <v>View Full Record in Web of Science</v>
      </c>
    </row>
    <row r="913" spans="1:72" x14ac:dyDescent="0.15">
      <c r="A913" t="s">
        <v>72</v>
      </c>
      <c r="B913" t="s">
        <v>17309</v>
      </c>
      <c r="C913" t="s">
        <v>74</v>
      </c>
      <c r="D913" t="s">
        <v>74</v>
      </c>
      <c r="E913" t="s">
        <v>74</v>
      </c>
      <c r="F913" t="s">
        <v>17310</v>
      </c>
      <c r="G913" t="s">
        <v>74</v>
      </c>
      <c r="H913" t="s">
        <v>74</v>
      </c>
      <c r="I913" t="s">
        <v>17311</v>
      </c>
      <c r="J913" t="s">
        <v>6033</v>
      </c>
      <c r="K913" t="s">
        <v>74</v>
      </c>
      <c r="L913" t="s">
        <v>74</v>
      </c>
      <c r="M913" t="s">
        <v>78</v>
      </c>
      <c r="N913" t="s">
        <v>79</v>
      </c>
      <c r="O913" t="s">
        <v>74</v>
      </c>
      <c r="P913" t="s">
        <v>74</v>
      </c>
      <c r="Q913" t="s">
        <v>74</v>
      </c>
      <c r="R913" t="s">
        <v>74</v>
      </c>
      <c r="S913" t="s">
        <v>74</v>
      </c>
      <c r="T913" t="s">
        <v>74</v>
      </c>
      <c r="U913" t="s">
        <v>17312</v>
      </c>
      <c r="V913" t="s">
        <v>17313</v>
      </c>
      <c r="W913" t="s">
        <v>17314</v>
      </c>
      <c r="X913" t="s">
        <v>17315</v>
      </c>
      <c r="Y913" t="s">
        <v>17316</v>
      </c>
      <c r="Z913" t="s">
        <v>17317</v>
      </c>
      <c r="AA913" t="s">
        <v>17318</v>
      </c>
      <c r="AB913" t="s">
        <v>17319</v>
      </c>
      <c r="AC913" t="s">
        <v>17320</v>
      </c>
      <c r="AD913" t="s">
        <v>17321</v>
      </c>
      <c r="AE913" t="s">
        <v>17322</v>
      </c>
      <c r="AF913" t="s">
        <v>74</v>
      </c>
      <c r="AG913">
        <v>29</v>
      </c>
      <c r="AH913">
        <v>43</v>
      </c>
      <c r="AI913">
        <v>47</v>
      </c>
      <c r="AJ913">
        <v>1</v>
      </c>
      <c r="AK913">
        <v>51</v>
      </c>
      <c r="AL913" t="s">
        <v>1371</v>
      </c>
      <c r="AM913" t="s">
        <v>921</v>
      </c>
      <c r="AN913" t="s">
        <v>6039</v>
      </c>
      <c r="AO913" t="s">
        <v>6040</v>
      </c>
      <c r="AP913" t="s">
        <v>6041</v>
      </c>
      <c r="AQ913" t="s">
        <v>74</v>
      </c>
      <c r="AR913" t="s">
        <v>6042</v>
      </c>
      <c r="AS913" t="s">
        <v>6043</v>
      </c>
      <c r="AT913" t="s">
        <v>14663</v>
      </c>
      <c r="AU913">
        <v>2013</v>
      </c>
      <c r="AV913">
        <v>6</v>
      </c>
      <c r="AW913">
        <v>9</v>
      </c>
      <c r="AX913" t="s">
        <v>74</v>
      </c>
      <c r="AY913" t="s">
        <v>74</v>
      </c>
      <c r="AZ913" t="s">
        <v>74</v>
      </c>
      <c r="BA913" t="s">
        <v>74</v>
      </c>
      <c r="BB913">
        <v>746</v>
      </c>
      <c r="BC913">
        <v>750</v>
      </c>
      <c r="BD913" t="s">
        <v>74</v>
      </c>
      <c r="BE913" t="s">
        <v>17323</v>
      </c>
      <c r="BF913" t="str">
        <f>HYPERLINK("http://dx.doi.org/10.1038/NGEO1898","http://dx.doi.org/10.1038/NGEO1898")</f>
        <v>http://dx.doi.org/10.1038/NGEO1898</v>
      </c>
      <c r="BG913" t="s">
        <v>74</v>
      </c>
      <c r="BH913" t="s">
        <v>74</v>
      </c>
      <c r="BI913">
        <v>5</v>
      </c>
      <c r="BJ913" t="s">
        <v>337</v>
      </c>
      <c r="BK913" t="s">
        <v>99</v>
      </c>
      <c r="BL913" t="s">
        <v>338</v>
      </c>
      <c r="BM913" t="s">
        <v>17307</v>
      </c>
      <c r="BN913" t="s">
        <v>74</v>
      </c>
      <c r="BO913" t="s">
        <v>74</v>
      </c>
      <c r="BP913" t="s">
        <v>74</v>
      </c>
      <c r="BQ913" t="s">
        <v>74</v>
      </c>
      <c r="BR913" t="s">
        <v>103</v>
      </c>
      <c r="BS913" t="s">
        <v>17324</v>
      </c>
      <c r="BT913" t="str">
        <f>HYPERLINK("https%3A%2F%2Fwww.webofscience.com%2Fwos%2Fwoscc%2Ffull-record%2FWOS:000323717500017","View Full Record in Web of Science")</f>
        <v>View Full Record in Web of Science</v>
      </c>
    </row>
    <row r="914" spans="1:72" x14ac:dyDescent="0.15">
      <c r="A914" t="s">
        <v>72</v>
      </c>
      <c r="B914" t="s">
        <v>17325</v>
      </c>
      <c r="C914" t="s">
        <v>74</v>
      </c>
      <c r="D914" t="s">
        <v>74</v>
      </c>
      <c r="E914" t="s">
        <v>74</v>
      </c>
      <c r="F914" t="s">
        <v>17326</v>
      </c>
      <c r="G914" t="s">
        <v>74</v>
      </c>
      <c r="H914" t="s">
        <v>17327</v>
      </c>
      <c r="I914" t="s">
        <v>17328</v>
      </c>
      <c r="J914" t="s">
        <v>6033</v>
      </c>
      <c r="K914" t="s">
        <v>74</v>
      </c>
      <c r="L914" t="s">
        <v>74</v>
      </c>
      <c r="M914" t="s">
        <v>78</v>
      </c>
      <c r="N914" t="s">
        <v>79</v>
      </c>
      <c r="O914" t="s">
        <v>74</v>
      </c>
      <c r="P914" t="s">
        <v>74</v>
      </c>
      <c r="Q914" t="s">
        <v>74</v>
      </c>
      <c r="R914" t="s">
        <v>74</v>
      </c>
      <c r="S914" t="s">
        <v>74</v>
      </c>
      <c r="T914" t="s">
        <v>74</v>
      </c>
      <c r="U914" t="s">
        <v>17329</v>
      </c>
      <c r="V914" t="s">
        <v>17330</v>
      </c>
      <c r="W914" t="s">
        <v>17331</v>
      </c>
      <c r="X914" t="s">
        <v>17332</v>
      </c>
      <c r="Y914" t="s">
        <v>17333</v>
      </c>
      <c r="Z914" t="s">
        <v>17334</v>
      </c>
      <c r="AA914" t="s">
        <v>17335</v>
      </c>
      <c r="AB914" t="s">
        <v>17336</v>
      </c>
      <c r="AC914" t="s">
        <v>17337</v>
      </c>
      <c r="AD914" t="s">
        <v>17338</v>
      </c>
      <c r="AE914" t="s">
        <v>17339</v>
      </c>
      <c r="AF914" t="s">
        <v>74</v>
      </c>
      <c r="AG914">
        <v>30</v>
      </c>
      <c r="AH914">
        <v>183</v>
      </c>
      <c r="AI914">
        <v>192</v>
      </c>
      <c r="AJ914">
        <v>0</v>
      </c>
      <c r="AK914">
        <v>112</v>
      </c>
      <c r="AL914" t="s">
        <v>1371</v>
      </c>
      <c r="AM914" t="s">
        <v>921</v>
      </c>
      <c r="AN914" t="s">
        <v>6039</v>
      </c>
      <c r="AO914" t="s">
        <v>6040</v>
      </c>
      <c r="AP914" t="s">
        <v>6041</v>
      </c>
      <c r="AQ914" t="s">
        <v>74</v>
      </c>
      <c r="AR914" t="s">
        <v>6042</v>
      </c>
      <c r="AS914" t="s">
        <v>6043</v>
      </c>
      <c r="AT914" t="s">
        <v>14663</v>
      </c>
      <c r="AU914">
        <v>2013</v>
      </c>
      <c r="AV914">
        <v>6</v>
      </c>
      <c r="AW914">
        <v>9</v>
      </c>
      <c r="AX914" t="s">
        <v>74</v>
      </c>
      <c r="AY914" t="s">
        <v>74</v>
      </c>
      <c r="AZ914" t="s">
        <v>74</v>
      </c>
      <c r="BA914" t="s">
        <v>74</v>
      </c>
      <c r="BB914">
        <v>765</v>
      </c>
      <c r="BC914">
        <v>769</v>
      </c>
      <c r="BD914" t="s">
        <v>74</v>
      </c>
      <c r="BE914" t="s">
        <v>17340</v>
      </c>
      <c r="BF914" t="str">
        <f>HYPERLINK("http://dx.doi.org/10.1038/NGEO1889","http://dx.doi.org/10.1038/NGEO1889")</f>
        <v>http://dx.doi.org/10.1038/NGEO1889</v>
      </c>
      <c r="BG914" t="s">
        <v>74</v>
      </c>
      <c r="BH914" t="s">
        <v>74</v>
      </c>
      <c r="BI914">
        <v>5</v>
      </c>
      <c r="BJ914" t="s">
        <v>337</v>
      </c>
      <c r="BK914" t="s">
        <v>99</v>
      </c>
      <c r="BL914" t="s">
        <v>338</v>
      </c>
      <c r="BM914" t="s">
        <v>17307</v>
      </c>
      <c r="BN914" t="s">
        <v>74</v>
      </c>
      <c r="BO914" t="s">
        <v>1145</v>
      </c>
      <c r="BP914" t="s">
        <v>74</v>
      </c>
      <c r="BQ914" t="s">
        <v>74</v>
      </c>
      <c r="BR914" t="s">
        <v>103</v>
      </c>
      <c r="BS914" t="s">
        <v>17341</v>
      </c>
      <c r="BT914" t="str">
        <f>HYPERLINK("https%3A%2F%2Fwww.webofscience.com%2Fwos%2Fwoscc%2Ffull-record%2FWOS:000323717500021","View Full Record in Web of Science")</f>
        <v>View Full Record in Web of Science</v>
      </c>
    </row>
    <row r="915" spans="1:72" x14ac:dyDescent="0.15">
      <c r="A915" t="s">
        <v>72</v>
      </c>
      <c r="B915" t="s">
        <v>17342</v>
      </c>
      <c r="C915" t="s">
        <v>74</v>
      </c>
      <c r="D915" t="s">
        <v>74</v>
      </c>
      <c r="E915" t="s">
        <v>74</v>
      </c>
      <c r="F915" t="s">
        <v>17343</v>
      </c>
      <c r="G915" t="s">
        <v>74</v>
      </c>
      <c r="H915" t="s">
        <v>74</v>
      </c>
      <c r="I915" t="s">
        <v>17344</v>
      </c>
      <c r="J915" t="s">
        <v>17345</v>
      </c>
      <c r="K915" t="s">
        <v>74</v>
      </c>
      <c r="L915" t="s">
        <v>74</v>
      </c>
      <c r="M915" t="s">
        <v>78</v>
      </c>
      <c r="N915" t="s">
        <v>79</v>
      </c>
      <c r="O915" t="s">
        <v>74</v>
      </c>
      <c r="P915" t="s">
        <v>74</v>
      </c>
      <c r="Q915" t="s">
        <v>74</v>
      </c>
      <c r="R915" t="s">
        <v>74</v>
      </c>
      <c r="S915" t="s">
        <v>74</v>
      </c>
      <c r="T915" t="s">
        <v>17346</v>
      </c>
      <c r="U915" t="s">
        <v>17347</v>
      </c>
      <c r="V915" t="s">
        <v>17348</v>
      </c>
      <c r="W915" t="s">
        <v>17349</v>
      </c>
      <c r="X915" t="s">
        <v>17350</v>
      </c>
      <c r="Y915" t="s">
        <v>17351</v>
      </c>
      <c r="Z915" t="s">
        <v>4743</v>
      </c>
      <c r="AA915" t="s">
        <v>74</v>
      </c>
      <c r="AB915" t="s">
        <v>74</v>
      </c>
      <c r="AC915" t="s">
        <v>17352</v>
      </c>
      <c r="AD915" t="s">
        <v>17353</v>
      </c>
      <c r="AE915" t="s">
        <v>17354</v>
      </c>
      <c r="AF915" t="s">
        <v>74</v>
      </c>
      <c r="AG915">
        <v>46</v>
      </c>
      <c r="AH915">
        <v>6</v>
      </c>
      <c r="AI915">
        <v>7</v>
      </c>
      <c r="AJ915">
        <v>0</v>
      </c>
      <c r="AK915">
        <v>7</v>
      </c>
      <c r="AL915" t="s">
        <v>276</v>
      </c>
      <c r="AM915" t="s">
        <v>277</v>
      </c>
      <c r="AN915" t="s">
        <v>2752</v>
      </c>
      <c r="AO915" t="s">
        <v>17355</v>
      </c>
      <c r="AP915" t="s">
        <v>17356</v>
      </c>
      <c r="AQ915" t="s">
        <v>74</v>
      </c>
      <c r="AR915" t="s">
        <v>17357</v>
      </c>
      <c r="AS915" t="s">
        <v>17358</v>
      </c>
      <c r="AT915" t="s">
        <v>14858</v>
      </c>
      <c r="AU915">
        <v>2013</v>
      </c>
      <c r="AV915">
        <v>56</v>
      </c>
      <c r="AW915">
        <v>3</v>
      </c>
      <c r="AX915" t="s">
        <v>74</v>
      </c>
      <c r="AY915" t="s">
        <v>74</v>
      </c>
      <c r="AZ915" t="s">
        <v>74</v>
      </c>
      <c r="BA915" t="s">
        <v>74</v>
      </c>
      <c r="BB915">
        <v>171</v>
      </c>
      <c r="BC915">
        <v>185</v>
      </c>
      <c r="BD915" t="s">
        <v>74</v>
      </c>
      <c r="BE915" t="s">
        <v>17359</v>
      </c>
      <c r="BF915" t="str">
        <f>HYPERLINK("http://dx.doi.org/10.1080/00288306.2013.808235","http://dx.doi.org/10.1080/00288306.2013.808235")</f>
        <v>http://dx.doi.org/10.1080/00288306.2013.808235</v>
      </c>
      <c r="BG915" t="s">
        <v>74</v>
      </c>
      <c r="BH915" t="s">
        <v>74</v>
      </c>
      <c r="BI915">
        <v>15</v>
      </c>
      <c r="BJ915" t="s">
        <v>17360</v>
      </c>
      <c r="BK915" t="s">
        <v>99</v>
      </c>
      <c r="BL915" t="s">
        <v>338</v>
      </c>
      <c r="BM915" t="s">
        <v>17361</v>
      </c>
      <c r="BN915" t="s">
        <v>74</v>
      </c>
      <c r="BO915" t="s">
        <v>74</v>
      </c>
      <c r="BP915" t="s">
        <v>74</v>
      </c>
      <c r="BQ915" t="s">
        <v>74</v>
      </c>
      <c r="BR915" t="s">
        <v>103</v>
      </c>
      <c r="BS915" t="s">
        <v>17362</v>
      </c>
      <c r="BT915" t="str">
        <f>HYPERLINK("https%3A%2F%2Fwww.webofscience.com%2Fwos%2Fwoscc%2Ffull-record%2FWOS:000322809400005","View Full Record in Web of Science")</f>
        <v>View Full Record in Web of Science</v>
      </c>
    </row>
    <row r="916" spans="1:72" x14ac:dyDescent="0.15">
      <c r="A916" t="s">
        <v>72</v>
      </c>
      <c r="B916" t="s">
        <v>17363</v>
      </c>
      <c r="C916" t="s">
        <v>74</v>
      </c>
      <c r="D916" t="s">
        <v>74</v>
      </c>
      <c r="E916" t="s">
        <v>74</v>
      </c>
      <c r="F916" t="s">
        <v>17364</v>
      </c>
      <c r="G916" t="s">
        <v>74</v>
      </c>
      <c r="H916" t="s">
        <v>74</v>
      </c>
      <c r="I916" t="s">
        <v>17365</v>
      </c>
      <c r="J916" t="s">
        <v>6066</v>
      </c>
      <c r="K916" t="s">
        <v>74</v>
      </c>
      <c r="L916" t="s">
        <v>74</v>
      </c>
      <c r="M916" t="s">
        <v>78</v>
      </c>
      <c r="N916" t="s">
        <v>79</v>
      </c>
      <c r="O916" t="s">
        <v>74</v>
      </c>
      <c r="P916" t="s">
        <v>74</v>
      </c>
      <c r="Q916" t="s">
        <v>74</v>
      </c>
      <c r="R916" t="s">
        <v>74</v>
      </c>
      <c r="S916" t="s">
        <v>74</v>
      </c>
      <c r="T916" t="s">
        <v>17366</v>
      </c>
      <c r="U916" t="s">
        <v>17367</v>
      </c>
      <c r="V916" t="s">
        <v>17368</v>
      </c>
      <c r="W916" t="s">
        <v>17369</v>
      </c>
      <c r="X916" t="s">
        <v>17370</v>
      </c>
      <c r="Y916" t="s">
        <v>17371</v>
      </c>
      <c r="Z916" t="s">
        <v>17372</v>
      </c>
      <c r="AA916" t="s">
        <v>17373</v>
      </c>
      <c r="AB916" t="s">
        <v>17374</v>
      </c>
      <c r="AC916" t="s">
        <v>17375</v>
      </c>
      <c r="AD916" t="s">
        <v>17376</v>
      </c>
      <c r="AE916" t="s">
        <v>17377</v>
      </c>
      <c r="AF916" t="s">
        <v>74</v>
      </c>
      <c r="AG916">
        <v>46</v>
      </c>
      <c r="AH916">
        <v>56</v>
      </c>
      <c r="AI916">
        <v>56</v>
      </c>
      <c r="AJ916">
        <v>0</v>
      </c>
      <c r="AK916">
        <v>17</v>
      </c>
      <c r="AL916" t="s">
        <v>783</v>
      </c>
      <c r="AM916" t="s">
        <v>252</v>
      </c>
      <c r="AN916" t="s">
        <v>784</v>
      </c>
      <c r="AO916" t="s">
        <v>6078</v>
      </c>
      <c r="AP916" t="s">
        <v>6079</v>
      </c>
      <c r="AQ916" t="s">
        <v>74</v>
      </c>
      <c r="AR916" t="s">
        <v>6080</v>
      </c>
      <c r="AS916" t="s">
        <v>6081</v>
      </c>
      <c r="AT916" t="s">
        <v>14663</v>
      </c>
      <c r="AU916">
        <v>2013</v>
      </c>
      <c r="AV916">
        <v>69</v>
      </c>
      <c r="AW916" t="s">
        <v>74</v>
      </c>
      <c r="AX916" t="s">
        <v>74</v>
      </c>
      <c r="AY916" t="s">
        <v>74</v>
      </c>
      <c r="AZ916" t="s">
        <v>74</v>
      </c>
      <c r="BA916" t="s">
        <v>74</v>
      </c>
      <c r="BB916">
        <v>1</v>
      </c>
      <c r="BC916">
        <v>21</v>
      </c>
      <c r="BD916" t="s">
        <v>74</v>
      </c>
      <c r="BE916" t="s">
        <v>17378</v>
      </c>
      <c r="BF916" t="str">
        <f>HYPERLINK("http://dx.doi.org/10.1016/j.ocemod.2013.04.009","http://dx.doi.org/10.1016/j.ocemod.2013.04.009")</f>
        <v>http://dx.doi.org/10.1016/j.ocemod.2013.04.009</v>
      </c>
      <c r="BG916" t="s">
        <v>74</v>
      </c>
      <c r="BH916" t="s">
        <v>74</v>
      </c>
      <c r="BI916">
        <v>21</v>
      </c>
      <c r="BJ916" t="s">
        <v>2863</v>
      </c>
      <c r="BK916" t="s">
        <v>99</v>
      </c>
      <c r="BL916" t="s">
        <v>2863</v>
      </c>
      <c r="BM916" t="s">
        <v>17379</v>
      </c>
      <c r="BN916" t="s">
        <v>74</v>
      </c>
      <c r="BO916" t="s">
        <v>74</v>
      </c>
      <c r="BP916" t="s">
        <v>74</v>
      </c>
      <c r="BQ916" t="s">
        <v>74</v>
      </c>
      <c r="BR916" t="s">
        <v>103</v>
      </c>
      <c r="BS916" t="s">
        <v>17380</v>
      </c>
      <c r="BT916" t="str">
        <f>HYPERLINK("https%3A%2F%2Fwww.webofscience.com%2Fwos%2Fwoscc%2Ffull-record%2FWOS:000323558600001","View Full Record in Web of Science")</f>
        <v>View Full Record in Web of Science</v>
      </c>
    </row>
    <row r="917" spans="1:72" x14ac:dyDescent="0.15">
      <c r="A917" t="s">
        <v>72</v>
      </c>
      <c r="B917" t="s">
        <v>17381</v>
      </c>
      <c r="C917" t="s">
        <v>74</v>
      </c>
      <c r="D917" t="s">
        <v>74</v>
      </c>
      <c r="E917" t="s">
        <v>74</v>
      </c>
      <c r="F917" t="s">
        <v>17382</v>
      </c>
      <c r="G917" t="s">
        <v>74</v>
      </c>
      <c r="H917" t="s">
        <v>74</v>
      </c>
      <c r="I917" t="s">
        <v>17383</v>
      </c>
      <c r="J917" t="s">
        <v>4934</v>
      </c>
      <c r="K917" t="s">
        <v>74</v>
      </c>
      <c r="L917" t="s">
        <v>74</v>
      </c>
      <c r="M917" t="s">
        <v>78</v>
      </c>
      <c r="N917" t="s">
        <v>79</v>
      </c>
      <c r="O917" t="s">
        <v>74</v>
      </c>
      <c r="P917" t="s">
        <v>74</v>
      </c>
      <c r="Q917" t="s">
        <v>74</v>
      </c>
      <c r="R917" t="s">
        <v>74</v>
      </c>
      <c r="S917" t="s">
        <v>74</v>
      </c>
      <c r="T917" t="s">
        <v>74</v>
      </c>
      <c r="U917" t="s">
        <v>17384</v>
      </c>
      <c r="V917" t="s">
        <v>17385</v>
      </c>
      <c r="W917" t="s">
        <v>17386</v>
      </c>
      <c r="X917" t="s">
        <v>17387</v>
      </c>
      <c r="Y917" t="s">
        <v>17388</v>
      </c>
      <c r="Z917" t="s">
        <v>17389</v>
      </c>
      <c r="AA917" t="s">
        <v>17390</v>
      </c>
      <c r="AB917" t="s">
        <v>17391</v>
      </c>
      <c r="AC917" t="s">
        <v>17392</v>
      </c>
      <c r="AD917" t="s">
        <v>17393</v>
      </c>
      <c r="AE917" t="s">
        <v>17394</v>
      </c>
      <c r="AF917" t="s">
        <v>74</v>
      </c>
      <c r="AG917">
        <v>78</v>
      </c>
      <c r="AH917">
        <v>203</v>
      </c>
      <c r="AI917">
        <v>227</v>
      </c>
      <c r="AJ917">
        <v>1</v>
      </c>
      <c r="AK917">
        <v>157</v>
      </c>
      <c r="AL917" t="s">
        <v>4945</v>
      </c>
      <c r="AM917" t="s">
        <v>4946</v>
      </c>
      <c r="AN917" t="s">
        <v>4947</v>
      </c>
      <c r="AO917" t="s">
        <v>4948</v>
      </c>
      <c r="AP917" t="s">
        <v>74</v>
      </c>
      <c r="AQ917" t="s">
        <v>74</v>
      </c>
      <c r="AR917" t="s">
        <v>4934</v>
      </c>
      <c r="AS917" t="s">
        <v>1613</v>
      </c>
      <c r="AT917" t="s">
        <v>14663</v>
      </c>
      <c r="AU917">
        <v>2013</v>
      </c>
      <c r="AV917">
        <v>26</v>
      </c>
      <c r="AW917">
        <v>3</v>
      </c>
      <c r="AX917" t="s">
        <v>74</v>
      </c>
      <c r="AY917" t="s">
        <v>74</v>
      </c>
      <c r="AZ917" t="s">
        <v>283</v>
      </c>
      <c r="BA917" t="s">
        <v>74</v>
      </c>
      <c r="BB917">
        <v>190</v>
      </c>
      <c r="BC917">
        <v>203</v>
      </c>
      <c r="BD917" t="s">
        <v>74</v>
      </c>
      <c r="BE917" t="s">
        <v>17395</v>
      </c>
      <c r="BF917" t="str">
        <f>HYPERLINK("http://dx.doi.org/10.5670/oceanog.2013.62","http://dx.doi.org/10.5670/oceanog.2013.62")</f>
        <v>http://dx.doi.org/10.5670/oceanog.2013.62</v>
      </c>
      <c r="BG917" t="s">
        <v>74</v>
      </c>
      <c r="BH917" t="s">
        <v>74</v>
      </c>
      <c r="BI917">
        <v>14</v>
      </c>
      <c r="BJ917" t="s">
        <v>1613</v>
      </c>
      <c r="BK917" t="s">
        <v>99</v>
      </c>
      <c r="BL917" t="s">
        <v>1613</v>
      </c>
      <c r="BM917" t="s">
        <v>15967</v>
      </c>
      <c r="BN917" t="s">
        <v>74</v>
      </c>
      <c r="BO917" t="s">
        <v>365</v>
      </c>
      <c r="BP917" t="s">
        <v>74</v>
      </c>
      <c r="BQ917" t="s">
        <v>74</v>
      </c>
      <c r="BR917" t="s">
        <v>103</v>
      </c>
      <c r="BS917" t="s">
        <v>17396</v>
      </c>
      <c r="BT917" t="str">
        <f>HYPERLINK("https%3A%2F%2Fwww.webofscience.com%2Fwos%2Fwoscc%2Ffull-record%2FWOS:000323808600026","View Full Record in Web of Science")</f>
        <v>View Full Record in Web of Science</v>
      </c>
    </row>
    <row r="918" spans="1:72" x14ac:dyDescent="0.15">
      <c r="A918" t="s">
        <v>72</v>
      </c>
      <c r="B918" t="s">
        <v>17397</v>
      </c>
      <c r="C918" t="s">
        <v>74</v>
      </c>
      <c r="D918" t="s">
        <v>74</v>
      </c>
      <c r="E918" t="s">
        <v>74</v>
      </c>
      <c r="F918" t="s">
        <v>17398</v>
      </c>
      <c r="G918" t="s">
        <v>74</v>
      </c>
      <c r="H918" t="s">
        <v>74</v>
      </c>
      <c r="I918" t="s">
        <v>17399</v>
      </c>
      <c r="J918" t="s">
        <v>4934</v>
      </c>
      <c r="K918" t="s">
        <v>74</v>
      </c>
      <c r="L918" t="s">
        <v>74</v>
      </c>
      <c r="M918" t="s">
        <v>78</v>
      </c>
      <c r="N918" t="s">
        <v>79</v>
      </c>
      <c r="O918" t="s">
        <v>74</v>
      </c>
      <c r="P918" t="s">
        <v>74</v>
      </c>
      <c r="Q918" t="s">
        <v>74</v>
      </c>
      <c r="R918" t="s">
        <v>74</v>
      </c>
      <c r="S918" t="s">
        <v>74</v>
      </c>
      <c r="T918" t="s">
        <v>74</v>
      </c>
      <c r="U918" t="s">
        <v>17400</v>
      </c>
      <c r="V918" t="s">
        <v>74</v>
      </c>
      <c r="W918" t="s">
        <v>17401</v>
      </c>
      <c r="X918" t="s">
        <v>17402</v>
      </c>
      <c r="Y918" t="s">
        <v>17403</v>
      </c>
      <c r="Z918" t="s">
        <v>17404</v>
      </c>
      <c r="AA918" t="s">
        <v>17390</v>
      </c>
      <c r="AB918" t="s">
        <v>17405</v>
      </c>
      <c r="AC918" t="s">
        <v>17406</v>
      </c>
      <c r="AD918" t="s">
        <v>17407</v>
      </c>
      <c r="AE918" t="s">
        <v>17408</v>
      </c>
      <c r="AF918" t="s">
        <v>74</v>
      </c>
      <c r="AG918">
        <v>7</v>
      </c>
      <c r="AH918">
        <v>44</v>
      </c>
      <c r="AI918">
        <v>54</v>
      </c>
      <c r="AJ918">
        <v>2</v>
      </c>
      <c r="AK918">
        <v>28</v>
      </c>
      <c r="AL918" t="s">
        <v>4945</v>
      </c>
      <c r="AM918" t="s">
        <v>4946</v>
      </c>
      <c r="AN918" t="s">
        <v>4947</v>
      </c>
      <c r="AO918" t="s">
        <v>4948</v>
      </c>
      <c r="AP918" t="s">
        <v>74</v>
      </c>
      <c r="AQ918" t="s">
        <v>74</v>
      </c>
      <c r="AR918" t="s">
        <v>4934</v>
      </c>
      <c r="AS918" t="s">
        <v>1613</v>
      </c>
      <c r="AT918" t="s">
        <v>14663</v>
      </c>
      <c r="AU918">
        <v>2013</v>
      </c>
      <c r="AV918">
        <v>26</v>
      </c>
      <c r="AW918">
        <v>3</v>
      </c>
      <c r="AX918" t="s">
        <v>74</v>
      </c>
      <c r="AY918" t="s">
        <v>74</v>
      </c>
      <c r="AZ918" t="s">
        <v>283</v>
      </c>
      <c r="BA918" t="s">
        <v>74</v>
      </c>
      <c r="BB918">
        <v>204</v>
      </c>
      <c r="BC918">
        <v>206</v>
      </c>
      <c r="BD918" t="s">
        <v>74</v>
      </c>
      <c r="BE918" t="s">
        <v>17409</v>
      </c>
      <c r="BF918" t="str">
        <f>HYPERLINK("http://dx.doi.org/10.5670/oceanog.2013.63","http://dx.doi.org/10.5670/oceanog.2013.63")</f>
        <v>http://dx.doi.org/10.5670/oceanog.2013.63</v>
      </c>
      <c r="BG918" t="s">
        <v>74</v>
      </c>
      <c r="BH918" t="s">
        <v>74</v>
      </c>
      <c r="BI918">
        <v>3</v>
      </c>
      <c r="BJ918" t="s">
        <v>1613</v>
      </c>
      <c r="BK918" t="s">
        <v>99</v>
      </c>
      <c r="BL918" t="s">
        <v>1613</v>
      </c>
      <c r="BM918" t="s">
        <v>15967</v>
      </c>
      <c r="BN918" t="s">
        <v>74</v>
      </c>
      <c r="BO918" t="s">
        <v>17410</v>
      </c>
      <c r="BP918" t="s">
        <v>74</v>
      </c>
      <c r="BQ918" t="s">
        <v>74</v>
      </c>
      <c r="BR918" t="s">
        <v>103</v>
      </c>
      <c r="BS918" t="s">
        <v>17411</v>
      </c>
      <c r="BT918" t="str">
        <f>HYPERLINK("https%3A%2F%2Fwww.webofscience.com%2Fwos%2Fwoscc%2Ffull-record%2FWOS:000323808600027","View Full Record in Web of Science")</f>
        <v>View Full Record in Web of Science</v>
      </c>
    </row>
    <row r="919" spans="1:72" x14ac:dyDescent="0.15">
      <c r="A919" t="s">
        <v>72</v>
      </c>
      <c r="B919" t="s">
        <v>17412</v>
      </c>
      <c r="C919" t="s">
        <v>74</v>
      </c>
      <c r="D919" t="s">
        <v>74</v>
      </c>
      <c r="E919" t="s">
        <v>74</v>
      </c>
      <c r="F919" t="s">
        <v>17413</v>
      </c>
      <c r="G919" t="s">
        <v>74</v>
      </c>
      <c r="H919" t="s">
        <v>74</v>
      </c>
      <c r="I919" t="s">
        <v>17414</v>
      </c>
      <c r="J919" t="s">
        <v>4934</v>
      </c>
      <c r="K919" t="s">
        <v>74</v>
      </c>
      <c r="L919" t="s">
        <v>74</v>
      </c>
      <c r="M919" t="s">
        <v>78</v>
      </c>
      <c r="N919" t="s">
        <v>2830</v>
      </c>
      <c r="O919" t="s">
        <v>74</v>
      </c>
      <c r="P919" t="s">
        <v>74</v>
      </c>
      <c r="Q919" t="s">
        <v>74</v>
      </c>
      <c r="R919" t="s">
        <v>74</v>
      </c>
      <c r="S919" t="s">
        <v>74</v>
      </c>
      <c r="T919" t="s">
        <v>74</v>
      </c>
      <c r="U919" t="s">
        <v>17415</v>
      </c>
      <c r="V919" t="s">
        <v>74</v>
      </c>
      <c r="W919" t="s">
        <v>17416</v>
      </c>
      <c r="X919" t="s">
        <v>17417</v>
      </c>
      <c r="Y919" t="s">
        <v>17418</v>
      </c>
      <c r="Z919" t="s">
        <v>17419</v>
      </c>
      <c r="AA919" t="s">
        <v>17420</v>
      </c>
      <c r="AB919" t="s">
        <v>17421</v>
      </c>
      <c r="AC919" t="s">
        <v>17422</v>
      </c>
      <c r="AD919" t="s">
        <v>17423</v>
      </c>
      <c r="AE919" t="s">
        <v>74</v>
      </c>
      <c r="AF919" t="s">
        <v>74</v>
      </c>
      <c r="AG919">
        <v>11</v>
      </c>
      <c r="AH919">
        <v>31</v>
      </c>
      <c r="AI919">
        <v>35</v>
      </c>
      <c r="AJ919">
        <v>1</v>
      </c>
      <c r="AK919">
        <v>24</v>
      </c>
      <c r="AL919" t="s">
        <v>4945</v>
      </c>
      <c r="AM919" t="s">
        <v>4946</v>
      </c>
      <c r="AN919" t="s">
        <v>4947</v>
      </c>
      <c r="AO919" t="s">
        <v>4948</v>
      </c>
      <c r="AP919" t="s">
        <v>74</v>
      </c>
      <c r="AQ919" t="s">
        <v>74</v>
      </c>
      <c r="AR919" t="s">
        <v>4934</v>
      </c>
      <c r="AS919" t="s">
        <v>1613</v>
      </c>
      <c r="AT919" t="s">
        <v>14663</v>
      </c>
      <c r="AU919">
        <v>2013</v>
      </c>
      <c r="AV919">
        <v>26</v>
      </c>
      <c r="AW919">
        <v>3</v>
      </c>
      <c r="AX919" t="s">
        <v>74</v>
      </c>
      <c r="AY919" t="s">
        <v>74</v>
      </c>
      <c r="AZ919" t="s">
        <v>283</v>
      </c>
      <c r="BA919" t="s">
        <v>74</v>
      </c>
      <c r="BB919">
        <v>207</v>
      </c>
      <c r="BC919">
        <v>209</v>
      </c>
      <c r="BD919" t="s">
        <v>74</v>
      </c>
      <c r="BE919" t="s">
        <v>17424</v>
      </c>
      <c r="BF919" t="str">
        <f>HYPERLINK("http://dx.doi.org/10.5670/oceanog.2013.64","http://dx.doi.org/10.5670/oceanog.2013.64")</f>
        <v>http://dx.doi.org/10.5670/oceanog.2013.64</v>
      </c>
      <c r="BG919" t="s">
        <v>74</v>
      </c>
      <c r="BH919" t="s">
        <v>74</v>
      </c>
      <c r="BI919">
        <v>3</v>
      </c>
      <c r="BJ919" t="s">
        <v>1613</v>
      </c>
      <c r="BK919" t="s">
        <v>99</v>
      </c>
      <c r="BL919" t="s">
        <v>1613</v>
      </c>
      <c r="BM919" t="s">
        <v>15967</v>
      </c>
      <c r="BN919" t="s">
        <v>74</v>
      </c>
      <c r="BO919" t="s">
        <v>119</v>
      </c>
      <c r="BP919" t="s">
        <v>74</v>
      </c>
      <c r="BQ919" t="s">
        <v>74</v>
      </c>
      <c r="BR919" t="s">
        <v>103</v>
      </c>
      <c r="BS919" t="s">
        <v>17425</v>
      </c>
      <c r="BT919" t="str">
        <f>HYPERLINK("https%3A%2F%2Fwww.webofscience.com%2Fwos%2Fwoscc%2Ffull-record%2FWOS:000323808600028","View Full Record in Web of Science")</f>
        <v>View Full Record in Web of Science</v>
      </c>
    </row>
    <row r="920" spans="1:72" x14ac:dyDescent="0.15">
      <c r="A920" t="s">
        <v>72</v>
      </c>
      <c r="B920" t="s">
        <v>17426</v>
      </c>
      <c r="C920" t="s">
        <v>74</v>
      </c>
      <c r="D920" t="s">
        <v>74</v>
      </c>
      <c r="E920" t="s">
        <v>74</v>
      </c>
      <c r="F920" t="s">
        <v>17427</v>
      </c>
      <c r="G920" t="s">
        <v>74</v>
      </c>
      <c r="H920" t="s">
        <v>74</v>
      </c>
      <c r="I920" t="s">
        <v>17428</v>
      </c>
      <c r="J920" t="s">
        <v>17429</v>
      </c>
      <c r="K920" t="s">
        <v>74</v>
      </c>
      <c r="L920" t="s">
        <v>74</v>
      </c>
      <c r="M920" t="s">
        <v>78</v>
      </c>
      <c r="N920" t="s">
        <v>79</v>
      </c>
      <c r="O920" t="s">
        <v>74</v>
      </c>
      <c r="P920" t="s">
        <v>74</v>
      </c>
      <c r="Q920" t="s">
        <v>74</v>
      </c>
      <c r="R920" t="s">
        <v>74</v>
      </c>
      <c r="S920" t="s">
        <v>74</v>
      </c>
      <c r="T920" t="s">
        <v>17430</v>
      </c>
      <c r="U920" t="s">
        <v>17431</v>
      </c>
      <c r="V920" t="s">
        <v>17432</v>
      </c>
      <c r="W920" t="s">
        <v>17433</v>
      </c>
      <c r="X920" t="s">
        <v>3249</v>
      </c>
      <c r="Y920" t="s">
        <v>3250</v>
      </c>
      <c r="Z920" t="s">
        <v>13427</v>
      </c>
      <c r="AA920" t="s">
        <v>3252</v>
      </c>
      <c r="AB920" t="s">
        <v>3253</v>
      </c>
      <c r="AC920" t="s">
        <v>13428</v>
      </c>
      <c r="AD920" t="s">
        <v>13429</v>
      </c>
      <c r="AE920" t="s">
        <v>17434</v>
      </c>
      <c r="AF920" t="s">
        <v>74</v>
      </c>
      <c r="AG920">
        <v>63</v>
      </c>
      <c r="AH920">
        <v>6</v>
      </c>
      <c r="AI920">
        <v>6</v>
      </c>
      <c r="AJ920">
        <v>0</v>
      </c>
      <c r="AK920">
        <v>24</v>
      </c>
      <c r="AL920" t="s">
        <v>410</v>
      </c>
      <c r="AM920" t="s">
        <v>411</v>
      </c>
      <c r="AN920" t="s">
        <v>412</v>
      </c>
      <c r="AO920" t="s">
        <v>17435</v>
      </c>
      <c r="AP920" t="s">
        <v>17436</v>
      </c>
      <c r="AQ920" t="s">
        <v>74</v>
      </c>
      <c r="AR920" t="s">
        <v>17437</v>
      </c>
      <c r="AS920" t="s">
        <v>17438</v>
      </c>
      <c r="AT920" t="s">
        <v>14663</v>
      </c>
      <c r="AU920">
        <v>2013</v>
      </c>
      <c r="AV920">
        <v>38</v>
      </c>
      <c r="AW920">
        <v>3</v>
      </c>
      <c r="AX920" t="s">
        <v>74</v>
      </c>
      <c r="AY920" t="s">
        <v>74</v>
      </c>
      <c r="AZ920" t="s">
        <v>74</v>
      </c>
      <c r="BA920" t="s">
        <v>74</v>
      </c>
      <c r="BB920">
        <v>202</v>
      </c>
      <c r="BC920">
        <v>210</v>
      </c>
      <c r="BD920" t="s">
        <v>74</v>
      </c>
      <c r="BE920" t="s">
        <v>17439</v>
      </c>
      <c r="BF920" t="str">
        <f>HYPERLINK("http://dx.doi.org/10.1111/phen.12011","http://dx.doi.org/10.1111/phen.12011")</f>
        <v>http://dx.doi.org/10.1111/phen.12011</v>
      </c>
      <c r="BG920" t="s">
        <v>74</v>
      </c>
      <c r="BH920" t="s">
        <v>74</v>
      </c>
      <c r="BI920">
        <v>9</v>
      </c>
      <c r="BJ920" t="s">
        <v>14665</v>
      </c>
      <c r="BK920" t="s">
        <v>99</v>
      </c>
      <c r="BL920" t="s">
        <v>14665</v>
      </c>
      <c r="BM920" t="s">
        <v>17440</v>
      </c>
      <c r="BN920" t="s">
        <v>74</v>
      </c>
      <c r="BO920" t="s">
        <v>74</v>
      </c>
      <c r="BP920" t="s">
        <v>74</v>
      </c>
      <c r="BQ920" t="s">
        <v>74</v>
      </c>
      <c r="BR920" t="s">
        <v>103</v>
      </c>
      <c r="BS920" t="s">
        <v>17441</v>
      </c>
      <c r="BT920" t="str">
        <f>HYPERLINK("https%3A%2F%2Fwww.webofscience.com%2Fwos%2Fwoscc%2Ffull-record%2FWOS:000322743600003","View Full Record in Web of Science")</f>
        <v>View Full Record in Web of Science</v>
      </c>
    </row>
    <row r="921" spans="1:72" x14ac:dyDescent="0.15">
      <c r="A921" t="s">
        <v>72</v>
      </c>
      <c r="B921" t="s">
        <v>17442</v>
      </c>
      <c r="C921" t="s">
        <v>74</v>
      </c>
      <c r="D921" t="s">
        <v>74</v>
      </c>
      <c r="E921" t="s">
        <v>74</v>
      </c>
      <c r="F921" t="s">
        <v>17443</v>
      </c>
      <c r="G921" t="s">
        <v>74</v>
      </c>
      <c r="H921" t="s">
        <v>74</v>
      </c>
      <c r="I921" t="s">
        <v>17444</v>
      </c>
      <c r="J921" t="s">
        <v>3167</v>
      </c>
      <c r="K921" t="s">
        <v>74</v>
      </c>
      <c r="L921" t="s">
        <v>74</v>
      </c>
      <c r="M921" t="s">
        <v>78</v>
      </c>
      <c r="N921" t="s">
        <v>79</v>
      </c>
      <c r="O921" t="s">
        <v>74</v>
      </c>
      <c r="P921" t="s">
        <v>74</v>
      </c>
      <c r="Q921" t="s">
        <v>74</v>
      </c>
      <c r="R921" t="s">
        <v>74</v>
      </c>
      <c r="S921" t="s">
        <v>74</v>
      </c>
      <c r="T921" t="s">
        <v>17445</v>
      </c>
      <c r="U921" t="s">
        <v>17446</v>
      </c>
      <c r="V921" t="s">
        <v>17447</v>
      </c>
      <c r="W921" t="s">
        <v>17448</v>
      </c>
      <c r="X921" t="s">
        <v>17449</v>
      </c>
      <c r="Y921" t="s">
        <v>17450</v>
      </c>
      <c r="Z921" t="s">
        <v>17451</v>
      </c>
      <c r="AA921" t="s">
        <v>17452</v>
      </c>
      <c r="AB921" t="s">
        <v>17453</v>
      </c>
      <c r="AC921" t="s">
        <v>17454</v>
      </c>
      <c r="AD921" t="s">
        <v>17455</v>
      </c>
      <c r="AE921" t="s">
        <v>17456</v>
      </c>
      <c r="AF921" t="s">
        <v>74</v>
      </c>
      <c r="AG921">
        <v>58</v>
      </c>
      <c r="AH921">
        <v>13</v>
      </c>
      <c r="AI921">
        <v>13</v>
      </c>
      <c r="AJ921">
        <v>0</v>
      </c>
      <c r="AK921">
        <v>30</v>
      </c>
      <c r="AL921" t="s">
        <v>1067</v>
      </c>
      <c r="AM921" t="s">
        <v>921</v>
      </c>
      <c r="AN921" t="s">
        <v>2493</v>
      </c>
      <c r="AO921" t="s">
        <v>3178</v>
      </c>
      <c r="AP921" t="s">
        <v>3179</v>
      </c>
      <c r="AQ921" t="s">
        <v>74</v>
      </c>
      <c r="AR921" t="s">
        <v>3180</v>
      </c>
      <c r="AS921" t="s">
        <v>3181</v>
      </c>
      <c r="AT921" t="s">
        <v>14663</v>
      </c>
      <c r="AU921">
        <v>2013</v>
      </c>
      <c r="AV921">
        <v>36</v>
      </c>
      <c r="AW921">
        <v>9</v>
      </c>
      <c r="AX921" t="s">
        <v>74</v>
      </c>
      <c r="AY921" t="s">
        <v>74</v>
      </c>
      <c r="AZ921" t="s">
        <v>74</v>
      </c>
      <c r="BA921" t="s">
        <v>74</v>
      </c>
      <c r="BB921">
        <v>1269</v>
      </c>
      <c r="BC921">
        <v>1280</v>
      </c>
      <c r="BD921" t="s">
        <v>74</v>
      </c>
      <c r="BE921" t="s">
        <v>17457</v>
      </c>
      <c r="BF921" t="str">
        <f>HYPERLINK("http://dx.doi.org/10.1007/s00300-013-1346-0","http://dx.doi.org/10.1007/s00300-013-1346-0")</f>
        <v>http://dx.doi.org/10.1007/s00300-013-1346-0</v>
      </c>
      <c r="BG921" t="s">
        <v>74</v>
      </c>
      <c r="BH921" t="s">
        <v>74</v>
      </c>
      <c r="BI921">
        <v>12</v>
      </c>
      <c r="BJ921" t="s">
        <v>3183</v>
      </c>
      <c r="BK921" t="s">
        <v>99</v>
      </c>
      <c r="BL921" t="s">
        <v>1050</v>
      </c>
      <c r="BM921" t="s">
        <v>15984</v>
      </c>
      <c r="BN921" t="s">
        <v>74</v>
      </c>
      <c r="BO921" t="s">
        <v>74</v>
      </c>
      <c r="BP921" t="s">
        <v>74</v>
      </c>
      <c r="BQ921" t="s">
        <v>74</v>
      </c>
      <c r="BR921" t="s">
        <v>103</v>
      </c>
      <c r="BS921" t="s">
        <v>17458</v>
      </c>
      <c r="BT921" t="str">
        <f>HYPERLINK("https%3A%2F%2Fwww.webofscience.com%2Fwos%2Fwoscc%2Ffull-record%2FWOS:000322879600004","View Full Record in Web of Science")</f>
        <v>View Full Record in Web of Science</v>
      </c>
    </row>
    <row r="922" spans="1:72" x14ac:dyDescent="0.15">
      <c r="A922" t="s">
        <v>72</v>
      </c>
      <c r="B922" t="s">
        <v>17459</v>
      </c>
      <c r="C922" t="s">
        <v>74</v>
      </c>
      <c r="D922" t="s">
        <v>74</v>
      </c>
      <c r="E922" t="s">
        <v>74</v>
      </c>
      <c r="F922" t="s">
        <v>17460</v>
      </c>
      <c r="G922" t="s">
        <v>74</v>
      </c>
      <c r="H922" t="s">
        <v>74</v>
      </c>
      <c r="I922" t="s">
        <v>17461</v>
      </c>
      <c r="J922" t="s">
        <v>13854</v>
      </c>
      <c r="K922" t="s">
        <v>74</v>
      </c>
      <c r="L922" t="s">
        <v>74</v>
      </c>
      <c r="M922" t="s">
        <v>78</v>
      </c>
      <c r="N922" t="s">
        <v>2830</v>
      </c>
      <c r="O922" t="s">
        <v>74</v>
      </c>
      <c r="P922" t="s">
        <v>74</v>
      </c>
      <c r="Q922" t="s">
        <v>74</v>
      </c>
      <c r="R922" t="s">
        <v>74</v>
      </c>
      <c r="S922" t="s">
        <v>74</v>
      </c>
      <c r="T922" t="s">
        <v>17462</v>
      </c>
      <c r="U922" t="s">
        <v>17463</v>
      </c>
      <c r="V922" t="s">
        <v>17464</v>
      </c>
      <c r="W922" t="s">
        <v>17465</v>
      </c>
      <c r="X922" t="s">
        <v>17466</v>
      </c>
      <c r="Y922" t="s">
        <v>17467</v>
      </c>
      <c r="Z922" t="s">
        <v>17468</v>
      </c>
      <c r="AA922" t="s">
        <v>17469</v>
      </c>
      <c r="AB922" t="s">
        <v>17470</v>
      </c>
      <c r="AC922" t="s">
        <v>17471</v>
      </c>
      <c r="AD922" t="s">
        <v>10098</v>
      </c>
      <c r="AE922" t="s">
        <v>74</v>
      </c>
      <c r="AF922" t="s">
        <v>74</v>
      </c>
      <c r="AG922">
        <v>49</v>
      </c>
      <c r="AH922">
        <v>23</v>
      </c>
      <c r="AI922">
        <v>23</v>
      </c>
      <c r="AJ922">
        <v>1</v>
      </c>
      <c r="AK922">
        <v>13</v>
      </c>
      <c r="AL922" t="s">
        <v>304</v>
      </c>
      <c r="AM922" t="s">
        <v>305</v>
      </c>
      <c r="AN922" t="s">
        <v>306</v>
      </c>
      <c r="AO922" t="s">
        <v>13867</v>
      </c>
      <c r="AP922" t="s">
        <v>13868</v>
      </c>
      <c r="AQ922" t="s">
        <v>74</v>
      </c>
      <c r="AR922" t="s">
        <v>13869</v>
      </c>
      <c r="AS922" t="s">
        <v>13870</v>
      </c>
      <c r="AT922" t="s">
        <v>14663</v>
      </c>
      <c r="AU922">
        <v>2013</v>
      </c>
      <c r="AV922">
        <v>234</v>
      </c>
      <c r="AW922" t="s">
        <v>74</v>
      </c>
      <c r="AX922" t="s">
        <v>74</v>
      </c>
      <c r="AY922" t="s">
        <v>74</v>
      </c>
      <c r="AZ922" t="s">
        <v>283</v>
      </c>
      <c r="BA922" t="s">
        <v>74</v>
      </c>
      <c r="BB922">
        <v>1</v>
      </c>
      <c r="BC922">
        <v>7</v>
      </c>
      <c r="BD922" t="s">
        <v>74</v>
      </c>
      <c r="BE922" t="s">
        <v>17472</v>
      </c>
      <c r="BF922" t="str">
        <f>HYPERLINK("http://dx.doi.org/10.1016/j.precamres.2013.06.010","http://dx.doi.org/10.1016/j.precamres.2013.06.010")</f>
        <v>http://dx.doi.org/10.1016/j.precamres.2013.06.010</v>
      </c>
      <c r="BG922" t="s">
        <v>74</v>
      </c>
      <c r="BH922" t="s">
        <v>74</v>
      </c>
      <c r="BI922">
        <v>7</v>
      </c>
      <c r="BJ922" t="s">
        <v>337</v>
      </c>
      <c r="BK922" t="s">
        <v>99</v>
      </c>
      <c r="BL922" t="s">
        <v>338</v>
      </c>
      <c r="BM922" t="s">
        <v>15439</v>
      </c>
      <c r="BN922" t="s">
        <v>74</v>
      </c>
      <c r="BO922" t="s">
        <v>74</v>
      </c>
      <c r="BP922" t="s">
        <v>74</v>
      </c>
      <c r="BQ922" t="s">
        <v>74</v>
      </c>
      <c r="BR922" t="s">
        <v>103</v>
      </c>
      <c r="BS922" t="s">
        <v>17473</v>
      </c>
      <c r="BT922" t="str">
        <f>HYPERLINK("https%3A%2F%2Fwww.webofscience.com%2Fwos%2Fwoscc%2Ffull-record%2FWOS:000324665500001","View Full Record in Web of Science")</f>
        <v>View Full Record in Web of Science</v>
      </c>
    </row>
    <row r="923" spans="1:72" x14ac:dyDescent="0.15">
      <c r="A923" t="s">
        <v>72</v>
      </c>
      <c r="B923" t="s">
        <v>17474</v>
      </c>
      <c r="C923" t="s">
        <v>74</v>
      </c>
      <c r="D923" t="s">
        <v>74</v>
      </c>
      <c r="E923" t="s">
        <v>74</v>
      </c>
      <c r="F923" t="s">
        <v>17475</v>
      </c>
      <c r="G923" t="s">
        <v>74</v>
      </c>
      <c r="H923" t="s">
        <v>74</v>
      </c>
      <c r="I923" t="s">
        <v>17476</v>
      </c>
      <c r="J923" t="s">
        <v>13854</v>
      </c>
      <c r="K923" t="s">
        <v>74</v>
      </c>
      <c r="L923" t="s">
        <v>74</v>
      </c>
      <c r="M923" t="s">
        <v>78</v>
      </c>
      <c r="N923" t="s">
        <v>79</v>
      </c>
      <c r="O923" t="s">
        <v>74</v>
      </c>
      <c r="P923" t="s">
        <v>74</v>
      </c>
      <c r="Q923" t="s">
        <v>74</v>
      </c>
      <c r="R923" t="s">
        <v>74</v>
      </c>
      <c r="S923" t="s">
        <v>74</v>
      </c>
      <c r="T923" t="s">
        <v>17477</v>
      </c>
      <c r="U923" t="s">
        <v>17478</v>
      </c>
      <c r="V923" t="s">
        <v>17479</v>
      </c>
      <c r="W923" t="s">
        <v>17480</v>
      </c>
      <c r="X923" t="s">
        <v>17481</v>
      </c>
      <c r="Y923" t="s">
        <v>17482</v>
      </c>
      <c r="Z923" t="s">
        <v>17483</v>
      </c>
      <c r="AA923" t="s">
        <v>17484</v>
      </c>
      <c r="AB923" t="s">
        <v>17485</v>
      </c>
      <c r="AC923" t="s">
        <v>17486</v>
      </c>
      <c r="AD923" t="s">
        <v>15503</v>
      </c>
      <c r="AE923" t="s">
        <v>17487</v>
      </c>
      <c r="AF923" t="s">
        <v>74</v>
      </c>
      <c r="AG923">
        <v>59</v>
      </c>
      <c r="AH923">
        <v>61</v>
      </c>
      <c r="AI923">
        <v>62</v>
      </c>
      <c r="AJ923">
        <v>0</v>
      </c>
      <c r="AK923">
        <v>17</v>
      </c>
      <c r="AL923" t="s">
        <v>304</v>
      </c>
      <c r="AM923" t="s">
        <v>305</v>
      </c>
      <c r="AN923" t="s">
        <v>306</v>
      </c>
      <c r="AO923" t="s">
        <v>13867</v>
      </c>
      <c r="AP923" t="s">
        <v>13868</v>
      </c>
      <c r="AQ923" t="s">
        <v>74</v>
      </c>
      <c r="AR923" t="s">
        <v>13869</v>
      </c>
      <c r="AS923" t="s">
        <v>13870</v>
      </c>
      <c r="AT923" t="s">
        <v>14663</v>
      </c>
      <c r="AU923">
        <v>2013</v>
      </c>
      <c r="AV923">
        <v>234</v>
      </c>
      <c r="AW923" t="s">
        <v>74</v>
      </c>
      <c r="AX923" t="s">
        <v>74</v>
      </c>
      <c r="AY923" t="s">
        <v>74</v>
      </c>
      <c r="AZ923" t="s">
        <v>283</v>
      </c>
      <c r="BA923" t="s">
        <v>74</v>
      </c>
      <c r="BB923">
        <v>8</v>
      </c>
      <c r="BC923">
        <v>29</v>
      </c>
      <c r="BD923" t="s">
        <v>74</v>
      </c>
      <c r="BE923" t="s">
        <v>17488</v>
      </c>
      <c r="BF923" t="str">
        <f>HYPERLINK("http://dx.doi.org/10.1016/j.precamres.2013.05.017","http://dx.doi.org/10.1016/j.precamres.2013.05.017")</f>
        <v>http://dx.doi.org/10.1016/j.precamres.2013.05.017</v>
      </c>
      <c r="BG923" t="s">
        <v>74</v>
      </c>
      <c r="BH923" t="s">
        <v>74</v>
      </c>
      <c r="BI923">
        <v>22</v>
      </c>
      <c r="BJ923" t="s">
        <v>337</v>
      </c>
      <c r="BK923" t="s">
        <v>99</v>
      </c>
      <c r="BL923" t="s">
        <v>338</v>
      </c>
      <c r="BM923" t="s">
        <v>15439</v>
      </c>
      <c r="BN923" t="s">
        <v>74</v>
      </c>
      <c r="BO923" t="s">
        <v>74</v>
      </c>
      <c r="BP923" t="s">
        <v>74</v>
      </c>
      <c r="BQ923" t="s">
        <v>74</v>
      </c>
      <c r="BR923" t="s">
        <v>103</v>
      </c>
      <c r="BS923" t="s">
        <v>17489</v>
      </c>
      <c r="BT923" t="str">
        <f>HYPERLINK("https%3A%2F%2Fwww.webofscience.com%2Fwos%2Fwoscc%2Ffull-record%2FWOS:000324665500002","View Full Record in Web of Science")</f>
        <v>View Full Record in Web of Science</v>
      </c>
    </row>
    <row r="924" spans="1:72" x14ac:dyDescent="0.15">
      <c r="A924" t="s">
        <v>72</v>
      </c>
      <c r="B924" t="s">
        <v>17490</v>
      </c>
      <c r="C924" t="s">
        <v>74</v>
      </c>
      <c r="D924" t="s">
        <v>74</v>
      </c>
      <c r="E924" t="s">
        <v>74</v>
      </c>
      <c r="F924" t="s">
        <v>17491</v>
      </c>
      <c r="G924" t="s">
        <v>74</v>
      </c>
      <c r="H924" t="s">
        <v>74</v>
      </c>
      <c r="I924" t="s">
        <v>17492</v>
      </c>
      <c r="J924" t="s">
        <v>13854</v>
      </c>
      <c r="K924" t="s">
        <v>74</v>
      </c>
      <c r="L924" t="s">
        <v>74</v>
      </c>
      <c r="M924" t="s">
        <v>78</v>
      </c>
      <c r="N924" t="s">
        <v>79</v>
      </c>
      <c r="O924" t="s">
        <v>74</v>
      </c>
      <c r="P924" t="s">
        <v>74</v>
      </c>
      <c r="Q924" t="s">
        <v>74</v>
      </c>
      <c r="R924" t="s">
        <v>74</v>
      </c>
      <c r="S924" t="s">
        <v>74</v>
      </c>
      <c r="T924" t="s">
        <v>17493</v>
      </c>
      <c r="U924" t="s">
        <v>17494</v>
      </c>
      <c r="V924" t="s">
        <v>17495</v>
      </c>
      <c r="W924" t="s">
        <v>17496</v>
      </c>
      <c r="X924" t="s">
        <v>17497</v>
      </c>
      <c r="Y924" t="s">
        <v>17498</v>
      </c>
      <c r="Z924" t="s">
        <v>17468</v>
      </c>
      <c r="AA924" t="s">
        <v>15533</v>
      </c>
      <c r="AB924" t="s">
        <v>17499</v>
      </c>
      <c r="AC924" t="s">
        <v>17500</v>
      </c>
      <c r="AD924" t="s">
        <v>15503</v>
      </c>
      <c r="AE924" t="s">
        <v>17501</v>
      </c>
      <c r="AF924" t="s">
        <v>74</v>
      </c>
      <c r="AG924">
        <v>62</v>
      </c>
      <c r="AH924">
        <v>28</v>
      </c>
      <c r="AI924">
        <v>28</v>
      </c>
      <c r="AJ924">
        <v>0</v>
      </c>
      <c r="AK924">
        <v>8</v>
      </c>
      <c r="AL924" t="s">
        <v>304</v>
      </c>
      <c r="AM924" t="s">
        <v>305</v>
      </c>
      <c r="AN924" t="s">
        <v>306</v>
      </c>
      <c r="AO924" t="s">
        <v>13867</v>
      </c>
      <c r="AP924" t="s">
        <v>13868</v>
      </c>
      <c r="AQ924" t="s">
        <v>74</v>
      </c>
      <c r="AR924" t="s">
        <v>13869</v>
      </c>
      <c r="AS924" t="s">
        <v>13870</v>
      </c>
      <c r="AT924" t="s">
        <v>14663</v>
      </c>
      <c r="AU924">
        <v>2013</v>
      </c>
      <c r="AV924">
        <v>234</v>
      </c>
      <c r="AW924" t="s">
        <v>74</v>
      </c>
      <c r="AX924" t="s">
        <v>74</v>
      </c>
      <c r="AY924" t="s">
        <v>74</v>
      </c>
      <c r="AZ924" t="s">
        <v>283</v>
      </c>
      <c r="BA924" t="s">
        <v>74</v>
      </c>
      <c r="BB924">
        <v>257</v>
      </c>
      <c r="BC924">
        <v>278</v>
      </c>
      <c r="BD924" t="s">
        <v>74</v>
      </c>
      <c r="BE924" t="s">
        <v>17502</v>
      </c>
      <c r="BF924" t="str">
        <f>HYPERLINK("http://dx.doi.org/10.1016/j.precamres.2012.10.016","http://dx.doi.org/10.1016/j.precamres.2012.10.016")</f>
        <v>http://dx.doi.org/10.1016/j.precamres.2012.10.016</v>
      </c>
      <c r="BG924" t="s">
        <v>74</v>
      </c>
      <c r="BH924" t="s">
        <v>74</v>
      </c>
      <c r="BI924">
        <v>22</v>
      </c>
      <c r="BJ924" t="s">
        <v>337</v>
      </c>
      <c r="BK924" t="s">
        <v>99</v>
      </c>
      <c r="BL924" t="s">
        <v>338</v>
      </c>
      <c r="BM924" t="s">
        <v>15439</v>
      </c>
      <c r="BN924" t="s">
        <v>74</v>
      </c>
      <c r="BO924" t="s">
        <v>74</v>
      </c>
      <c r="BP924" t="s">
        <v>74</v>
      </c>
      <c r="BQ924" t="s">
        <v>74</v>
      </c>
      <c r="BR924" t="s">
        <v>103</v>
      </c>
      <c r="BS924" t="s">
        <v>17503</v>
      </c>
      <c r="BT924" t="str">
        <f>HYPERLINK("https%3A%2F%2Fwww.webofscience.com%2Fwos%2Fwoscc%2Ffull-record%2FWOS:000324665500013","View Full Record in Web of Science")</f>
        <v>View Full Record in Web of Science</v>
      </c>
    </row>
    <row r="925" spans="1:72" x14ac:dyDescent="0.15">
      <c r="A925" t="s">
        <v>72</v>
      </c>
      <c r="B925" t="s">
        <v>17504</v>
      </c>
      <c r="C925" t="s">
        <v>74</v>
      </c>
      <c r="D925" t="s">
        <v>74</v>
      </c>
      <c r="E925" t="s">
        <v>74</v>
      </c>
      <c r="F925" t="s">
        <v>17505</v>
      </c>
      <c r="G925" t="s">
        <v>74</v>
      </c>
      <c r="H925" t="s">
        <v>74</v>
      </c>
      <c r="I925" t="s">
        <v>17506</v>
      </c>
      <c r="J925" t="s">
        <v>3339</v>
      </c>
      <c r="K925" t="s">
        <v>74</v>
      </c>
      <c r="L925" t="s">
        <v>74</v>
      </c>
      <c r="M925" t="s">
        <v>78</v>
      </c>
      <c r="N925" t="s">
        <v>213</v>
      </c>
      <c r="O925" t="s">
        <v>74</v>
      </c>
      <c r="P925" t="s">
        <v>74</v>
      </c>
      <c r="Q925" t="s">
        <v>74</v>
      </c>
      <c r="R925" t="s">
        <v>74</v>
      </c>
      <c r="S925" t="s">
        <v>74</v>
      </c>
      <c r="T925" t="s">
        <v>74</v>
      </c>
      <c r="U925" t="s">
        <v>17507</v>
      </c>
      <c r="V925" t="s">
        <v>17508</v>
      </c>
      <c r="W925" t="s">
        <v>17509</v>
      </c>
      <c r="X925" t="s">
        <v>17510</v>
      </c>
      <c r="Y925" t="s">
        <v>17511</v>
      </c>
      <c r="Z925" t="s">
        <v>17512</v>
      </c>
      <c r="AA925" t="s">
        <v>74</v>
      </c>
      <c r="AB925" t="s">
        <v>74</v>
      </c>
      <c r="AC925" t="s">
        <v>17513</v>
      </c>
      <c r="AD925" t="s">
        <v>17513</v>
      </c>
      <c r="AE925" t="s">
        <v>17514</v>
      </c>
      <c r="AF925" t="s">
        <v>74</v>
      </c>
      <c r="AG925">
        <v>64</v>
      </c>
      <c r="AH925">
        <v>21</v>
      </c>
      <c r="AI925">
        <v>23</v>
      </c>
      <c r="AJ925">
        <v>0</v>
      </c>
      <c r="AK925">
        <v>73</v>
      </c>
      <c r="AL925" t="s">
        <v>872</v>
      </c>
      <c r="AM925" t="s">
        <v>252</v>
      </c>
      <c r="AN925" t="s">
        <v>873</v>
      </c>
      <c r="AO925" t="s">
        <v>3351</v>
      </c>
      <c r="AP925" t="s">
        <v>74</v>
      </c>
      <c r="AQ925" t="s">
        <v>74</v>
      </c>
      <c r="AR925" t="s">
        <v>3352</v>
      </c>
      <c r="AS925" t="s">
        <v>3353</v>
      </c>
      <c r="AT925" t="s">
        <v>14663</v>
      </c>
      <c r="AU925">
        <v>2013</v>
      </c>
      <c r="AV925">
        <v>116</v>
      </c>
      <c r="AW925" t="s">
        <v>74</v>
      </c>
      <c r="AX925" t="s">
        <v>74</v>
      </c>
      <c r="AY925" t="s">
        <v>74</v>
      </c>
      <c r="AZ925" t="s">
        <v>74</v>
      </c>
      <c r="BA925" t="s">
        <v>74</v>
      </c>
      <c r="BB925">
        <v>31</v>
      </c>
      <c r="BC925">
        <v>48</v>
      </c>
      <c r="BD925" t="s">
        <v>74</v>
      </c>
      <c r="BE925" t="s">
        <v>17515</v>
      </c>
      <c r="BF925" t="str">
        <f>HYPERLINK("http://dx.doi.org/10.1016/j.pocean.2013.05.030","http://dx.doi.org/10.1016/j.pocean.2013.05.030")</f>
        <v>http://dx.doi.org/10.1016/j.pocean.2013.05.030</v>
      </c>
      <c r="BG925" t="s">
        <v>74</v>
      </c>
      <c r="BH925" t="s">
        <v>74</v>
      </c>
      <c r="BI925">
        <v>18</v>
      </c>
      <c r="BJ925" t="s">
        <v>1613</v>
      </c>
      <c r="BK925" t="s">
        <v>99</v>
      </c>
      <c r="BL925" t="s">
        <v>1613</v>
      </c>
      <c r="BM925" t="s">
        <v>17516</v>
      </c>
      <c r="BN925" t="s">
        <v>74</v>
      </c>
      <c r="BO925" t="s">
        <v>74</v>
      </c>
      <c r="BP925" t="s">
        <v>74</v>
      </c>
      <c r="BQ925" t="s">
        <v>74</v>
      </c>
      <c r="BR925" t="s">
        <v>103</v>
      </c>
      <c r="BS925" t="s">
        <v>17517</v>
      </c>
      <c r="BT925" t="str">
        <f>HYPERLINK("https%3A%2F%2Fwww.webofscience.com%2Fwos%2Fwoscc%2Ffull-record%2FWOS:000324455600003","View Full Record in Web of Science")</f>
        <v>View Full Record in Web of Science</v>
      </c>
    </row>
    <row r="926" spans="1:72" x14ac:dyDescent="0.15">
      <c r="A926" t="s">
        <v>72</v>
      </c>
      <c r="B926" t="s">
        <v>17518</v>
      </c>
      <c r="C926" t="s">
        <v>74</v>
      </c>
      <c r="D926" t="s">
        <v>74</v>
      </c>
      <c r="E926" t="s">
        <v>74</v>
      </c>
      <c r="F926" t="s">
        <v>17519</v>
      </c>
      <c r="G926" t="s">
        <v>74</v>
      </c>
      <c r="H926" t="s">
        <v>74</v>
      </c>
      <c r="I926" t="s">
        <v>17520</v>
      </c>
      <c r="J926" t="s">
        <v>3339</v>
      </c>
      <c r="K926" t="s">
        <v>74</v>
      </c>
      <c r="L926" t="s">
        <v>74</v>
      </c>
      <c r="M926" t="s">
        <v>78</v>
      </c>
      <c r="N926" t="s">
        <v>213</v>
      </c>
      <c r="O926" t="s">
        <v>74</v>
      </c>
      <c r="P926" t="s">
        <v>74</v>
      </c>
      <c r="Q926" t="s">
        <v>74</v>
      </c>
      <c r="R926" t="s">
        <v>74</v>
      </c>
      <c r="S926" t="s">
        <v>74</v>
      </c>
      <c r="T926" t="s">
        <v>74</v>
      </c>
      <c r="U926" t="s">
        <v>17521</v>
      </c>
      <c r="V926" t="s">
        <v>17522</v>
      </c>
      <c r="W926" t="s">
        <v>17523</v>
      </c>
      <c r="X926" t="s">
        <v>17524</v>
      </c>
      <c r="Y926" t="s">
        <v>17525</v>
      </c>
      <c r="Z926" t="s">
        <v>17526</v>
      </c>
      <c r="AA926" t="s">
        <v>7379</v>
      </c>
      <c r="AB926" t="s">
        <v>17527</v>
      </c>
      <c r="AC926" t="s">
        <v>17528</v>
      </c>
      <c r="AD926" t="s">
        <v>17529</v>
      </c>
      <c r="AE926" t="s">
        <v>17530</v>
      </c>
      <c r="AF926" t="s">
        <v>74</v>
      </c>
      <c r="AG926">
        <v>52</v>
      </c>
      <c r="AH926">
        <v>19</v>
      </c>
      <c r="AI926">
        <v>21</v>
      </c>
      <c r="AJ926">
        <v>2</v>
      </c>
      <c r="AK926">
        <v>96</v>
      </c>
      <c r="AL926" t="s">
        <v>872</v>
      </c>
      <c r="AM926" t="s">
        <v>252</v>
      </c>
      <c r="AN926" t="s">
        <v>873</v>
      </c>
      <c r="AO926" t="s">
        <v>3351</v>
      </c>
      <c r="AP926" t="s">
        <v>74</v>
      </c>
      <c r="AQ926" t="s">
        <v>74</v>
      </c>
      <c r="AR926" t="s">
        <v>3352</v>
      </c>
      <c r="AS926" t="s">
        <v>3353</v>
      </c>
      <c r="AT926" t="s">
        <v>14663</v>
      </c>
      <c r="AU926">
        <v>2013</v>
      </c>
      <c r="AV926">
        <v>116</v>
      </c>
      <c r="AW926" t="s">
        <v>74</v>
      </c>
      <c r="AX926" t="s">
        <v>74</v>
      </c>
      <c r="AY926" t="s">
        <v>74</v>
      </c>
      <c r="AZ926" t="s">
        <v>74</v>
      </c>
      <c r="BA926" t="s">
        <v>74</v>
      </c>
      <c r="BB926">
        <v>207</v>
      </c>
      <c r="BC926">
        <v>219</v>
      </c>
      <c r="BD926" t="s">
        <v>74</v>
      </c>
      <c r="BE926" t="s">
        <v>17531</v>
      </c>
      <c r="BF926" t="str">
        <f>HYPERLINK("http://dx.doi.org/10.1016/j.pocean.2013.07.009","http://dx.doi.org/10.1016/j.pocean.2013.07.009")</f>
        <v>http://dx.doi.org/10.1016/j.pocean.2013.07.009</v>
      </c>
      <c r="BG926" t="s">
        <v>74</v>
      </c>
      <c r="BH926" t="s">
        <v>74</v>
      </c>
      <c r="BI926">
        <v>13</v>
      </c>
      <c r="BJ926" t="s">
        <v>1613</v>
      </c>
      <c r="BK926" t="s">
        <v>99</v>
      </c>
      <c r="BL926" t="s">
        <v>1613</v>
      </c>
      <c r="BM926" t="s">
        <v>17516</v>
      </c>
      <c r="BN926" t="s">
        <v>74</v>
      </c>
      <c r="BO926" t="s">
        <v>1145</v>
      </c>
      <c r="BP926" t="s">
        <v>74</v>
      </c>
      <c r="BQ926" t="s">
        <v>74</v>
      </c>
      <c r="BR926" t="s">
        <v>103</v>
      </c>
      <c r="BS926" t="s">
        <v>17532</v>
      </c>
      <c r="BT926" t="str">
        <f>HYPERLINK("https%3A%2F%2Fwww.webofscience.com%2Fwos%2Fwoscc%2Ffull-record%2FWOS:000324455600014","View Full Record in Web of Science")</f>
        <v>View Full Record in Web of Science</v>
      </c>
    </row>
    <row r="927" spans="1:72" x14ac:dyDescent="0.15">
      <c r="A927" t="s">
        <v>72</v>
      </c>
      <c r="B927" t="s">
        <v>17533</v>
      </c>
      <c r="C927" t="s">
        <v>74</v>
      </c>
      <c r="D927" t="s">
        <v>74</v>
      </c>
      <c r="E927" t="s">
        <v>74</v>
      </c>
      <c r="F927" t="s">
        <v>17534</v>
      </c>
      <c r="G927" t="s">
        <v>74</v>
      </c>
      <c r="H927" t="s">
        <v>74</v>
      </c>
      <c r="I927" t="s">
        <v>17535</v>
      </c>
      <c r="J927" t="s">
        <v>17536</v>
      </c>
      <c r="K927" t="s">
        <v>74</v>
      </c>
      <c r="L927" t="s">
        <v>74</v>
      </c>
      <c r="M927" t="s">
        <v>78</v>
      </c>
      <c r="N927" t="s">
        <v>213</v>
      </c>
      <c r="O927" t="s">
        <v>74</v>
      </c>
      <c r="P927" t="s">
        <v>74</v>
      </c>
      <c r="Q927" t="s">
        <v>74</v>
      </c>
      <c r="R927" t="s">
        <v>74</v>
      </c>
      <c r="S927" t="s">
        <v>74</v>
      </c>
      <c r="T927" t="s">
        <v>17537</v>
      </c>
      <c r="U927" t="s">
        <v>17538</v>
      </c>
      <c r="V927" t="s">
        <v>17539</v>
      </c>
      <c r="W927" t="s">
        <v>17540</v>
      </c>
      <c r="X927" t="s">
        <v>17541</v>
      </c>
      <c r="Y927" t="s">
        <v>17542</v>
      </c>
      <c r="Z927" t="s">
        <v>17543</v>
      </c>
      <c r="AA927" t="s">
        <v>17544</v>
      </c>
      <c r="AB927" t="s">
        <v>17545</v>
      </c>
      <c r="AC927" t="s">
        <v>17546</v>
      </c>
      <c r="AD927" t="s">
        <v>17547</v>
      </c>
      <c r="AE927" t="s">
        <v>17548</v>
      </c>
      <c r="AF927" t="s">
        <v>74</v>
      </c>
      <c r="AG927">
        <v>195</v>
      </c>
      <c r="AH927">
        <v>322</v>
      </c>
      <c r="AI927">
        <v>358</v>
      </c>
      <c r="AJ927">
        <v>59</v>
      </c>
      <c r="AK927">
        <v>1013</v>
      </c>
      <c r="AL927" t="s">
        <v>1606</v>
      </c>
      <c r="AM927" t="s">
        <v>808</v>
      </c>
      <c r="AN927" t="s">
        <v>1607</v>
      </c>
      <c r="AO927" t="s">
        <v>17549</v>
      </c>
      <c r="AP927" t="s">
        <v>17550</v>
      </c>
      <c r="AQ927" t="s">
        <v>74</v>
      </c>
      <c r="AR927" t="s">
        <v>17551</v>
      </c>
      <c r="AS927" t="s">
        <v>17552</v>
      </c>
      <c r="AT927" t="s">
        <v>14663</v>
      </c>
      <c r="AU927">
        <v>2013</v>
      </c>
      <c r="AV927">
        <v>51</v>
      </c>
      <c r="AW927">
        <v>3</v>
      </c>
      <c r="AX927" t="s">
        <v>74</v>
      </c>
      <c r="AY927" t="s">
        <v>74</v>
      </c>
      <c r="AZ927" t="s">
        <v>74</v>
      </c>
      <c r="BA927" t="s">
        <v>74</v>
      </c>
      <c r="BB927">
        <v>450</v>
      </c>
      <c r="BC927">
        <v>483</v>
      </c>
      <c r="BD927" t="s">
        <v>74</v>
      </c>
      <c r="BE927" t="s">
        <v>17553</v>
      </c>
      <c r="BF927" t="str">
        <f>HYPERLINK("http://dx.doi.org/10.1002/rog.20022","http://dx.doi.org/10.1002/rog.20022")</f>
        <v>http://dx.doi.org/10.1002/rog.20022</v>
      </c>
      <c r="BG927" t="s">
        <v>74</v>
      </c>
      <c r="BH927" t="s">
        <v>74</v>
      </c>
      <c r="BI927">
        <v>34</v>
      </c>
      <c r="BJ927" t="s">
        <v>313</v>
      </c>
      <c r="BK927" t="s">
        <v>99</v>
      </c>
      <c r="BL927" t="s">
        <v>313</v>
      </c>
      <c r="BM927" t="s">
        <v>17554</v>
      </c>
      <c r="BN927" t="s">
        <v>74</v>
      </c>
      <c r="BO927" t="s">
        <v>4801</v>
      </c>
      <c r="BP927" t="s">
        <v>120</v>
      </c>
      <c r="BQ927" t="s">
        <v>121</v>
      </c>
      <c r="BR927" t="s">
        <v>103</v>
      </c>
      <c r="BS927" t="s">
        <v>17555</v>
      </c>
      <c r="BT927" t="str">
        <f>HYPERLINK("https%3A%2F%2Fwww.webofscience.com%2Fwos%2Fwoscc%2Ffull-record%2FWOS:000325496200003","View Full Record in Web of Science")</f>
        <v>View Full Record in Web of Science</v>
      </c>
    </row>
    <row r="928" spans="1:72" x14ac:dyDescent="0.15">
      <c r="A928" t="s">
        <v>72</v>
      </c>
      <c r="B928" t="s">
        <v>17556</v>
      </c>
      <c r="C928" t="s">
        <v>74</v>
      </c>
      <c r="D928" t="s">
        <v>74</v>
      </c>
      <c r="E928" t="s">
        <v>74</v>
      </c>
      <c r="F928" t="s">
        <v>17557</v>
      </c>
      <c r="G928" t="s">
        <v>74</v>
      </c>
      <c r="H928" t="s">
        <v>74</v>
      </c>
      <c r="I928" t="s">
        <v>17558</v>
      </c>
      <c r="J928" t="s">
        <v>17559</v>
      </c>
      <c r="K928" t="s">
        <v>74</v>
      </c>
      <c r="L928" t="s">
        <v>74</v>
      </c>
      <c r="M928" t="s">
        <v>2701</v>
      </c>
      <c r="N928" t="s">
        <v>79</v>
      </c>
      <c r="O928" t="s">
        <v>74</v>
      </c>
      <c r="P928" t="s">
        <v>74</v>
      </c>
      <c r="Q928" t="s">
        <v>74</v>
      </c>
      <c r="R928" t="s">
        <v>74</v>
      </c>
      <c r="S928" t="s">
        <v>74</v>
      </c>
      <c r="T928" t="s">
        <v>17560</v>
      </c>
      <c r="U928" t="s">
        <v>17561</v>
      </c>
      <c r="V928" t="s">
        <v>17562</v>
      </c>
      <c r="W928" t="s">
        <v>17563</v>
      </c>
      <c r="X928" t="s">
        <v>17564</v>
      </c>
      <c r="Y928" t="s">
        <v>17565</v>
      </c>
      <c r="Z928" t="s">
        <v>17566</v>
      </c>
      <c r="AA928" t="s">
        <v>17567</v>
      </c>
      <c r="AB928" t="s">
        <v>74</v>
      </c>
      <c r="AC928" t="s">
        <v>74</v>
      </c>
      <c r="AD928" t="s">
        <v>74</v>
      </c>
      <c r="AE928" t="s">
        <v>74</v>
      </c>
      <c r="AF928" t="s">
        <v>74</v>
      </c>
      <c r="AG928">
        <v>140</v>
      </c>
      <c r="AH928">
        <v>9</v>
      </c>
      <c r="AI928">
        <v>9</v>
      </c>
      <c r="AJ928">
        <v>0</v>
      </c>
      <c r="AK928">
        <v>31</v>
      </c>
      <c r="AL928" t="s">
        <v>17568</v>
      </c>
      <c r="AM928" t="s">
        <v>17569</v>
      </c>
      <c r="AN928" t="s">
        <v>17570</v>
      </c>
      <c r="AO928" t="s">
        <v>17571</v>
      </c>
      <c r="AP928" t="s">
        <v>17572</v>
      </c>
      <c r="AQ928" t="s">
        <v>74</v>
      </c>
      <c r="AR928" t="s">
        <v>17573</v>
      </c>
      <c r="AS928" t="s">
        <v>17574</v>
      </c>
      <c r="AT928" t="s">
        <v>14769</v>
      </c>
      <c r="AU928">
        <v>2013</v>
      </c>
      <c r="AV928">
        <v>16</v>
      </c>
      <c r="AW928">
        <v>3</v>
      </c>
      <c r="AX928" t="s">
        <v>74</v>
      </c>
      <c r="AY928" t="s">
        <v>74</v>
      </c>
      <c r="AZ928" t="s">
        <v>74</v>
      </c>
      <c r="BA928" t="s">
        <v>74</v>
      </c>
      <c r="BB928">
        <v>441</v>
      </c>
      <c r="BC928">
        <v>464</v>
      </c>
      <c r="BD928" t="s">
        <v>74</v>
      </c>
      <c r="BE928" t="s">
        <v>17575</v>
      </c>
      <c r="BF928" t="str">
        <f>HYPERLINK("http://dx.doi.org/10.4072/rbp.2013.3.06","http://dx.doi.org/10.4072/rbp.2013.3.06")</f>
        <v>http://dx.doi.org/10.4072/rbp.2013.3.06</v>
      </c>
      <c r="BG928" t="s">
        <v>74</v>
      </c>
      <c r="BH928" t="s">
        <v>74</v>
      </c>
      <c r="BI928">
        <v>24</v>
      </c>
      <c r="BJ928" t="s">
        <v>2061</v>
      </c>
      <c r="BK928" t="s">
        <v>99</v>
      </c>
      <c r="BL928" t="s">
        <v>2061</v>
      </c>
      <c r="BM928" t="s">
        <v>17576</v>
      </c>
      <c r="BN928" t="s">
        <v>74</v>
      </c>
      <c r="BO928" t="s">
        <v>475</v>
      </c>
      <c r="BP928" t="s">
        <v>74</v>
      </c>
      <c r="BQ928" t="s">
        <v>74</v>
      </c>
      <c r="BR928" t="s">
        <v>103</v>
      </c>
      <c r="BS928" t="s">
        <v>17577</v>
      </c>
      <c r="BT928" t="str">
        <f>HYPERLINK("https%3A%2F%2Fwww.webofscience.com%2Fwos%2Fwoscc%2Ffull-record%2FWOS:000332266300006","View Full Record in Web of Science")</f>
        <v>View Full Record in Web of Science</v>
      </c>
    </row>
    <row r="929" spans="1:72" x14ac:dyDescent="0.15">
      <c r="A929" t="s">
        <v>72</v>
      </c>
      <c r="B929" t="s">
        <v>17578</v>
      </c>
      <c r="C929" t="s">
        <v>74</v>
      </c>
      <c r="D929" t="s">
        <v>74</v>
      </c>
      <c r="E929" t="s">
        <v>74</v>
      </c>
      <c r="F929" t="s">
        <v>17579</v>
      </c>
      <c r="G929" t="s">
        <v>74</v>
      </c>
      <c r="H929" t="s">
        <v>74</v>
      </c>
      <c r="I929" t="s">
        <v>17580</v>
      </c>
      <c r="J929" t="s">
        <v>17581</v>
      </c>
      <c r="K929" t="s">
        <v>74</v>
      </c>
      <c r="L929" t="s">
        <v>74</v>
      </c>
      <c r="M929" t="s">
        <v>78</v>
      </c>
      <c r="N929" t="s">
        <v>79</v>
      </c>
      <c r="O929" t="s">
        <v>74</v>
      </c>
      <c r="P929" t="s">
        <v>74</v>
      </c>
      <c r="Q929" t="s">
        <v>74</v>
      </c>
      <c r="R929" t="s">
        <v>74</v>
      </c>
      <c r="S929" t="s">
        <v>74</v>
      </c>
      <c r="T929" t="s">
        <v>17582</v>
      </c>
      <c r="U929" t="s">
        <v>17583</v>
      </c>
      <c r="V929" t="s">
        <v>17584</v>
      </c>
      <c r="W929" t="s">
        <v>17585</v>
      </c>
      <c r="X929" t="s">
        <v>17586</v>
      </c>
      <c r="Y929" t="s">
        <v>17587</v>
      </c>
      <c r="Z929" t="s">
        <v>17588</v>
      </c>
      <c r="AA929" t="s">
        <v>17589</v>
      </c>
      <c r="AB929" t="s">
        <v>17590</v>
      </c>
      <c r="AC929" t="s">
        <v>17591</v>
      </c>
      <c r="AD929" t="s">
        <v>17592</v>
      </c>
      <c r="AE929" t="s">
        <v>17593</v>
      </c>
      <c r="AF929" t="s">
        <v>74</v>
      </c>
      <c r="AG929">
        <v>62</v>
      </c>
      <c r="AH929">
        <v>8</v>
      </c>
      <c r="AI929">
        <v>10</v>
      </c>
      <c r="AJ929">
        <v>0</v>
      </c>
      <c r="AK929">
        <v>29</v>
      </c>
      <c r="AL929" t="s">
        <v>17594</v>
      </c>
      <c r="AM929" t="s">
        <v>17595</v>
      </c>
      <c r="AN929" t="s">
        <v>17596</v>
      </c>
      <c r="AO929" t="s">
        <v>17597</v>
      </c>
      <c r="AP929" t="s">
        <v>17598</v>
      </c>
      <c r="AQ929" t="s">
        <v>74</v>
      </c>
      <c r="AR929" t="s">
        <v>17599</v>
      </c>
      <c r="AS929" t="s">
        <v>17600</v>
      </c>
      <c r="AT929" t="s">
        <v>14663</v>
      </c>
      <c r="AU929">
        <v>2013</v>
      </c>
      <c r="AV929">
        <v>77</v>
      </c>
      <c r="AW929">
        <v>3</v>
      </c>
      <c r="AX929" t="s">
        <v>74</v>
      </c>
      <c r="AY929" t="s">
        <v>74</v>
      </c>
      <c r="AZ929" t="s">
        <v>74</v>
      </c>
      <c r="BA929" t="s">
        <v>74</v>
      </c>
      <c r="BB929">
        <v>397</v>
      </c>
      <c r="BC929">
        <v>407</v>
      </c>
      <c r="BD929" t="s">
        <v>74</v>
      </c>
      <c r="BE929" t="s">
        <v>17601</v>
      </c>
      <c r="BF929" t="str">
        <f>HYPERLINK("http://dx.doi.org/10.3989/scimar.03835.30A","http://dx.doi.org/10.3989/scimar.03835.30A")</f>
        <v>http://dx.doi.org/10.3989/scimar.03835.30A</v>
      </c>
      <c r="BG929" t="s">
        <v>74</v>
      </c>
      <c r="BH929" t="s">
        <v>74</v>
      </c>
      <c r="BI929">
        <v>11</v>
      </c>
      <c r="BJ929" t="s">
        <v>285</v>
      </c>
      <c r="BK929" t="s">
        <v>99</v>
      </c>
      <c r="BL929" t="s">
        <v>285</v>
      </c>
      <c r="BM929" t="s">
        <v>17602</v>
      </c>
      <c r="BN929" t="s">
        <v>74</v>
      </c>
      <c r="BO929" t="s">
        <v>119</v>
      </c>
      <c r="BP929" t="s">
        <v>74</v>
      </c>
      <c r="BQ929" t="s">
        <v>74</v>
      </c>
      <c r="BR929" t="s">
        <v>103</v>
      </c>
      <c r="BS929" t="s">
        <v>17603</v>
      </c>
      <c r="BT929" t="str">
        <f>HYPERLINK("https%3A%2F%2Fwww.webofscience.com%2Fwos%2Fwoscc%2Ffull-record%2FWOS:000324806900002","View Full Record in Web of Science")</f>
        <v>View Full Record in Web of Science</v>
      </c>
    </row>
    <row r="930" spans="1:72" x14ac:dyDescent="0.15">
      <c r="A930" t="s">
        <v>72</v>
      </c>
      <c r="B930" t="s">
        <v>17604</v>
      </c>
      <c r="C930" t="s">
        <v>74</v>
      </c>
      <c r="D930" t="s">
        <v>74</v>
      </c>
      <c r="E930" t="s">
        <v>74</v>
      </c>
      <c r="F930" t="s">
        <v>17605</v>
      </c>
      <c r="G930" t="s">
        <v>74</v>
      </c>
      <c r="H930" t="s">
        <v>74</v>
      </c>
      <c r="I930" t="s">
        <v>17606</v>
      </c>
      <c r="J930" t="s">
        <v>17607</v>
      </c>
      <c r="K930" t="s">
        <v>74</v>
      </c>
      <c r="L930" t="s">
        <v>74</v>
      </c>
      <c r="M930" t="s">
        <v>78</v>
      </c>
      <c r="N930" t="s">
        <v>79</v>
      </c>
      <c r="O930" t="s">
        <v>74</v>
      </c>
      <c r="P930" t="s">
        <v>74</v>
      </c>
      <c r="Q930" t="s">
        <v>74</v>
      </c>
      <c r="R930" t="s">
        <v>74</v>
      </c>
      <c r="S930" t="s">
        <v>74</v>
      </c>
      <c r="T930" t="s">
        <v>74</v>
      </c>
      <c r="U930" t="s">
        <v>17608</v>
      </c>
      <c r="V930" t="s">
        <v>17609</v>
      </c>
      <c r="W930" t="s">
        <v>17610</v>
      </c>
      <c r="X930" t="s">
        <v>17611</v>
      </c>
      <c r="Y930" t="s">
        <v>17612</v>
      </c>
      <c r="Z930" t="s">
        <v>17613</v>
      </c>
      <c r="AA930" t="s">
        <v>17614</v>
      </c>
      <c r="AB930" t="s">
        <v>17615</v>
      </c>
      <c r="AC930" t="s">
        <v>17616</v>
      </c>
      <c r="AD930" t="s">
        <v>17616</v>
      </c>
      <c r="AE930" t="s">
        <v>17617</v>
      </c>
      <c r="AF930" t="s">
        <v>74</v>
      </c>
      <c r="AG930">
        <v>37</v>
      </c>
      <c r="AH930">
        <v>20</v>
      </c>
      <c r="AI930">
        <v>20</v>
      </c>
      <c r="AJ930">
        <v>0</v>
      </c>
      <c r="AK930">
        <v>37</v>
      </c>
      <c r="AL930" t="s">
        <v>17618</v>
      </c>
      <c r="AM930" t="s">
        <v>17619</v>
      </c>
      <c r="AN930" t="s">
        <v>17620</v>
      </c>
      <c r="AO930" t="s">
        <v>17621</v>
      </c>
      <c r="AP930" t="s">
        <v>74</v>
      </c>
      <c r="AQ930" t="s">
        <v>74</v>
      </c>
      <c r="AR930" t="s">
        <v>17622</v>
      </c>
      <c r="AS930" t="s">
        <v>17623</v>
      </c>
      <c r="AT930" t="s">
        <v>14745</v>
      </c>
      <c r="AU930">
        <v>2013</v>
      </c>
      <c r="AV930">
        <v>77</v>
      </c>
      <c r="AW930">
        <v>5</v>
      </c>
      <c r="AX930" t="s">
        <v>74</v>
      </c>
      <c r="AY930" t="s">
        <v>74</v>
      </c>
      <c r="AZ930" t="s">
        <v>74</v>
      </c>
      <c r="BA930" t="s">
        <v>74</v>
      </c>
      <c r="BB930">
        <v>1842</v>
      </c>
      <c r="BC930">
        <v>1851</v>
      </c>
      <c r="BD930" t="s">
        <v>74</v>
      </c>
      <c r="BE930" t="s">
        <v>17624</v>
      </c>
      <c r="BF930" t="str">
        <f>HYPERLINK("http://dx.doi.org/10.2136/sssaj2012.0135","http://dx.doi.org/10.2136/sssaj2012.0135")</f>
        <v>http://dx.doi.org/10.2136/sssaj2012.0135</v>
      </c>
      <c r="BG930" t="s">
        <v>74</v>
      </c>
      <c r="BH930" t="s">
        <v>74</v>
      </c>
      <c r="BI930">
        <v>10</v>
      </c>
      <c r="BJ930" t="s">
        <v>3675</v>
      </c>
      <c r="BK930" t="s">
        <v>99</v>
      </c>
      <c r="BL930" t="s">
        <v>3676</v>
      </c>
      <c r="BM930" t="s">
        <v>17625</v>
      </c>
      <c r="BN930" t="s">
        <v>74</v>
      </c>
      <c r="BO930" t="s">
        <v>74</v>
      </c>
      <c r="BP930" t="s">
        <v>74</v>
      </c>
      <c r="BQ930" t="s">
        <v>74</v>
      </c>
      <c r="BR930" t="s">
        <v>103</v>
      </c>
      <c r="BS930" t="s">
        <v>17626</v>
      </c>
      <c r="BT930" t="str">
        <f>HYPERLINK("https%3A%2F%2Fwww.webofscience.com%2Fwos%2Fwoscc%2Ffull-record%2FWOS:000324626600037","View Full Record in Web of Science")</f>
        <v>View Full Record in Web of Science</v>
      </c>
    </row>
    <row r="931" spans="1:72" x14ac:dyDescent="0.15">
      <c r="A931" t="s">
        <v>72</v>
      </c>
      <c r="B931" t="s">
        <v>17627</v>
      </c>
      <c r="C931" t="s">
        <v>74</v>
      </c>
      <c r="D931" t="s">
        <v>74</v>
      </c>
      <c r="E931" t="s">
        <v>74</v>
      </c>
      <c r="F931" t="s">
        <v>17628</v>
      </c>
      <c r="G931" t="s">
        <v>74</v>
      </c>
      <c r="H931" t="s">
        <v>74</v>
      </c>
      <c r="I931" t="s">
        <v>17629</v>
      </c>
      <c r="J931" t="s">
        <v>17630</v>
      </c>
      <c r="K931" t="s">
        <v>74</v>
      </c>
      <c r="L931" t="s">
        <v>74</v>
      </c>
      <c r="M931" t="s">
        <v>78</v>
      </c>
      <c r="N931" t="s">
        <v>79</v>
      </c>
      <c r="O931" t="s">
        <v>74</v>
      </c>
      <c r="P931" t="s">
        <v>74</v>
      </c>
      <c r="Q931" t="s">
        <v>74</v>
      </c>
      <c r="R931" t="s">
        <v>74</v>
      </c>
      <c r="S931" t="s">
        <v>74</v>
      </c>
      <c r="T931" t="s">
        <v>17631</v>
      </c>
      <c r="U931" t="s">
        <v>17632</v>
      </c>
      <c r="V931" t="s">
        <v>17633</v>
      </c>
      <c r="W931" t="s">
        <v>17634</v>
      </c>
      <c r="X931" t="s">
        <v>17635</v>
      </c>
      <c r="Y931" t="s">
        <v>17636</v>
      </c>
      <c r="Z931" t="s">
        <v>17637</v>
      </c>
      <c r="AA931" t="s">
        <v>17638</v>
      </c>
      <c r="AB931" t="s">
        <v>17639</v>
      </c>
      <c r="AC931" t="s">
        <v>17640</v>
      </c>
      <c r="AD931" t="s">
        <v>17641</v>
      </c>
      <c r="AE931" t="s">
        <v>17642</v>
      </c>
      <c r="AF931" t="s">
        <v>74</v>
      </c>
      <c r="AG931">
        <v>99</v>
      </c>
      <c r="AH931">
        <v>28</v>
      </c>
      <c r="AI931">
        <v>28</v>
      </c>
      <c r="AJ931">
        <v>0</v>
      </c>
      <c r="AK931">
        <v>43</v>
      </c>
      <c r="AL931" t="s">
        <v>4723</v>
      </c>
      <c r="AM931" t="s">
        <v>921</v>
      </c>
      <c r="AN931" t="s">
        <v>7655</v>
      </c>
      <c r="AO931" t="s">
        <v>17643</v>
      </c>
      <c r="AP931" t="s">
        <v>17644</v>
      </c>
      <c r="AQ931" t="s">
        <v>74</v>
      </c>
      <c r="AR931" t="s">
        <v>17645</v>
      </c>
      <c r="AS931" t="s">
        <v>17646</v>
      </c>
      <c r="AT931" t="s">
        <v>14663</v>
      </c>
      <c r="AU931">
        <v>2013</v>
      </c>
      <c r="AV931">
        <v>166</v>
      </c>
      <c r="AW931">
        <v>1</v>
      </c>
      <c r="AX931" t="s">
        <v>74</v>
      </c>
      <c r="AY931" t="s">
        <v>74</v>
      </c>
      <c r="AZ931" t="s">
        <v>74</v>
      </c>
      <c r="BA931" t="s">
        <v>74</v>
      </c>
      <c r="BB931">
        <v>191</v>
      </c>
      <c r="BC931">
        <v>198</v>
      </c>
      <c r="BD931" t="s">
        <v>74</v>
      </c>
      <c r="BE931" t="s">
        <v>17647</v>
      </c>
      <c r="BF931" t="str">
        <f>HYPERLINK("http://dx.doi.org/10.1016/j.cbpa.2013.06.003","http://dx.doi.org/10.1016/j.cbpa.2013.06.003")</f>
        <v>http://dx.doi.org/10.1016/j.cbpa.2013.06.003</v>
      </c>
      <c r="BG931" t="s">
        <v>74</v>
      </c>
      <c r="BH931" t="s">
        <v>74</v>
      </c>
      <c r="BI931">
        <v>8</v>
      </c>
      <c r="BJ931" t="s">
        <v>17648</v>
      </c>
      <c r="BK931" t="s">
        <v>99</v>
      </c>
      <c r="BL931" t="s">
        <v>17648</v>
      </c>
      <c r="BM931" t="s">
        <v>17649</v>
      </c>
      <c r="BN931">
        <v>23756212</v>
      </c>
      <c r="BO931" t="s">
        <v>74</v>
      </c>
      <c r="BP931" t="s">
        <v>74</v>
      </c>
      <c r="BQ931" t="s">
        <v>74</v>
      </c>
      <c r="BR931" t="s">
        <v>103</v>
      </c>
      <c r="BS931" t="s">
        <v>17650</v>
      </c>
      <c r="BT931" t="str">
        <f>HYPERLINK("https%3A%2F%2Fwww.webofscience.com%2Fwos%2Fwoscc%2Ffull-record%2FWOS:000322693200023","View Full Record in Web of Science")</f>
        <v>View Full Record in Web of Science</v>
      </c>
    </row>
    <row r="932" spans="1:72" x14ac:dyDescent="0.15">
      <c r="A932" t="s">
        <v>72</v>
      </c>
      <c r="B932" t="s">
        <v>17651</v>
      </c>
      <c r="C932" t="s">
        <v>74</v>
      </c>
      <c r="D932" t="s">
        <v>74</v>
      </c>
      <c r="E932" t="s">
        <v>74</v>
      </c>
      <c r="F932" t="s">
        <v>17652</v>
      </c>
      <c r="G932" t="s">
        <v>74</v>
      </c>
      <c r="H932" t="s">
        <v>74</v>
      </c>
      <c r="I932" t="s">
        <v>17653</v>
      </c>
      <c r="J932" t="s">
        <v>17345</v>
      </c>
      <c r="K932" t="s">
        <v>74</v>
      </c>
      <c r="L932" t="s">
        <v>74</v>
      </c>
      <c r="M932" t="s">
        <v>78</v>
      </c>
      <c r="N932" t="s">
        <v>79</v>
      </c>
      <c r="O932" t="s">
        <v>74</v>
      </c>
      <c r="P932" t="s">
        <v>74</v>
      </c>
      <c r="Q932" t="s">
        <v>74</v>
      </c>
      <c r="R932" t="s">
        <v>74</v>
      </c>
      <c r="S932" t="s">
        <v>74</v>
      </c>
      <c r="T932" t="s">
        <v>17654</v>
      </c>
      <c r="U932" t="s">
        <v>17655</v>
      </c>
      <c r="V932" t="s">
        <v>17656</v>
      </c>
      <c r="W932" t="s">
        <v>17657</v>
      </c>
      <c r="X932" t="s">
        <v>9481</v>
      </c>
      <c r="Y932" t="s">
        <v>17658</v>
      </c>
      <c r="Z932" t="s">
        <v>17659</v>
      </c>
      <c r="AA932" t="s">
        <v>17660</v>
      </c>
      <c r="AB932" t="s">
        <v>17661</v>
      </c>
      <c r="AC932" t="s">
        <v>17662</v>
      </c>
      <c r="AD932" t="s">
        <v>17663</v>
      </c>
      <c r="AE932" t="s">
        <v>17664</v>
      </c>
      <c r="AF932" t="s">
        <v>74</v>
      </c>
      <c r="AG932">
        <v>43</v>
      </c>
      <c r="AH932">
        <v>25</v>
      </c>
      <c r="AI932">
        <v>26</v>
      </c>
      <c r="AJ932">
        <v>0</v>
      </c>
      <c r="AK932">
        <v>10</v>
      </c>
      <c r="AL932" t="s">
        <v>276</v>
      </c>
      <c r="AM932" t="s">
        <v>277</v>
      </c>
      <c r="AN932" t="s">
        <v>278</v>
      </c>
      <c r="AO932" t="s">
        <v>17355</v>
      </c>
      <c r="AP932" t="s">
        <v>74</v>
      </c>
      <c r="AQ932" t="s">
        <v>74</v>
      </c>
      <c r="AR932" t="s">
        <v>17357</v>
      </c>
      <c r="AS932" t="s">
        <v>17358</v>
      </c>
      <c r="AT932" t="s">
        <v>14858</v>
      </c>
      <c r="AU932">
        <v>2013</v>
      </c>
      <c r="AV932">
        <v>56</v>
      </c>
      <c r="AW932">
        <v>3</v>
      </c>
      <c r="AX932" t="s">
        <v>74</v>
      </c>
      <c r="AY932" t="s">
        <v>74</v>
      </c>
      <c r="AZ932" t="s">
        <v>74</v>
      </c>
      <c r="BA932" t="s">
        <v>74</v>
      </c>
      <c r="BB932">
        <v>134</v>
      </c>
      <c r="BC932">
        <v>153</v>
      </c>
      <c r="BD932" t="s">
        <v>74</v>
      </c>
      <c r="BE932" t="s">
        <v>17665</v>
      </c>
      <c r="BF932" t="str">
        <f>HYPERLINK("http://dx.doi.org/10.1080/00288306.2013.802246","http://dx.doi.org/10.1080/00288306.2013.802246")</f>
        <v>http://dx.doi.org/10.1080/00288306.2013.802246</v>
      </c>
      <c r="BG932" t="s">
        <v>74</v>
      </c>
      <c r="BH932" t="s">
        <v>74</v>
      </c>
      <c r="BI932">
        <v>20</v>
      </c>
      <c r="BJ932" t="s">
        <v>17360</v>
      </c>
      <c r="BK932" t="s">
        <v>99</v>
      </c>
      <c r="BL932" t="s">
        <v>338</v>
      </c>
      <c r="BM932" t="s">
        <v>17361</v>
      </c>
      <c r="BN932" t="s">
        <v>74</v>
      </c>
      <c r="BO932" t="s">
        <v>475</v>
      </c>
      <c r="BP932" t="s">
        <v>74</v>
      </c>
      <c r="BQ932" t="s">
        <v>74</v>
      </c>
      <c r="BR932" t="s">
        <v>103</v>
      </c>
      <c r="BS932" t="s">
        <v>17666</v>
      </c>
      <c r="BT932" t="str">
        <f>HYPERLINK("https%3A%2F%2Fwww.webofscience.com%2Fwos%2Fwoscc%2Ffull-record%2FWOS:000322809400003","View Full Record in Web of Science")</f>
        <v>View Full Record in Web of Science</v>
      </c>
    </row>
    <row r="933" spans="1:72" x14ac:dyDescent="0.15">
      <c r="A933" t="s">
        <v>72</v>
      </c>
      <c r="B933" t="s">
        <v>17667</v>
      </c>
      <c r="C933" t="s">
        <v>74</v>
      </c>
      <c r="D933" t="s">
        <v>74</v>
      </c>
      <c r="E933" t="s">
        <v>74</v>
      </c>
      <c r="F933" t="s">
        <v>17668</v>
      </c>
      <c r="G933" t="s">
        <v>74</v>
      </c>
      <c r="H933" t="s">
        <v>74</v>
      </c>
      <c r="I933" t="s">
        <v>17669</v>
      </c>
      <c r="J933" t="s">
        <v>17670</v>
      </c>
      <c r="K933" t="s">
        <v>74</v>
      </c>
      <c r="L933" t="s">
        <v>74</v>
      </c>
      <c r="M933" t="s">
        <v>78</v>
      </c>
      <c r="N933" t="s">
        <v>52</v>
      </c>
      <c r="O933" t="s">
        <v>17671</v>
      </c>
      <c r="P933" t="s">
        <v>17672</v>
      </c>
      <c r="Q933" t="s">
        <v>17673</v>
      </c>
      <c r="R933" t="s">
        <v>74</v>
      </c>
      <c r="S933" t="s">
        <v>74</v>
      </c>
      <c r="T933" t="s">
        <v>17674</v>
      </c>
      <c r="U933" t="s">
        <v>74</v>
      </c>
      <c r="V933" t="s">
        <v>74</v>
      </c>
      <c r="W933" t="s">
        <v>17675</v>
      </c>
      <c r="X933" t="s">
        <v>17676</v>
      </c>
      <c r="Y933" t="s">
        <v>74</v>
      </c>
      <c r="Z933" t="s">
        <v>74</v>
      </c>
      <c r="AA933" t="s">
        <v>17677</v>
      </c>
      <c r="AB933" t="s">
        <v>17678</v>
      </c>
      <c r="AC933" t="s">
        <v>74</v>
      </c>
      <c r="AD933" t="s">
        <v>74</v>
      </c>
      <c r="AE933" t="s">
        <v>74</v>
      </c>
      <c r="AF933" t="s">
        <v>74</v>
      </c>
      <c r="AG933">
        <v>0</v>
      </c>
      <c r="AH933">
        <v>0</v>
      </c>
      <c r="AI933">
        <v>0</v>
      </c>
      <c r="AJ933">
        <v>0</v>
      </c>
      <c r="AK933">
        <v>1</v>
      </c>
      <c r="AL933" t="s">
        <v>624</v>
      </c>
      <c r="AM933" t="s">
        <v>411</v>
      </c>
      <c r="AN933" t="s">
        <v>412</v>
      </c>
      <c r="AO933" t="s">
        <v>17679</v>
      </c>
      <c r="AP933" t="s">
        <v>74</v>
      </c>
      <c r="AQ933" t="s">
        <v>74</v>
      </c>
      <c r="AR933" t="s">
        <v>17670</v>
      </c>
      <c r="AS933" t="s">
        <v>17680</v>
      </c>
      <c r="AT933" t="s">
        <v>14663</v>
      </c>
      <c r="AU933">
        <v>2013</v>
      </c>
      <c r="AV933">
        <v>50</v>
      </c>
      <c r="AW933" t="s">
        <v>74</v>
      </c>
      <c r="AX933" t="s">
        <v>74</v>
      </c>
      <c r="AY933">
        <v>1</v>
      </c>
      <c r="AZ933" t="s">
        <v>283</v>
      </c>
      <c r="BA933" t="s">
        <v>74</v>
      </c>
      <c r="BB933" t="s">
        <v>17681</v>
      </c>
      <c r="BC933" t="s">
        <v>17681</v>
      </c>
      <c r="BD933" t="s">
        <v>74</v>
      </c>
      <c r="BE933" t="s">
        <v>74</v>
      </c>
      <c r="BF933" t="s">
        <v>74</v>
      </c>
      <c r="BG933" t="s">
        <v>74</v>
      </c>
      <c r="BH933" t="s">
        <v>74</v>
      </c>
      <c r="BI933">
        <v>1</v>
      </c>
      <c r="BJ933" t="s">
        <v>17682</v>
      </c>
      <c r="BK933" t="s">
        <v>17683</v>
      </c>
      <c r="BL933" t="s">
        <v>17684</v>
      </c>
      <c r="BM933" t="s">
        <v>17685</v>
      </c>
      <c r="BN933" t="s">
        <v>74</v>
      </c>
      <c r="BO933" t="s">
        <v>74</v>
      </c>
      <c r="BP933" t="s">
        <v>74</v>
      </c>
      <c r="BQ933" t="s">
        <v>74</v>
      </c>
      <c r="BR933" t="s">
        <v>103</v>
      </c>
      <c r="BS933" t="s">
        <v>17686</v>
      </c>
      <c r="BT933" t="str">
        <f>HYPERLINK("https%3A%2F%2Fwww.webofscience.com%2Fwos%2Fwoscc%2Ffull-record%2FWOS:000322995500744","View Full Record in Web of Science")</f>
        <v>View Full Record in Web of Science</v>
      </c>
    </row>
    <row r="934" spans="1:72" x14ac:dyDescent="0.15">
      <c r="A934" t="s">
        <v>72</v>
      </c>
      <c r="B934" t="s">
        <v>17687</v>
      </c>
      <c r="C934" t="s">
        <v>74</v>
      </c>
      <c r="D934" t="s">
        <v>74</v>
      </c>
      <c r="E934" t="s">
        <v>74</v>
      </c>
      <c r="F934" t="s">
        <v>17688</v>
      </c>
      <c r="G934" t="s">
        <v>74</v>
      </c>
      <c r="H934" t="s">
        <v>74</v>
      </c>
      <c r="I934" t="s">
        <v>17689</v>
      </c>
      <c r="J934" t="s">
        <v>17690</v>
      </c>
      <c r="K934" t="s">
        <v>74</v>
      </c>
      <c r="L934" t="s">
        <v>74</v>
      </c>
      <c r="M934" t="s">
        <v>78</v>
      </c>
      <c r="N934" t="s">
        <v>79</v>
      </c>
      <c r="O934" t="s">
        <v>74</v>
      </c>
      <c r="P934" t="s">
        <v>74</v>
      </c>
      <c r="Q934" t="s">
        <v>74</v>
      </c>
      <c r="R934" t="s">
        <v>74</v>
      </c>
      <c r="S934" t="s">
        <v>74</v>
      </c>
      <c r="T934" t="s">
        <v>17691</v>
      </c>
      <c r="U934" t="s">
        <v>17692</v>
      </c>
      <c r="V934" t="s">
        <v>17693</v>
      </c>
      <c r="W934" t="s">
        <v>17694</v>
      </c>
      <c r="X934" t="s">
        <v>17695</v>
      </c>
      <c r="Y934" t="s">
        <v>17696</v>
      </c>
      <c r="Z934" t="s">
        <v>17697</v>
      </c>
      <c r="AA934" t="s">
        <v>17698</v>
      </c>
      <c r="AB934" t="s">
        <v>17699</v>
      </c>
      <c r="AC934" t="s">
        <v>17700</v>
      </c>
      <c r="AD934" t="s">
        <v>17701</v>
      </c>
      <c r="AE934" t="s">
        <v>17702</v>
      </c>
      <c r="AF934" t="s">
        <v>74</v>
      </c>
      <c r="AG934">
        <v>81</v>
      </c>
      <c r="AH934">
        <v>38</v>
      </c>
      <c r="AI934">
        <v>43</v>
      </c>
      <c r="AJ934">
        <v>0</v>
      </c>
      <c r="AK934">
        <v>65</v>
      </c>
      <c r="AL934" t="s">
        <v>410</v>
      </c>
      <c r="AM934" t="s">
        <v>411</v>
      </c>
      <c r="AN934" t="s">
        <v>412</v>
      </c>
      <c r="AO934" t="s">
        <v>17703</v>
      </c>
      <c r="AP934" t="s">
        <v>17704</v>
      </c>
      <c r="AQ934" t="s">
        <v>74</v>
      </c>
      <c r="AR934" t="s">
        <v>17705</v>
      </c>
      <c r="AS934" t="s">
        <v>17706</v>
      </c>
      <c r="AT934" t="s">
        <v>14663</v>
      </c>
      <c r="AU934">
        <v>2013</v>
      </c>
      <c r="AV934">
        <v>14</v>
      </c>
      <c r="AW934">
        <v>3</v>
      </c>
      <c r="AX934" t="s">
        <v>74</v>
      </c>
      <c r="AY934" t="s">
        <v>74</v>
      </c>
      <c r="AZ934" t="s">
        <v>74</v>
      </c>
      <c r="BA934" t="s">
        <v>74</v>
      </c>
      <c r="BB934">
        <v>343</v>
      </c>
      <c r="BC934">
        <v>363</v>
      </c>
      <c r="BD934" t="s">
        <v>74</v>
      </c>
      <c r="BE934" t="s">
        <v>17707</v>
      </c>
      <c r="BF934" t="str">
        <f>HYPERLINK("http://dx.doi.org/10.1111/j.1467-2979.2012.00474.x","http://dx.doi.org/10.1111/j.1467-2979.2012.00474.x")</f>
        <v>http://dx.doi.org/10.1111/j.1467-2979.2012.00474.x</v>
      </c>
      <c r="BG934" t="s">
        <v>74</v>
      </c>
      <c r="BH934" t="s">
        <v>74</v>
      </c>
      <c r="BI934">
        <v>21</v>
      </c>
      <c r="BJ934" t="s">
        <v>589</v>
      </c>
      <c r="BK934" t="s">
        <v>99</v>
      </c>
      <c r="BL934" t="s">
        <v>589</v>
      </c>
      <c r="BM934" t="s">
        <v>17708</v>
      </c>
      <c r="BN934" t="s">
        <v>74</v>
      </c>
      <c r="BO934" t="s">
        <v>1733</v>
      </c>
      <c r="BP934" t="s">
        <v>74</v>
      </c>
      <c r="BQ934" t="s">
        <v>74</v>
      </c>
      <c r="BR934" t="s">
        <v>103</v>
      </c>
      <c r="BS934" t="s">
        <v>17709</v>
      </c>
      <c r="BT934" t="str">
        <f>HYPERLINK("https%3A%2F%2Fwww.webofscience.com%2Fwos%2Fwoscc%2Ffull-record%2FWOS:000322011800007","View Full Record in Web of Science")</f>
        <v>View Full Record in Web of Science</v>
      </c>
    </row>
    <row r="935" spans="1:72" x14ac:dyDescent="0.15">
      <c r="A935" t="s">
        <v>72</v>
      </c>
      <c r="B935" t="s">
        <v>17710</v>
      </c>
      <c r="C935" t="s">
        <v>74</v>
      </c>
      <c r="D935" t="s">
        <v>74</v>
      </c>
      <c r="E935" t="s">
        <v>74</v>
      </c>
      <c r="F935" t="s">
        <v>17711</v>
      </c>
      <c r="G935" t="s">
        <v>74</v>
      </c>
      <c r="H935" t="s">
        <v>74</v>
      </c>
      <c r="I935" t="s">
        <v>17712</v>
      </c>
      <c r="J935" t="s">
        <v>17713</v>
      </c>
      <c r="K935" t="s">
        <v>74</v>
      </c>
      <c r="L935" t="s">
        <v>74</v>
      </c>
      <c r="M935" t="s">
        <v>78</v>
      </c>
      <c r="N935" t="s">
        <v>79</v>
      </c>
      <c r="O935" t="s">
        <v>74</v>
      </c>
      <c r="P935" t="s">
        <v>74</v>
      </c>
      <c r="Q935" t="s">
        <v>74</v>
      </c>
      <c r="R935" t="s">
        <v>74</v>
      </c>
      <c r="S935" t="s">
        <v>74</v>
      </c>
      <c r="T935" t="s">
        <v>17714</v>
      </c>
      <c r="U935" t="s">
        <v>17715</v>
      </c>
      <c r="V935" t="s">
        <v>17716</v>
      </c>
      <c r="W935" t="s">
        <v>17717</v>
      </c>
      <c r="X935" t="s">
        <v>17718</v>
      </c>
      <c r="Y935" t="s">
        <v>17719</v>
      </c>
      <c r="Z935" t="s">
        <v>17720</v>
      </c>
      <c r="AA935" t="s">
        <v>74</v>
      </c>
      <c r="AB935" t="s">
        <v>74</v>
      </c>
      <c r="AC935" t="s">
        <v>17721</v>
      </c>
      <c r="AD935" t="s">
        <v>17722</v>
      </c>
      <c r="AE935" t="s">
        <v>17723</v>
      </c>
      <c r="AF935" t="s">
        <v>74</v>
      </c>
      <c r="AG935">
        <v>20</v>
      </c>
      <c r="AH935">
        <v>21</v>
      </c>
      <c r="AI935">
        <v>23</v>
      </c>
      <c r="AJ935">
        <v>6</v>
      </c>
      <c r="AK935">
        <v>47</v>
      </c>
      <c r="AL935" t="s">
        <v>17724</v>
      </c>
      <c r="AM935" t="s">
        <v>17725</v>
      </c>
      <c r="AN935" t="s">
        <v>17726</v>
      </c>
      <c r="AO935" t="s">
        <v>17727</v>
      </c>
      <c r="AP935" t="s">
        <v>17728</v>
      </c>
      <c r="AQ935" t="s">
        <v>74</v>
      </c>
      <c r="AR935" t="s">
        <v>17729</v>
      </c>
      <c r="AS935" t="s">
        <v>17730</v>
      </c>
      <c r="AT935" t="s">
        <v>14663</v>
      </c>
      <c r="AU935">
        <v>2013</v>
      </c>
      <c r="AV935">
        <v>12</v>
      </c>
      <c r="AW935">
        <v>3</v>
      </c>
      <c r="AX935" t="s">
        <v>74</v>
      </c>
      <c r="AY935" t="s">
        <v>74</v>
      </c>
      <c r="AZ935" t="s">
        <v>74</v>
      </c>
      <c r="BA935" t="s">
        <v>74</v>
      </c>
      <c r="BB935">
        <v>484</v>
      </c>
      <c r="BC935">
        <v>490</v>
      </c>
      <c r="BD935" t="s">
        <v>74</v>
      </c>
      <c r="BE935" t="s">
        <v>17731</v>
      </c>
      <c r="BF935" t="str">
        <f>HYPERLINK("http://dx.doi.org/10.1007/s11802-013-2180-2","http://dx.doi.org/10.1007/s11802-013-2180-2")</f>
        <v>http://dx.doi.org/10.1007/s11802-013-2180-2</v>
      </c>
      <c r="BG935" t="s">
        <v>74</v>
      </c>
      <c r="BH935" t="s">
        <v>74</v>
      </c>
      <c r="BI935">
        <v>7</v>
      </c>
      <c r="BJ935" t="s">
        <v>1613</v>
      </c>
      <c r="BK935" t="s">
        <v>99</v>
      </c>
      <c r="BL935" t="s">
        <v>1613</v>
      </c>
      <c r="BM935" t="s">
        <v>17732</v>
      </c>
      <c r="BN935" t="s">
        <v>74</v>
      </c>
      <c r="BO935" t="s">
        <v>74</v>
      </c>
      <c r="BP935" t="s">
        <v>74</v>
      </c>
      <c r="BQ935" t="s">
        <v>74</v>
      </c>
      <c r="BR935" t="s">
        <v>103</v>
      </c>
      <c r="BS935" t="s">
        <v>17733</v>
      </c>
      <c r="BT935" t="str">
        <f>HYPERLINK("https%3A%2F%2Fwww.webofscience.com%2Fwos%2Fwoscc%2Ffull-record%2FWOS:000322258300021","View Full Record in Web of Science")</f>
        <v>View Full Record in Web of Science</v>
      </c>
    </row>
    <row r="936" spans="1:72" x14ac:dyDescent="0.15">
      <c r="A936" t="s">
        <v>72</v>
      </c>
      <c r="B936" t="s">
        <v>17734</v>
      </c>
      <c r="C936" t="s">
        <v>74</v>
      </c>
      <c r="D936" t="s">
        <v>74</v>
      </c>
      <c r="E936" t="s">
        <v>74</v>
      </c>
      <c r="F936" t="s">
        <v>17735</v>
      </c>
      <c r="G936" t="s">
        <v>74</v>
      </c>
      <c r="H936" t="s">
        <v>74</v>
      </c>
      <c r="I936" t="s">
        <v>17736</v>
      </c>
      <c r="J936" t="s">
        <v>7644</v>
      </c>
      <c r="K936" t="s">
        <v>74</v>
      </c>
      <c r="L936" t="s">
        <v>74</v>
      </c>
      <c r="M936" t="s">
        <v>78</v>
      </c>
      <c r="N936" t="s">
        <v>79</v>
      </c>
      <c r="O936" t="s">
        <v>74</v>
      </c>
      <c r="P936" t="s">
        <v>74</v>
      </c>
      <c r="Q936" t="s">
        <v>74</v>
      </c>
      <c r="R936" t="s">
        <v>74</v>
      </c>
      <c r="S936" t="s">
        <v>74</v>
      </c>
      <c r="T936" t="s">
        <v>17737</v>
      </c>
      <c r="U936" t="s">
        <v>17738</v>
      </c>
      <c r="V936" t="s">
        <v>17739</v>
      </c>
      <c r="W936" t="s">
        <v>17740</v>
      </c>
      <c r="X936" t="s">
        <v>17741</v>
      </c>
      <c r="Y936" t="s">
        <v>17742</v>
      </c>
      <c r="Z936" t="s">
        <v>17743</v>
      </c>
      <c r="AA936" t="s">
        <v>17744</v>
      </c>
      <c r="AB936" t="s">
        <v>17745</v>
      </c>
      <c r="AC936" t="s">
        <v>17746</v>
      </c>
      <c r="AD936" t="s">
        <v>17747</v>
      </c>
      <c r="AE936" t="s">
        <v>17748</v>
      </c>
      <c r="AF936" t="s">
        <v>74</v>
      </c>
      <c r="AG936">
        <v>69</v>
      </c>
      <c r="AH936">
        <v>11</v>
      </c>
      <c r="AI936">
        <v>12</v>
      </c>
      <c r="AJ936">
        <v>3</v>
      </c>
      <c r="AK936">
        <v>40</v>
      </c>
      <c r="AL936" t="s">
        <v>4723</v>
      </c>
      <c r="AM936" t="s">
        <v>921</v>
      </c>
      <c r="AN936" t="s">
        <v>7655</v>
      </c>
      <c r="AO936" t="s">
        <v>7656</v>
      </c>
      <c r="AP936" t="s">
        <v>7657</v>
      </c>
      <c r="AQ936" t="s">
        <v>74</v>
      </c>
      <c r="AR936" t="s">
        <v>7658</v>
      </c>
      <c r="AS936" t="s">
        <v>7659</v>
      </c>
      <c r="AT936" t="s">
        <v>14663</v>
      </c>
      <c r="AU936">
        <v>2013</v>
      </c>
      <c r="AV936">
        <v>136</v>
      </c>
      <c r="AW936" t="s">
        <v>74</v>
      </c>
      <c r="AX936" t="s">
        <v>74</v>
      </c>
      <c r="AY936" t="s">
        <v>74</v>
      </c>
      <c r="AZ936" t="s">
        <v>74</v>
      </c>
      <c r="BA936" t="s">
        <v>74</v>
      </c>
      <c r="BB936">
        <v>416</v>
      </c>
      <c r="BC936">
        <v>432</v>
      </c>
      <c r="BD936" t="s">
        <v>74</v>
      </c>
      <c r="BE936" t="s">
        <v>17749</v>
      </c>
      <c r="BF936" t="str">
        <f>HYPERLINK("http://dx.doi.org/10.1016/j.rse.2013.05.022","http://dx.doi.org/10.1016/j.rse.2013.05.022")</f>
        <v>http://dx.doi.org/10.1016/j.rse.2013.05.022</v>
      </c>
      <c r="BG936" t="s">
        <v>74</v>
      </c>
      <c r="BH936" t="s">
        <v>74</v>
      </c>
      <c r="BI936">
        <v>17</v>
      </c>
      <c r="BJ936" t="s">
        <v>7661</v>
      </c>
      <c r="BK936" t="s">
        <v>99</v>
      </c>
      <c r="BL936" t="s">
        <v>7662</v>
      </c>
      <c r="BM936" t="s">
        <v>17750</v>
      </c>
      <c r="BN936" t="s">
        <v>74</v>
      </c>
      <c r="BO936" t="s">
        <v>831</v>
      </c>
      <c r="BP936" t="s">
        <v>74</v>
      </c>
      <c r="BQ936" t="s">
        <v>74</v>
      </c>
      <c r="BR936" t="s">
        <v>103</v>
      </c>
      <c r="BS936" t="s">
        <v>17751</v>
      </c>
      <c r="BT936" t="str">
        <f>HYPERLINK("https%3A%2F%2Fwww.webofscience.com%2Fwos%2Fwoscc%2Ffull-record%2FWOS:000322055600034","View Full Record in Web of Science")</f>
        <v>View Full Record in Web of Science</v>
      </c>
    </row>
    <row r="937" spans="1:72" x14ac:dyDescent="0.15">
      <c r="A937" t="s">
        <v>72</v>
      </c>
      <c r="B937" t="s">
        <v>17752</v>
      </c>
      <c r="C937" t="s">
        <v>74</v>
      </c>
      <c r="D937" t="s">
        <v>74</v>
      </c>
      <c r="E937" t="s">
        <v>74</v>
      </c>
      <c r="F937" t="s">
        <v>17753</v>
      </c>
      <c r="G937" t="s">
        <v>74</v>
      </c>
      <c r="H937" t="s">
        <v>74</v>
      </c>
      <c r="I937" t="s">
        <v>17754</v>
      </c>
      <c r="J937" t="s">
        <v>17755</v>
      </c>
      <c r="K937" t="s">
        <v>74</v>
      </c>
      <c r="L937" t="s">
        <v>74</v>
      </c>
      <c r="M937" t="s">
        <v>78</v>
      </c>
      <c r="N937" t="s">
        <v>79</v>
      </c>
      <c r="O937" t="s">
        <v>74</v>
      </c>
      <c r="P937" t="s">
        <v>74</v>
      </c>
      <c r="Q937" t="s">
        <v>74</v>
      </c>
      <c r="R937" t="s">
        <v>74</v>
      </c>
      <c r="S937" t="s">
        <v>74</v>
      </c>
      <c r="T937" t="s">
        <v>17756</v>
      </c>
      <c r="U937" t="s">
        <v>17757</v>
      </c>
      <c r="V937" t="s">
        <v>17758</v>
      </c>
      <c r="W937" t="s">
        <v>17759</v>
      </c>
      <c r="X937" t="s">
        <v>17760</v>
      </c>
      <c r="Y937" t="s">
        <v>17761</v>
      </c>
      <c r="Z937" t="s">
        <v>17762</v>
      </c>
      <c r="AA937" t="s">
        <v>17763</v>
      </c>
      <c r="AB937" t="s">
        <v>74</v>
      </c>
      <c r="AC937" t="s">
        <v>17764</v>
      </c>
      <c r="AD937" t="s">
        <v>17765</v>
      </c>
      <c r="AE937" t="s">
        <v>17766</v>
      </c>
      <c r="AF937" t="s">
        <v>74</v>
      </c>
      <c r="AG937">
        <v>41</v>
      </c>
      <c r="AH937">
        <v>55</v>
      </c>
      <c r="AI937">
        <v>56</v>
      </c>
      <c r="AJ937">
        <v>0</v>
      </c>
      <c r="AK937">
        <v>25</v>
      </c>
      <c r="AL937" t="s">
        <v>1067</v>
      </c>
      <c r="AM937" t="s">
        <v>1068</v>
      </c>
      <c r="AN937" t="s">
        <v>1163</v>
      </c>
      <c r="AO937" t="s">
        <v>17767</v>
      </c>
      <c r="AP937" t="s">
        <v>17768</v>
      </c>
      <c r="AQ937" t="s">
        <v>74</v>
      </c>
      <c r="AR937" t="s">
        <v>17769</v>
      </c>
      <c r="AS937" t="s">
        <v>17770</v>
      </c>
      <c r="AT937" t="s">
        <v>14663</v>
      </c>
      <c r="AU937">
        <v>2013</v>
      </c>
      <c r="AV937">
        <v>286</v>
      </c>
      <c r="AW937">
        <v>2</v>
      </c>
      <c r="AX937" t="s">
        <v>74</v>
      </c>
      <c r="AY937" t="s">
        <v>74</v>
      </c>
      <c r="AZ937" t="s">
        <v>74</v>
      </c>
      <c r="BA937" t="s">
        <v>74</v>
      </c>
      <c r="BB937">
        <v>609</v>
      </c>
      <c r="BC937">
        <v>627</v>
      </c>
      <c r="BD937" t="s">
        <v>74</v>
      </c>
      <c r="BE937" t="s">
        <v>17771</v>
      </c>
      <c r="BF937" t="str">
        <f>HYPERLINK("http://dx.doi.org/10.1007/s11207-013-0265-0","http://dx.doi.org/10.1007/s11207-013-0265-0")</f>
        <v>http://dx.doi.org/10.1007/s11207-013-0265-0</v>
      </c>
      <c r="BG937" t="s">
        <v>74</v>
      </c>
      <c r="BH937" t="s">
        <v>74</v>
      </c>
      <c r="BI937">
        <v>19</v>
      </c>
      <c r="BJ937" t="s">
        <v>1705</v>
      </c>
      <c r="BK937" t="s">
        <v>99</v>
      </c>
      <c r="BL937" t="s">
        <v>1705</v>
      </c>
      <c r="BM937" t="s">
        <v>17772</v>
      </c>
      <c r="BN937" t="s">
        <v>74</v>
      </c>
      <c r="BO937" t="s">
        <v>74</v>
      </c>
      <c r="BP937" t="s">
        <v>74</v>
      </c>
      <c r="BQ937" t="s">
        <v>74</v>
      </c>
      <c r="BR937" t="s">
        <v>103</v>
      </c>
      <c r="BS937" t="s">
        <v>17773</v>
      </c>
      <c r="BT937" t="str">
        <f>HYPERLINK("https%3A%2F%2Fwww.webofscience.com%2Fwos%2Fwoscc%2Ffull-record%2FWOS:000319007700020","View Full Record in Web of Science")</f>
        <v>View Full Record in Web of Science</v>
      </c>
    </row>
    <row r="938" spans="1:72" x14ac:dyDescent="0.15">
      <c r="A938" t="s">
        <v>72</v>
      </c>
      <c r="B938" t="s">
        <v>17774</v>
      </c>
      <c r="C938" t="s">
        <v>74</v>
      </c>
      <c r="D938" t="s">
        <v>74</v>
      </c>
      <c r="E938" t="s">
        <v>74</v>
      </c>
      <c r="F938" t="s">
        <v>17775</v>
      </c>
      <c r="G938" t="s">
        <v>74</v>
      </c>
      <c r="H938" t="s">
        <v>74</v>
      </c>
      <c r="I938" t="s">
        <v>17776</v>
      </c>
      <c r="J938" t="s">
        <v>4072</v>
      </c>
      <c r="K938" t="s">
        <v>74</v>
      </c>
      <c r="L938" t="s">
        <v>74</v>
      </c>
      <c r="M938" t="s">
        <v>78</v>
      </c>
      <c r="N938" t="s">
        <v>79</v>
      </c>
      <c r="O938" t="s">
        <v>74</v>
      </c>
      <c r="P938" t="s">
        <v>74</v>
      </c>
      <c r="Q938" t="s">
        <v>74</v>
      </c>
      <c r="R938" t="s">
        <v>74</v>
      </c>
      <c r="S938" t="s">
        <v>74</v>
      </c>
      <c r="T938" t="s">
        <v>74</v>
      </c>
      <c r="U938" t="s">
        <v>17777</v>
      </c>
      <c r="V938" t="s">
        <v>17778</v>
      </c>
      <c r="W938" t="s">
        <v>17779</v>
      </c>
      <c r="X938" t="s">
        <v>17780</v>
      </c>
      <c r="Y938" t="s">
        <v>17781</v>
      </c>
      <c r="Z938" t="s">
        <v>17782</v>
      </c>
      <c r="AA938" t="s">
        <v>74</v>
      </c>
      <c r="AB938" t="s">
        <v>74</v>
      </c>
      <c r="AC938" t="s">
        <v>17783</v>
      </c>
      <c r="AD938" t="s">
        <v>17784</v>
      </c>
      <c r="AE938" t="s">
        <v>17785</v>
      </c>
      <c r="AF938" t="s">
        <v>74</v>
      </c>
      <c r="AG938">
        <v>69</v>
      </c>
      <c r="AH938">
        <v>2</v>
      </c>
      <c r="AI938">
        <v>2</v>
      </c>
      <c r="AJ938">
        <v>1</v>
      </c>
      <c r="AK938">
        <v>19</v>
      </c>
      <c r="AL938" t="s">
        <v>4084</v>
      </c>
      <c r="AM938" t="s">
        <v>4085</v>
      </c>
      <c r="AN938" t="s">
        <v>4086</v>
      </c>
      <c r="AO938" t="s">
        <v>4087</v>
      </c>
      <c r="AP938" t="s">
        <v>74</v>
      </c>
      <c r="AQ938" t="s">
        <v>74</v>
      </c>
      <c r="AR938" t="s">
        <v>4072</v>
      </c>
      <c r="AS938" t="s">
        <v>4088</v>
      </c>
      <c r="AT938" t="s">
        <v>17786</v>
      </c>
      <c r="AU938">
        <v>2013</v>
      </c>
      <c r="AV938">
        <v>8</v>
      </c>
      <c r="AW938">
        <v>8</v>
      </c>
      <c r="AX938" t="s">
        <v>74</v>
      </c>
      <c r="AY938" t="s">
        <v>74</v>
      </c>
      <c r="AZ938" t="s">
        <v>74</v>
      </c>
      <c r="BA938" t="s">
        <v>74</v>
      </c>
      <c r="BB938" t="s">
        <v>74</v>
      </c>
      <c r="BC938" t="s">
        <v>74</v>
      </c>
      <c r="BD938" t="s">
        <v>17787</v>
      </c>
      <c r="BE938" t="s">
        <v>17788</v>
      </c>
      <c r="BF938" t="str">
        <f>HYPERLINK("http://dx.doi.org/10.1371/journal.pone.0072461","http://dx.doi.org/10.1371/journal.pone.0072461")</f>
        <v>http://dx.doi.org/10.1371/journal.pone.0072461</v>
      </c>
      <c r="BG938" t="s">
        <v>74</v>
      </c>
      <c r="BH938" t="s">
        <v>74</v>
      </c>
      <c r="BI938">
        <v>8</v>
      </c>
      <c r="BJ938" t="s">
        <v>2652</v>
      </c>
      <c r="BK938" t="s">
        <v>99</v>
      </c>
      <c r="BL938" t="s">
        <v>2653</v>
      </c>
      <c r="BM938" t="s">
        <v>17789</v>
      </c>
      <c r="BN938">
        <v>24009682</v>
      </c>
      <c r="BO938" t="s">
        <v>4093</v>
      </c>
      <c r="BP938" t="s">
        <v>74</v>
      </c>
      <c r="BQ938" t="s">
        <v>74</v>
      </c>
      <c r="BR938" t="s">
        <v>103</v>
      </c>
      <c r="BS938" t="s">
        <v>17790</v>
      </c>
      <c r="BT938" t="str">
        <f>HYPERLINK("https%3A%2F%2Fwww.webofscience.com%2Fwos%2Fwoscc%2Ffull-record%2FWOS:000323734600021","View Full Record in Web of Science")</f>
        <v>View Full Record in Web of Science</v>
      </c>
    </row>
    <row r="939" spans="1:72" x14ac:dyDescent="0.15">
      <c r="A939" t="s">
        <v>72</v>
      </c>
      <c r="B939" t="s">
        <v>17791</v>
      </c>
      <c r="C939" t="s">
        <v>74</v>
      </c>
      <c r="D939" t="s">
        <v>74</v>
      </c>
      <c r="E939" t="s">
        <v>74</v>
      </c>
      <c r="F939" t="s">
        <v>17792</v>
      </c>
      <c r="G939" t="s">
        <v>74</v>
      </c>
      <c r="H939" t="s">
        <v>74</v>
      </c>
      <c r="I939" t="s">
        <v>17793</v>
      </c>
      <c r="J939" t="s">
        <v>11078</v>
      </c>
      <c r="K939" t="s">
        <v>74</v>
      </c>
      <c r="L939" t="s">
        <v>74</v>
      </c>
      <c r="M939" t="s">
        <v>78</v>
      </c>
      <c r="N939" t="s">
        <v>79</v>
      </c>
      <c r="O939" t="s">
        <v>74</v>
      </c>
      <c r="P939" t="s">
        <v>74</v>
      </c>
      <c r="Q939" t="s">
        <v>74</v>
      </c>
      <c r="R939" t="s">
        <v>74</v>
      </c>
      <c r="S939" t="s">
        <v>74</v>
      </c>
      <c r="T939" t="s">
        <v>74</v>
      </c>
      <c r="U939" t="s">
        <v>17794</v>
      </c>
      <c r="V939" t="s">
        <v>17795</v>
      </c>
      <c r="W939" t="s">
        <v>17796</v>
      </c>
      <c r="X939" t="s">
        <v>17797</v>
      </c>
      <c r="Y939" t="s">
        <v>17798</v>
      </c>
      <c r="Z939" t="s">
        <v>13883</v>
      </c>
      <c r="AA939" t="s">
        <v>17799</v>
      </c>
      <c r="AB939" t="s">
        <v>17800</v>
      </c>
      <c r="AC939" t="s">
        <v>74</v>
      </c>
      <c r="AD939" t="s">
        <v>74</v>
      </c>
      <c r="AE939" t="s">
        <v>74</v>
      </c>
      <c r="AF939" t="s">
        <v>74</v>
      </c>
      <c r="AG939">
        <v>34</v>
      </c>
      <c r="AH939">
        <v>78</v>
      </c>
      <c r="AI939">
        <v>84</v>
      </c>
      <c r="AJ939">
        <v>2</v>
      </c>
      <c r="AK939">
        <v>91</v>
      </c>
      <c r="AL939" t="s">
        <v>1371</v>
      </c>
      <c r="AM939" t="s">
        <v>849</v>
      </c>
      <c r="AN939" t="s">
        <v>1372</v>
      </c>
      <c r="AO939" t="s">
        <v>11081</v>
      </c>
      <c r="AP939" t="s">
        <v>74</v>
      </c>
      <c r="AQ939" t="s">
        <v>74</v>
      </c>
      <c r="AR939" t="s">
        <v>11078</v>
      </c>
      <c r="AS939" t="s">
        <v>11083</v>
      </c>
      <c r="AT939" t="s">
        <v>17786</v>
      </c>
      <c r="AU939">
        <v>2013</v>
      </c>
      <c r="AV939">
        <v>500</v>
      </c>
      <c r="AW939">
        <v>7464</v>
      </c>
      <c r="AX939" t="s">
        <v>74</v>
      </c>
      <c r="AY939" t="s">
        <v>74</v>
      </c>
      <c r="AZ939" t="s">
        <v>74</v>
      </c>
      <c r="BA939" t="s">
        <v>74</v>
      </c>
      <c r="BB939">
        <v>563</v>
      </c>
      <c r="BC939" t="s">
        <v>629</v>
      </c>
      <c r="BD939" t="s">
        <v>74</v>
      </c>
      <c r="BE939" t="s">
        <v>17801</v>
      </c>
      <c r="BF939" t="str">
        <f>HYPERLINK("http://dx.doi.org/10.1038/nature12382","http://dx.doi.org/10.1038/nature12382")</f>
        <v>http://dx.doi.org/10.1038/nature12382</v>
      </c>
      <c r="BG939" t="s">
        <v>74</v>
      </c>
      <c r="BH939" t="s">
        <v>74</v>
      </c>
      <c r="BI939">
        <v>5</v>
      </c>
      <c r="BJ939" t="s">
        <v>2652</v>
      </c>
      <c r="BK939" t="s">
        <v>99</v>
      </c>
      <c r="BL939" t="s">
        <v>2653</v>
      </c>
      <c r="BM939" t="s">
        <v>17802</v>
      </c>
      <c r="BN939">
        <v>23985874</v>
      </c>
      <c r="BO939" t="s">
        <v>450</v>
      </c>
      <c r="BP939" t="s">
        <v>74</v>
      </c>
      <c r="BQ939" t="s">
        <v>74</v>
      </c>
      <c r="BR939" t="s">
        <v>103</v>
      </c>
      <c r="BS939" t="s">
        <v>17803</v>
      </c>
      <c r="BT939" t="str">
        <f>HYPERLINK("https%3A%2F%2Fwww.webofscience.com%2Fwos%2Fwoscc%2Ffull-record%2FWOS:000323625900031","View Full Record in Web of Science")</f>
        <v>View Full Record in Web of Science</v>
      </c>
    </row>
    <row r="940" spans="1:72" x14ac:dyDescent="0.15">
      <c r="A940" t="s">
        <v>72</v>
      </c>
      <c r="B940" t="s">
        <v>17804</v>
      </c>
      <c r="C940" t="s">
        <v>74</v>
      </c>
      <c r="D940" t="s">
        <v>74</v>
      </c>
      <c r="E940" t="s">
        <v>74</v>
      </c>
      <c r="F940" t="s">
        <v>17805</v>
      </c>
      <c r="G940" t="s">
        <v>74</v>
      </c>
      <c r="H940" t="s">
        <v>74</v>
      </c>
      <c r="I940" t="s">
        <v>17806</v>
      </c>
      <c r="J940" t="s">
        <v>4368</v>
      </c>
      <c r="K940" t="s">
        <v>74</v>
      </c>
      <c r="L940" t="s">
        <v>74</v>
      </c>
      <c r="M940" t="s">
        <v>78</v>
      </c>
      <c r="N940" t="s">
        <v>79</v>
      </c>
      <c r="O940" t="s">
        <v>74</v>
      </c>
      <c r="P940" t="s">
        <v>74</v>
      </c>
      <c r="Q940" t="s">
        <v>74</v>
      </c>
      <c r="R940" t="s">
        <v>74</v>
      </c>
      <c r="S940" t="s">
        <v>74</v>
      </c>
      <c r="T940" t="s">
        <v>17807</v>
      </c>
      <c r="U940" t="s">
        <v>17808</v>
      </c>
      <c r="V940" t="s">
        <v>17809</v>
      </c>
      <c r="W940" t="s">
        <v>17810</v>
      </c>
      <c r="X940" t="s">
        <v>17811</v>
      </c>
      <c r="Y940" t="s">
        <v>17812</v>
      </c>
      <c r="Z940" t="s">
        <v>17813</v>
      </c>
      <c r="AA940" t="s">
        <v>17814</v>
      </c>
      <c r="AB940" t="s">
        <v>17815</v>
      </c>
      <c r="AC940" t="s">
        <v>17816</v>
      </c>
      <c r="AD940" t="s">
        <v>17816</v>
      </c>
      <c r="AE940" t="s">
        <v>17817</v>
      </c>
      <c r="AF940" t="s">
        <v>74</v>
      </c>
      <c r="AG940">
        <v>27</v>
      </c>
      <c r="AH940">
        <v>106</v>
      </c>
      <c r="AI940">
        <v>115</v>
      </c>
      <c r="AJ940">
        <v>0</v>
      </c>
      <c r="AK940">
        <v>30</v>
      </c>
      <c r="AL940" t="s">
        <v>1606</v>
      </c>
      <c r="AM940" t="s">
        <v>808</v>
      </c>
      <c r="AN940" t="s">
        <v>1607</v>
      </c>
      <c r="AO940" t="s">
        <v>4379</v>
      </c>
      <c r="AP940" t="s">
        <v>4380</v>
      </c>
      <c r="AQ940" t="s">
        <v>74</v>
      </c>
      <c r="AR940" t="s">
        <v>4381</v>
      </c>
      <c r="AS940" t="s">
        <v>4382</v>
      </c>
      <c r="AT940" t="s">
        <v>17818</v>
      </c>
      <c r="AU940">
        <v>2013</v>
      </c>
      <c r="AV940">
        <v>40</v>
      </c>
      <c r="AW940">
        <v>16</v>
      </c>
      <c r="AX940" t="s">
        <v>74</v>
      </c>
      <c r="AY940" t="s">
        <v>74</v>
      </c>
      <c r="AZ940" t="s">
        <v>74</v>
      </c>
      <c r="BA940" t="s">
        <v>74</v>
      </c>
      <c r="BB940">
        <v>4328</v>
      </c>
      <c r="BC940">
        <v>4332</v>
      </c>
      <c r="BD940" t="s">
        <v>74</v>
      </c>
      <c r="BE940" t="s">
        <v>17819</v>
      </c>
      <c r="BF940" t="str">
        <f>HYPERLINK("http://dx.doi.org/10.1002/grl.50820","http://dx.doi.org/10.1002/grl.50820")</f>
        <v>http://dx.doi.org/10.1002/grl.50820</v>
      </c>
      <c r="BG940" t="s">
        <v>74</v>
      </c>
      <c r="BH940" t="s">
        <v>74</v>
      </c>
      <c r="BI940">
        <v>5</v>
      </c>
      <c r="BJ940" t="s">
        <v>337</v>
      </c>
      <c r="BK940" t="s">
        <v>99</v>
      </c>
      <c r="BL940" t="s">
        <v>338</v>
      </c>
      <c r="BM940" t="s">
        <v>17820</v>
      </c>
      <c r="BN940" t="s">
        <v>74</v>
      </c>
      <c r="BO940" t="s">
        <v>475</v>
      </c>
      <c r="BP940" t="s">
        <v>74</v>
      </c>
      <c r="BQ940" t="s">
        <v>74</v>
      </c>
      <c r="BR940" t="s">
        <v>103</v>
      </c>
      <c r="BS940" t="s">
        <v>17821</v>
      </c>
      <c r="BT940" t="str">
        <f>HYPERLINK("https%3A%2F%2Fwww.webofscience.com%2Fwos%2Fwoscc%2Ffull-record%2FWOS:000324529000037","View Full Record in Web of Science")</f>
        <v>View Full Record in Web of Science</v>
      </c>
    </row>
    <row r="941" spans="1:72" x14ac:dyDescent="0.15">
      <c r="A941" t="s">
        <v>72</v>
      </c>
      <c r="B941" t="s">
        <v>17822</v>
      </c>
      <c r="C941" t="s">
        <v>74</v>
      </c>
      <c r="D941" t="s">
        <v>74</v>
      </c>
      <c r="E941" t="s">
        <v>74</v>
      </c>
      <c r="F941" t="s">
        <v>17823</v>
      </c>
      <c r="G941" t="s">
        <v>74</v>
      </c>
      <c r="H941" t="s">
        <v>74</v>
      </c>
      <c r="I941" t="s">
        <v>17824</v>
      </c>
      <c r="J941" t="s">
        <v>4368</v>
      </c>
      <c r="K941" t="s">
        <v>74</v>
      </c>
      <c r="L941" t="s">
        <v>74</v>
      </c>
      <c r="M941" t="s">
        <v>78</v>
      </c>
      <c r="N941" t="s">
        <v>79</v>
      </c>
      <c r="O941" t="s">
        <v>74</v>
      </c>
      <c r="P941" t="s">
        <v>74</v>
      </c>
      <c r="Q941" t="s">
        <v>74</v>
      </c>
      <c r="R941" t="s">
        <v>74</v>
      </c>
      <c r="S941" t="s">
        <v>74</v>
      </c>
      <c r="T941" t="s">
        <v>17825</v>
      </c>
      <c r="U941" t="s">
        <v>17826</v>
      </c>
      <c r="V941" t="s">
        <v>17827</v>
      </c>
      <c r="W941" t="s">
        <v>17828</v>
      </c>
      <c r="X941" t="s">
        <v>17829</v>
      </c>
      <c r="Y941" t="s">
        <v>17830</v>
      </c>
      <c r="Z941" t="s">
        <v>17831</v>
      </c>
      <c r="AA941" t="s">
        <v>17832</v>
      </c>
      <c r="AB941" t="s">
        <v>17833</v>
      </c>
      <c r="AC941" t="s">
        <v>17834</v>
      </c>
      <c r="AD941" t="s">
        <v>17835</v>
      </c>
      <c r="AE941" t="s">
        <v>17836</v>
      </c>
      <c r="AF941" t="s">
        <v>74</v>
      </c>
      <c r="AG941">
        <v>33</v>
      </c>
      <c r="AH941">
        <v>68</v>
      </c>
      <c r="AI941">
        <v>77</v>
      </c>
      <c r="AJ941">
        <v>2</v>
      </c>
      <c r="AK941">
        <v>54</v>
      </c>
      <c r="AL941" t="s">
        <v>1606</v>
      </c>
      <c r="AM941" t="s">
        <v>808</v>
      </c>
      <c r="AN941" t="s">
        <v>1607</v>
      </c>
      <c r="AO941" t="s">
        <v>4379</v>
      </c>
      <c r="AP941" t="s">
        <v>4380</v>
      </c>
      <c r="AQ941" t="s">
        <v>74</v>
      </c>
      <c r="AR941" t="s">
        <v>4381</v>
      </c>
      <c r="AS941" t="s">
        <v>4382</v>
      </c>
      <c r="AT941" t="s">
        <v>17818</v>
      </c>
      <c r="AU941">
        <v>2013</v>
      </c>
      <c r="AV941">
        <v>40</v>
      </c>
      <c r="AW941">
        <v>16</v>
      </c>
      <c r="AX941" t="s">
        <v>74</v>
      </c>
      <c r="AY941" t="s">
        <v>74</v>
      </c>
      <c r="AZ941" t="s">
        <v>74</v>
      </c>
      <c r="BA941" t="s">
        <v>74</v>
      </c>
      <c r="BB941">
        <v>4305</v>
      </c>
      <c r="BC941">
        <v>4309</v>
      </c>
      <c r="BD941" t="s">
        <v>74</v>
      </c>
      <c r="BE941" t="s">
        <v>17837</v>
      </c>
      <c r="BF941" t="str">
        <f>HYPERLINK("http://dx.doi.org/10.1002/grl.50797","http://dx.doi.org/10.1002/grl.50797")</f>
        <v>http://dx.doi.org/10.1002/grl.50797</v>
      </c>
      <c r="BG941" t="s">
        <v>74</v>
      </c>
      <c r="BH941" t="s">
        <v>74</v>
      </c>
      <c r="BI941">
        <v>5</v>
      </c>
      <c r="BJ941" t="s">
        <v>337</v>
      </c>
      <c r="BK941" t="s">
        <v>99</v>
      </c>
      <c r="BL941" t="s">
        <v>338</v>
      </c>
      <c r="BM941" t="s">
        <v>17820</v>
      </c>
      <c r="BN941" t="s">
        <v>74</v>
      </c>
      <c r="BO941" t="s">
        <v>7079</v>
      </c>
      <c r="BP941" t="s">
        <v>74</v>
      </c>
      <c r="BQ941" t="s">
        <v>74</v>
      </c>
      <c r="BR941" t="s">
        <v>103</v>
      </c>
      <c r="BS941" t="s">
        <v>17838</v>
      </c>
      <c r="BT941" t="str">
        <f>HYPERLINK("https%3A%2F%2Fwww.webofscience.com%2Fwos%2Fwoscc%2Ffull-record%2FWOS:000324529000033","View Full Record in Web of Science")</f>
        <v>View Full Record in Web of Science</v>
      </c>
    </row>
    <row r="942" spans="1:72" x14ac:dyDescent="0.15">
      <c r="A942" t="s">
        <v>72</v>
      </c>
      <c r="B942" t="s">
        <v>17839</v>
      </c>
      <c r="C942" t="s">
        <v>74</v>
      </c>
      <c r="D942" t="s">
        <v>74</v>
      </c>
      <c r="E942" t="s">
        <v>74</v>
      </c>
      <c r="F942" t="s">
        <v>17840</v>
      </c>
      <c r="G942" t="s">
        <v>74</v>
      </c>
      <c r="H942" t="s">
        <v>74</v>
      </c>
      <c r="I942" t="s">
        <v>17841</v>
      </c>
      <c r="J942" t="s">
        <v>4368</v>
      </c>
      <c r="K942" t="s">
        <v>74</v>
      </c>
      <c r="L942" t="s">
        <v>74</v>
      </c>
      <c r="M942" t="s">
        <v>78</v>
      </c>
      <c r="N942" t="s">
        <v>79</v>
      </c>
      <c r="O942" t="s">
        <v>74</v>
      </c>
      <c r="P942" t="s">
        <v>74</v>
      </c>
      <c r="Q942" t="s">
        <v>74</v>
      </c>
      <c r="R942" t="s">
        <v>74</v>
      </c>
      <c r="S942" t="s">
        <v>74</v>
      </c>
      <c r="T942" t="s">
        <v>17842</v>
      </c>
      <c r="U942" t="s">
        <v>17843</v>
      </c>
      <c r="V942" t="s">
        <v>17844</v>
      </c>
      <c r="W942" t="s">
        <v>17845</v>
      </c>
      <c r="X942" t="s">
        <v>17846</v>
      </c>
      <c r="Y942" t="s">
        <v>17847</v>
      </c>
      <c r="Z942" t="s">
        <v>17848</v>
      </c>
      <c r="AA942" t="s">
        <v>17849</v>
      </c>
      <c r="AB942" t="s">
        <v>17850</v>
      </c>
      <c r="AC942" t="s">
        <v>17851</v>
      </c>
      <c r="AD942" t="s">
        <v>17852</v>
      </c>
      <c r="AE942" t="s">
        <v>17853</v>
      </c>
      <c r="AF942" t="s">
        <v>74</v>
      </c>
      <c r="AG942">
        <v>25</v>
      </c>
      <c r="AH942">
        <v>46</v>
      </c>
      <c r="AI942">
        <v>53</v>
      </c>
      <c r="AJ942">
        <v>1</v>
      </c>
      <c r="AK942">
        <v>54</v>
      </c>
      <c r="AL942" t="s">
        <v>1606</v>
      </c>
      <c r="AM942" t="s">
        <v>808</v>
      </c>
      <c r="AN942" t="s">
        <v>1607</v>
      </c>
      <c r="AO942" t="s">
        <v>4379</v>
      </c>
      <c r="AP942" t="s">
        <v>4380</v>
      </c>
      <c r="AQ942" t="s">
        <v>74</v>
      </c>
      <c r="AR942" t="s">
        <v>4381</v>
      </c>
      <c r="AS942" t="s">
        <v>4382</v>
      </c>
      <c r="AT942" t="s">
        <v>17818</v>
      </c>
      <c r="AU942">
        <v>2013</v>
      </c>
      <c r="AV942">
        <v>40</v>
      </c>
      <c r="AW942">
        <v>16</v>
      </c>
      <c r="AX942" t="s">
        <v>74</v>
      </c>
      <c r="AY942" t="s">
        <v>74</v>
      </c>
      <c r="AZ942" t="s">
        <v>74</v>
      </c>
      <c r="BA942" t="s">
        <v>74</v>
      </c>
      <c r="BB942">
        <v>4321</v>
      </c>
      <c r="BC942">
        <v>4327</v>
      </c>
      <c r="BD942" t="s">
        <v>74</v>
      </c>
      <c r="BE942" t="s">
        <v>17854</v>
      </c>
      <c r="BF942" t="str">
        <f>HYPERLINK("http://dx.doi.org/10.1002/grl.50689","http://dx.doi.org/10.1002/grl.50689")</f>
        <v>http://dx.doi.org/10.1002/grl.50689</v>
      </c>
      <c r="BG942" t="s">
        <v>74</v>
      </c>
      <c r="BH942" t="s">
        <v>74</v>
      </c>
      <c r="BI942">
        <v>7</v>
      </c>
      <c r="BJ942" t="s">
        <v>337</v>
      </c>
      <c r="BK942" t="s">
        <v>99</v>
      </c>
      <c r="BL942" t="s">
        <v>338</v>
      </c>
      <c r="BM942" t="s">
        <v>17820</v>
      </c>
      <c r="BN942" t="s">
        <v>74</v>
      </c>
      <c r="BO942" t="s">
        <v>1666</v>
      </c>
      <c r="BP942" t="s">
        <v>74</v>
      </c>
      <c r="BQ942" t="s">
        <v>74</v>
      </c>
      <c r="BR942" t="s">
        <v>103</v>
      </c>
      <c r="BS942" t="s">
        <v>17855</v>
      </c>
      <c r="BT942" t="str">
        <f>HYPERLINK("https%3A%2F%2Fwww.webofscience.com%2Fwos%2Fwoscc%2Ffull-record%2FWOS:000324529000036","View Full Record in Web of Science")</f>
        <v>View Full Record in Web of Science</v>
      </c>
    </row>
    <row r="943" spans="1:72" x14ac:dyDescent="0.15">
      <c r="A943" t="s">
        <v>72</v>
      </c>
      <c r="B943" t="s">
        <v>17856</v>
      </c>
      <c r="C943" t="s">
        <v>74</v>
      </c>
      <c r="D943" t="s">
        <v>74</v>
      </c>
      <c r="E943" t="s">
        <v>74</v>
      </c>
      <c r="F943" t="s">
        <v>17857</v>
      </c>
      <c r="G943" t="s">
        <v>74</v>
      </c>
      <c r="H943" t="s">
        <v>74</v>
      </c>
      <c r="I943" t="s">
        <v>17858</v>
      </c>
      <c r="J943" t="s">
        <v>4346</v>
      </c>
      <c r="K943" t="s">
        <v>74</v>
      </c>
      <c r="L943" t="s">
        <v>74</v>
      </c>
      <c r="M943" t="s">
        <v>78</v>
      </c>
      <c r="N943" t="s">
        <v>213</v>
      </c>
      <c r="O943" t="s">
        <v>74</v>
      </c>
      <c r="P943" t="s">
        <v>74</v>
      </c>
      <c r="Q943" t="s">
        <v>74</v>
      </c>
      <c r="R943" t="s">
        <v>74</v>
      </c>
      <c r="S943" t="s">
        <v>74</v>
      </c>
      <c r="T943" t="s">
        <v>17859</v>
      </c>
      <c r="U943" t="s">
        <v>17860</v>
      </c>
      <c r="V943" t="s">
        <v>17861</v>
      </c>
      <c r="W943" t="s">
        <v>17862</v>
      </c>
      <c r="X943" t="s">
        <v>17863</v>
      </c>
      <c r="Y943" t="s">
        <v>17864</v>
      </c>
      <c r="Z943" t="s">
        <v>17865</v>
      </c>
      <c r="AA943" t="s">
        <v>17866</v>
      </c>
      <c r="AB943" t="s">
        <v>17867</v>
      </c>
      <c r="AC943" t="s">
        <v>17868</v>
      </c>
      <c r="AD943" t="s">
        <v>17869</v>
      </c>
      <c r="AE943" t="s">
        <v>17870</v>
      </c>
      <c r="AF943" t="s">
        <v>74</v>
      </c>
      <c r="AG943">
        <v>111</v>
      </c>
      <c r="AH943">
        <v>20</v>
      </c>
      <c r="AI943">
        <v>21</v>
      </c>
      <c r="AJ943">
        <v>0</v>
      </c>
      <c r="AK943">
        <v>52</v>
      </c>
      <c r="AL943" t="s">
        <v>1606</v>
      </c>
      <c r="AM943" t="s">
        <v>808</v>
      </c>
      <c r="AN943" t="s">
        <v>1607</v>
      </c>
      <c r="AO943" t="s">
        <v>4357</v>
      </c>
      <c r="AP943" t="s">
        <v>4358</v>
      </c>
      <c r="AQ943" t="s">
        <v>74</v>
      </c>
      <c r="AR943" t="s">
        <v>4359</v>
      </c>
      <c r="AS943" t="s">
        <v>4360</v>
      </c>
      <c r="AT943" t="s">
        <v>17871</v>
      </c>
      <c r="AU943">
        <v>2013</v>
      </c>
      <c r="AV943">
        <v>118</v>
      </c>
      <c r="AW943">
        <v>16</v>
      </c>
      <c r="AX943" t="s">
        <v>74</v>
      </c>
      <c r="AY943" t="s">
        <v>74</v>
      </c>
      <c r="AZ943" t="s">
        <v>74</v>
      </c>
      <c r="BA943" t="s">
        <v>74</v>
      </c>
      <c r="BB943">
        <v>9444</v>
      </c>
      <c r="BC943">
        <v>9455</v>
      </c>
      <c r="BD943" t="s">
        <v>74</v>
      </c>
      <c r="BE943" t="s">
        <v>17872</v>
      </c>
      <c r="BF943" t="str">
        <f>HYPERLINK("http://dx.doi.org/10.1002/jgrd.50716","http://dx.doi.org/10.1002/jgrd.50716")</f>
        <v>http://dx.doi.org/10.1002/jgrd.50716</v>
      </c>
      <c r="BG943" t="s">
        <v>74</v>
      </c>
      <c r="BH943" t="s">
        <v>74</v>
      </c>
      <c r="BI943">
        <v>12</v>
      </c>
      <c r="BJ943" t="s">
        <v>1503</v>
      </c>
      <c r="BK943" t="s">
        <v>99</v>
      </c>
      <c r="BL943" t="s">
        <v>1503</v>
      </c>
      <c r="BM943" t="s">
        <v>17873</v>
      </c>
      <c r="BN943" t="s">
        <v>74</v>
      </c>
      <c r="BO943" t="s">
        <v>475</v>
      </c>
      <c r="BP943" t="s">
        <v>74</v>
      </c>
      <c r="BQ943" t="s">
        <v>74</v>
      </c>
      <c r="BR943" t="s">
        <v>103</v>
      </c>
      <c r="BS943" t="s">
        <v>17874</v>
      </c>
      <c r="BT943" t="str">
        <f>HYPERLINK("https%3A%2F%2Fwww.webofscience.com%2Fwos%2Fwoscc%2Ffull-record%2FWOS:000324933900048","View Full Record in Web of Science")</f>
        <v>View Full Record in Web of Science</v>
      </c>
    </row>
    <row r="944" spans="1:72" x14ac:dyDescent="0.15">
      <c r="A944" t="s">
        <v>72</v>
      </c>
      <c r="B944" t="s">
        <v>17875</v>
      </c>
      <c r="C944" t="s">
        <v>74</v>
      </c>
      <c r="D944" t="s">
        <v>74</v>
      </c>
      <c r="E944" t="s">
        <v>74</v>
      </c>
      <c r="F944" t="s">
        <v>17876</v>
      </c>
      <c r="G944" t="s">
        <v>74</v>
      </c>
      <c r="H944" t="s">
        <v>74</v>
      </c>
      <c r="I944" t="s">
        <v>17877</v>
      </c>
      <c r="J944" t="s">
        <v>4346</v>
      </c>
      <c r="K944" t="s">
        <v>74</v>
      </c>
      <c r="L944" t="s">
        <v>74</v>
      </c>
      <c r="M944" t="s">
        <v>78</v>
      </c>
      <c r="N944" t="s">
        <v>79</v>
      </c>
      <c r="O944" t="s">
        <v>74</v>
      </c>
      <c r="P944" t="s">
        <v>74</v>
      </c>
      <c r="Q944" t="s">
        <v>74</v>
      </c>
      <c r="R944" t="s">
        <v>74</v>
      </c>
      <c r="S944" t="s">
        <v>74</v>
      </c>
      <c r="T944" t="s">
        <v>17878</v>
      </c>
      <c r="U944" t="s">
        <v>17879</v>
      </c>
      <c r="V944" t="s">
        <v>17880</v>
      </c>
      <c r="W944" t="s">
        <v>17881</v>
      </c>
      <c r="X944" t="s">
        <v>17882</v>
      </c>
      <c r="Y944" t="s">
        <v>17883</v>
      </c>
      <c r="Z944" t="s">
        <v>17884</v>
      </c>
      <c r="AA944" t="s">
        <v>17885</v>
      </c>
      <c r="AB944" t="s">
        <v>17886</v>
      </c>
      <c r="AC944" t="s">
        <v>17887</v>
      </c>
      <c r="AD944" t="s">
        <v>17888</v>
      </c>
      <c r="AE944" t="s">
        <v>17889</v>
      </c>
      <c r="AF944" t="s">
        <v>74</v>
      </c>
      <c r="AG944">
        <v>84</v>
      </c>
      <c r="AH944">
        <v>103</v>
      </c>
      <c r="AI944">
        <v>108</v>
      </c>
      <c r="AJ944">
        <v>3</v>
      </c>
      <c r="AK944">
        <v>37</v>
      </c>
      <c r="AL944" t="s">
        <v>1606</v>
      </c>
      <c r="AM944" t="s">
        <v>808</v>
      </c>
      <c r="AN944" t="s">
        <v>1607</v>
      </c>
      <c r="AO944" t="s">
        <v>4357</v>
      </c>
      <c r="AP944" t="s">
        <v>4358</v>
      </c>
      <c r="AQ944" t="s">
        <v>74</v>
      </c>
      <c r="AR944" t="s">
        <v>4359</v>
      </c>
      <c r="AS944" t="s">
        <v>4360</v>
      </c>
      <c r="AT944" t="s">
        <v>17871</v>
      </c>
      <c r="AU944">
        <v>2013</v>
      </c>
      <c r="AV944">
        <v>118</v>
      </c>
      <c r="AW944">
        <v>16</v>
      </c>
      <c r="AX944" t="s">
        <v>74</v>
      </c>
      <c r="AY944" t="s">
        <v>74</v>
      </c>
      <c r="AZ944" t="s">
        <v>74</v>
      </c>
      <c r="BA944" t="s">
        <v>74</v>
      </c>
      <c r="BB944">
        <v>9456</v>
      </c>
      <c r="BC944">
        <v>9474</v>
      </c>
      <c r="BD944" t="s">
        <v>74</v>
      </c>
      <c r="BE944" t="s">
        <v>17890</v>
      </c>
      <c r="BF944" t="str">
        <f>HYPERLINK("http://dx.doi.org/10.1002/jgrd.50708","http://dx.doi.org/10.1002/jgrd.50708")</f>
        <v>http://dx.doi.org/10.1002/jgrd.50708</v>
      </c>
      <c r="BG944" t="s">
        <v>74</v>
      </c>
      <c r="BH944" t="s">
        <v>74</v>
      </c>
      <c r="BI944">
        <v>19</v>
      </c>
      <c r="BJ944" t="s">
        <v>1503</v>
      </c>
      <c r="BK944" t="s">
        <v>99</v>
      </c>
      <c r="BL944" t="s">
        <v>1503</v>
      </c>
      <c r="BM944" t="s">
        <v>17873</v>
      </c>
      <c r="BN944" t="s">
        <v>74</v>
      </c>
      <c r="BO944" t="s">
        <v>7455</v>
      </c>
      <c r="BP944" t="s">
        <v>74</v>
      </c>
      <c r="BQ944" t="s">
        <v>74</v>
      </c>
      <c r="BR944" t="s">
        <v>103</v>
      </c>
      <c r="BS944" t="s">
        <v>17891</v>
      </c>
      <c r="BT944" t="str">
        <f>HYPERLINK("https%3A%2F%2Fwww.webofscience.com%2Fwos%2Fwoscc%2Ffull-record%2FWOS:000324933900049","View Full Record in Web of Science")</f>
        <v>View Full Record in Web of Science</v>
      </c>
    </row>
    <row r="945" spans="1:72" x14ac:dyDescent="0.15">
      <c r="A945" t="s">
        <v>72</v>
      </c>
      <c r="B945" t="s">
        <v>17892</v>
      </c>
      <c r="C945" t="s">
        <v>74</v>
      </c>
      <c r="D945" t="s">
        <v>74</v>
      </c>
      <c r="E945" t="s">
        <v>74</v>
      </c>
      <c r="F945" t="s">
        <v>17893</v>
      </c>
      <c r="G945" t="s">
        <v>74</v>
      </c>
      <c r="H945" t="s">
        <v>74</v>
      </c>
      <c r="I945" t="s">
        <v>17894</v>
      </c>
      <c r="J945" t="s">
        <v>4736</v>
      </c>
      <c r="K945" t="s">
        <v>74</v>
      </c>
      <c r="L945" t="s">
        <v>74</v>
      </c>
      <c r="M945" t="s">
        <v>78</v>
      </c>
      <c r="N945" t="s">
        <v>79</v>
      </c>
      <c r="O945" t="s">
        <v>74</v>
      </c>
      <c r="P945" t="s">
        <v>74</v>
      </c>
      <c r="Q945" t="s">
        <v>74</v>
      </c>
      <c r="R945" t="s">
        <v>74</v>
      </c>
      <c r="S945" t="s">
        <v>74</v>
      </c>
      <c r="T945" t="s">
        <v>17895</v>
      </c>
      <c r="U945" t="s">
        <v>74</v>
      </c>
      <c r="V945" t="s">
        <v>17896</v>
      </c>
      <c r="W945" t="s">
        <v>17897</v>
      </c>
      <c r="X945" t="s">
        <v>17898</v>
      </c>
      <c r="Y945" t="s">
        <v>17899</v>
      </c>
      <c r="Z945" t="s">
        <v>17900</v>
      </c>
      <c r="AA945" t="s">
        <v>74</v>
      </c>
      <c r="AB945" t="s">
        <v>74</v>
      </c>
      <c r="AC945" t="s">
        <v>17901</v>
      </c>
      <c r="AD945" t="s">
        <v>17902</v>
      </c>
      <c r="AE945" t="s">
        <v>17903</v>
      </c>
      <c r="AF945" t="s">
        <v>74</v>
      </c>
      <c r="AG945">
        <v>24</v>
      </c>
      <c r="AH945">
        <v>6</v>
      </c>
      <c r="AI945">
        <v>8</v>
      </c>
      <c r="AJ945">
        <v>0</v>
      </c>
      <c r="AK945">
        <v>12</v>
      </c>
      <c r="AL945" t="s">
        <v>4749</v>
      </c>
      <c r="AM945" t="s">
        <v>4750</v>
      </c>
      <c r="AN945" t="s">
        <v>4751</v>
      </c>
      <c r="AO945" t="s">
        <v>4752</v>
      </c>
      <c r="AP945" t="s">
        <v>74</v>
      </c>
      <c r="AQ945" t="s">
        <v>74</v>
      </c>
      <c r="AR945" t="s">
        <v>4736</v>
      </c>
      <c r="AS945" t="s">
        <v>4754</v>
      </c>
      <c r="AT945" t="s">
        <v>17904</v>
      </c>
      <c r="AU945">
        <v>2013</v>
      </c>
      <c r="AV945">
        <v>3702</v>
      </c>
      <c r="AW945">
        <v>2</v>
      </c>
      <c r="AX945" t="s">
        <v>74</v>
      </c>
      <c r="AY945" t="s">
        <v>74</v>
      </c>
      <c r="AZ945" t="s">
        <v>74</v>
      </c>
      <c r="BA945" t="s">
        <v>74</v>
      </c>
      <c r="BB945">
        <v>135</v>
      </c>
      <c r="BC945">
        <v>149</v>
      </c>
      <c r="BD945" t="s">
        <v>74</v>
      </c>
      <c r="BE945" t="s">
        <v>17905</v>
      </c>
      <c r="BF945" t="str">
        <f>HYPERLINK("http://dx.doi.org/10.11646/zootaxa.3702.2.3","http://dx.doi.org/10.11646/zootaxa.3702.2.3")</f>
        <v>http://dx.doi.org/10.11646/zootaxa.3702.2.3</v>
      </c>
      <c r="BG945" t="s">
        <v>74</v>
      </c>
      <c r="BH945" t="s">
        <v>74</v>
      </c>
      <c r="BI945">
        <v>15</v>
      </c>
      <c r="BJ945" t="s">
        <v>448</v>
      </c>
      <c r="BK945" t="s">
        <v>99</v>
      </c>
      <c r="BL945" t="s">
        <v>448</v>
      </c>
      <c r="BM945" t="s">
        <v>17906</v>
      </c>
      <c r="BN945">
        <v>26146713</v>
      </c>
      <c r="BO945" t="s">
        <v>74</v>
      </c>
      <c r="BP945" t="s">
        <v>74</v>
      </c>
      <c r="BQ945" t="s">
        <v>74</v>
      </c>
      <c r="BR945" t="s">
        <v>103</v>
      </c>
      <c r="BS945" t="s">
        <v>17907</v>
      </c>
      <c r="BT945" t="str">
        <f>HYPERLINK("https%3A%2F%2Fwww.webofscience.com%2Fwos%2Fwoscc%2Ffull-record%2FWOS:000323422700003","View Full Record in Web of Science")</f>
        <v>View Full Record in Web of Science</v>
      </c>
    </row>
    <row r="946" spans="1:72" x14ac:dyDescent="0.15">
      <c r="A946" t="s">
        <v>72</v>
      </c>
      <c r="B946" t="s">
        <v>17908</v>
      </c>
      <c r="C946" t="s">
        <v>74</v>
      </c>
      <c r="D946" t="s">
        <v>74</v>
      </c>
      <c r="E946" t="s">
        <v>74</v>
      </c>
      <c r="F946" t="s">
        <v>17909</v>
      </c>
      <c r="G946" t="s">
        <v>74</v>
      </c>
      <c r="H946" t="s">
        <v>74</v>
      </c>
      <c r="I946" t="s">
        <v>17910</v>
      </c>
      <c r="J946" t="s">
        <v>17911</v>
      </c>
      <c r="K946" t="s">
        <v>74</v>
      </c>
      <c r="L946" t="s">
        <v>74</v>
      </c>
      <c r="M946" t="s">
        <v>78</v>
      </c>
      <c r="N946" t="s">
        <v>79</v>
      </c>
      <c r="O946" t="s">
        <v>74</v>
      </c>
      <c r="P946" t="s">
        <v>74</v>
      </c>
      <c r="Q946" t="s">
        <v>74</v>
      </c>
      <c r="R946" t="s">
        <v>74</v>
      </c>
      <c r="S946" t="s">
        <v>74</v>
      </c>
      <c r="T946" t="s">
        <v>74</v>
      </c>
      <c r="U946" t="s">
        <v>17912</v>
      </c>
      <c r="V946" t="s">
        <v>17913</v>
      </c>
      <c r="W946" t="s">
        <v>17914</v>
      </c>
      <c r="X946" t="s">
        <v>4910</v>
      </c>
      <c r="Y946" t="s">
        <v>17915</v>
      </c>
      <c r="Z946" t="s">
        <v>17916</v>
      </c>
      <c r="AA946" t="s">
        <v>17917</v>
      </c>
      <c r="AB946" t="s">
        <v>17918</v>
      </c>
      <c r="AC946" t="s">
        <v>17919</v>
      </c>
      <c r="AD946" t="s">
        <v>17919</v>
      </c>
      <c r="AE946" t="s">
        <v>17920</v>
      </c>
      <c r="AF946" t="s">
        <v>74</v>
      </c>
      <c r="AG946">
        <v>18</v>
      </c>
      <c r="AH946">
        <v>30</v>
      </c>
      <c r="AI946">
        <v>30</v>
      </c>
      <c r="AJ946">
        <v>0</v>
      </c>
      <c r="AK946">
        <v>28</v>
      </c>
      <c r="AL946" t="s">
        <v>2140</v>
      </c>
      <c r="AM946" t="s">
        <v>2141</v>
      </c>
      <c r="AN946" t="s">
        <v>17921</v>
      </c>
      <c r="AO946" t="s">
        <v>17922</v>
      </c>
      <c r="AP946" t="s">
        <v>74</v>
      </c>
      <c r="AQ946" t="s">
        <v>74</v>
      </c>
      <c r="AR946" t="s">
        <v>17911</v>
      </c>
      <c r="AS946" t="s">
        <v>589</v>
      </c>
      <c r="AT946" t="s">
        <v>17904</v>
      </c>
      <c r="AU946">
        <v>2013</v>
      </c>
      <c r="AV946">
        <v>38</v>
      </c>
      <c r="AW946">
        <v>8</v>
      </c>
      <c r="AX946" t="s">
        <v>74</v>
      </c>
      <c r="AY946" t="s">
        <v>74</v>
      </c>
      <c r="AZ946" t="s">
        <v>74</v>
      </c>
      <c r="BA946" t="s">
        <v>74</v>
      </c>
      <c r="BB946">
        <v>345</v>
      </c>
      <c r="BC946">
        <v>350</v>
      </c>
      <c r="BD946" t="s">
        <v>74</v>
      </c>
      <c r="BE946" t="s">
        <v>17923</v>
      </c>
      <c r="BF946" t="str">
        <f>HYPERLINK("http://dx.doi.org/10.1080/03632415.2013.813486","http://dx.doi.org/10.1080/03632415.2013.813486")</f>
        <v>http://dx.doi.org/10.1080/03632415.2013.813486</v>
      </c>
      <c r="BG946" t="s">
        <v>74</v>
      </c>
      <c r="BH946" t="s">
        <v>74</v>
      </c>
      <c r="BI946">
        <v>6</v>
      </c>
      <c r="BJ946" t="s">
        <v>589</v>
      </c>
      <c r="BK946" t="s">
        <v>99</v>
      </c>
      <c r="BL946" t="s">
        <v>589</v>
      </c>
      <c r="BM946" t="s">
        <v>17924</v>
      </c>
      <c r="BN946" t="s">
        <v>74</v>
      </c>
      <c r="BO946" t="s">
        <v>74</v>
      </c>
      <c r="BP946" t="s">
        <v>74</v>
      </c>
      <c r="BQ946" t="s">
        <v>74</v>
      </c>
      <c r="BR946" t="s">
        <v>103</v>
      </c>
      <c r="BS946" t="s">
        <v>17925</v>
      </c>
      <c r="BT946" t="str">
        <f>HYPERLINK("https%3A%2F%2Fwww.webofscience.com%2Fwos%2Fwoscc%2Ffull-record%2FWOS:000323369100004","View Full Record in Web of Science")</f>
        <v>View Full Record in Web of Science</v>
      </c>
    </row>
    <row r="947" spans="1:72" x14ac:dyDescent="0.15">
      <c r="A947" t="s">
        <v>72</v>
      </c>
      <c r="B947" t="s">
        <v>17926</v>
      </c>
      <c r="C947" t="s">
        <v>74</v>
      </c>
      <c r="D947" t="s">
        <v>74</v>
      </c>
      <c r="E947" t="s">
        <v>74</v>
      </c>
      <c r="F947" t="s">
        <v>17927</v>
      </c>
      <c r="G947" t="s">
        <v>74</v>
      </c>
      <c r="H947" t="s">
        <v>74</v>
      </c>
      <c r="I947" t="s">
        <v>17928</v>
      </c>
      <c r="J947" t="s">
        <v>17929</v>
      </c>
      <c r="K947" t="s">
        <v>74</v>
      </c>
      <c r="L947" t="s">
        <v>74</v>
      </c>
      <c r="M947" t="s">
        <v>78</v>
      </c>
      <c r="N947" t="s">
        <v>79</v>
      </c>
      <c r="O947" t="s">
        <v>74</v>
      </c>
      <c r="P947" t="s">
        <v>74</v>
      </c>
      <c r="Q947" t="s">
        <v>74</v>
      </c>
      <c r="R947" t="s">
        <v>74</v>
      </c>
      <c r="S947" t="s">
        <v>74</v>
      </c>
      <c r="T947" t="s">
        <v>17930</v>
      </c>
      <c r="U947" t="s">
        <v>17931</v>
      </c>
      <c r="V947" t="s">
        <v>17932</v>
      </c>
      <c r="W947" t="s">
        <v>17933</v>
      </c>
      <c r="X947" t="s">
        <v>17934</v>
      </c>
      <c r="Y947" t="s">
        <v>17935</v>
      </c>
      <c r="Z947" t="s">
        <v>10516</v>
      </c>
      <c r="AA947" t="s">
        <v>17936</v>
      </c>
      <c r="AB947" t="s">
        <v>17937</v>
      </c>
      <c r="AC947" t="s">
        <v>17938</v>
      </c>
      <c r="AD947" t="s">
        <v>17938</v>
      </c>
      <c r="AE947" t="s">
        <v>17939</v>
      </c>
      <c r="AF947" t="s">
        <v>74</v>
      </c>
      <c r="AG947">
        <v>84</v>
      </c>
      <c r="AH947">
        <v>24</v>
      </c>
      <c r="AI947">
        <v>26</v>
      </c>
      <c r="AJ947">
        <v>1</v>
      </c>
      <c r="AK947">
        <v>72</v>
      </c>
      <c r="AL947" t="s">
        <v>304</v>
      </c>
      <c r="AM947" t="s">
        <v>305</v>
      </c>
      <c r="AN947" t="s">
        <v>306</v>
      </c>
      <c r="AO947" t="s">
        <v>17940</v>
      </c>
      <c r="AP947" t="s">
        <v>17941</v>
      </c>
      <c r="AQ947" t="s">
        <v>74</v>
      </c>
      <c r="AR947" t="s">
        <v>17942</v>
      </c>
      <c r="AS947" t="s">
        <v>17943</v>
      </c>
      <c r="AT947" t="s">
        <v>17944</v>
      </c>
      <c r="AU947">
        <v>2013</v>
      </c>
      <c r="AV947">
        <v>264</v>
      </c>
      <c r="AW947" t="s">
        <v>74</v>
      </c>
      <c r="AX947" t="s">
        <v>74</v>
      </c>
      <c r="AY947" t="s">
        <v>74</v>
      </c>
      <c r="AZ947" t="s">
        <v>283</v>
      </c>
      <c r="BA947" t="s">
        <v>74</v>
      </c>
      <c r="BB947">
        <v>115</v>
      </c>
      <c r="BC947">
        <v>129</v>
      </c>
      <c r="BD947" t="s">
        <v>74</v>
      </c>
      <c r="BE947" t="s">
        <v>17945</v>
      </c>
      <c r="BF947" t="str">
        <f>HYPERLINK("http://dx.doi.org/10.1016/j.ecolmodel.2012.05.008","http://dx.doi.org/10.1016/j.ecolmodel.2012.05.008")</f>
        <v>http://dx.doi.org/10.1016/j.ecolmodel.2012.05.008</v>
      </c>
      <c r="BG947" t="s">
        <v>74</v>
      </c>
      <c r="BH947" t="s">
        <v>74</v>
      </c>
      <c r="BI947">
        <v>15</v>
      </c>
      <c r="BJ947" t="s">
        <v>419</v>
      </c>
      <c r="BK947" t="s">
        <v>99</v>
      </c>
      <c r="BL947" t="s">
        <v>420</v>
      </c>
      <c r="BM947" t="s">
        <v>17946</v>
      </c>
      <c r="BN947" t="s">
        <v>74</v>
      </c>
      <c r="BO947" t="s">
        <v>74</v>
      </c>
      <c r="BP947" t="s">
        <v>74</v>
      </c>
      <c r="BQ947" t="s">
        <v>74</v>
      </c>
      <c r="BR947" t="s">
        <v>103</v>
      </c>
      <c r="BS947" t="s">
        <v>17947</v>
      </c>
      <c r="BT947" t="str">
        <f>HYPERLINK("https%3A%2F%2Fwww.webofscience.com%2Fwos%2Fwoscc%2Ffull-record%2FWOS:000322938700010","View Full Record in Web of Science")</f>
        <v>View Full Record in Web of Science</v>
      </c>
    </row>
    <row r="948" spans="1:72" x14ac:dyDescent="0.15">
      <c r="A948" t="s">
        <v>72</v>
      </c>
      <c r="B948" t="s">
        <v>17948</v>
      </c>
      <c r="C948" t="s">
        <v>74</v>
      </c>
      <c r="D948" t="s">
        <v>74</v>
      </c>
      <c r="E948" t="s">
        <v>74</v>
      </c>
      <c r="F948" t="s">
        <v>17949</v>
      </c>
      <c r="G948" t="s">
        <v>74</v>
      </c>
      <c r="H948" t="s">
        <v>74</v>
      </c>
      <c r="I948" t="s">
        <v>17950</v>
      </c>
      <c r="J948" t="s">
        <v>4072</v>
      </c>
      <c r="K948" t="s">
        <v>74</v>
      </c>
      <c r="L948" t="s">
        <v>74</v>
      </c>
      <c r="M948" t="s">
        <v>78</v>
      </c>
      <c r="N948" t="s">
        <v>79</v>
      </c>
      <c r="O948" t="s">
        <v>74</v>
      </c>
      <c r="P948" t="s">
        <v>74</v>
      </c>
      <c r="Q948" t="s">
        <v>74</v>
      </c>
      <c r="R948" t="s">
        <v>74</v>
      </c>
      <c r="S948" t="s">
        <v>74</v>
      </c>
      <c r="T948" t="s">
        <v>74</v>
      </c>
      <c r="U948" t="s">
        <v>17951</v>
      </c>
      <c r="V948" t="s">
        <v>17952</v>
      </c>
      <c r="W948" t="s">
        <v>17953</v>
      </c>
      <c r="X948" t="s">
        <v>17954</v>
      </c>
      <c r="Y948" t="s">
        <v>11524</v>
      </c>
      <c r="Z948" t="s">
        <v>17955</v>
      </c>
      <c r="AA948" t="s">
        <v>17956</v>
      </c>
      <c r="AB948" t="s">
        <v>17957</v>
      </c>
      <c r="AC948" t="s">
        <v>17958</v>
      </c>
      <c r="AD948" t="s">
        <v>17959</v>
      </c>
      <c r="AE948" t="s">
        <v>17960</v>
      </c>
      <c r="AF948" t="s">
        <v>74</v>
      </c>
      <c r="AG948">
        <v>22</v>
      </c>
      <c r="AH948">
        <v>3</v>
      </c>
      <c r="AI948">
        <v>3</v>
      </c>
      <c r="AJ948">
        <v>0</v>
      </c>
      <c r="AK948">
        <v>9</v>
      </c>
      <c r="AL948" t="s">
        <v>4084</v>
      </c>
      <c r="AM948" t="s">
        <v>4085</v>
      </c>
      <c r="AN948" t="s">
        <v>4086</v>
      </c>
      <c r="AO948" t="s">
        <v>4087</v>
      </c>
      <c r="AP948" t="s">
        <v>74</v>
      </c>
      <c r="AQ948" t="s">
        <v>74</v>
      </c>
      <c r="AR948" t="s">
        <v>4072</v>
      </c>
      <c r="AS948" t="s">
        <v>4088</v>
      </c>
      <c r="AT948" t="s">
        <v>17961</v>
      </c>
      <c r="AU948">
        <v>2013</v>
      </c>
      <c r="AV948">
        <v>8</v>
      </c>
      <c r="AW948">
        <v>8</v>
      </c>
      <c r="AX948" t="s">
        <v>74</v>
      </c>
      <c r="AY948" t="s">
        <v>74</v>
      </c>
      <c r="AZ948" t="s">
        <v>74</v>
      </c>
      <c r="BA948" t="s">
        <v>74</v>
      </c>
      <c r="BB948" t="s">
        <v>74</v>
      </c>
      <c r="BC948" t="s">
        <v>74</v>
      </c>
      <c r="BD948" t="s">
        <v>17962</v>
      </c>
      <c r="BE948" t="s">
        <v>17963</v>
      </c>
      <c r="BF948" t="str">
        <f>HYPERLINK("http://dx.doi.org/10.1371/journal.pone.0074146","http://dx.doi.org/10.1371/journal.pone.0074146")</f>
        <v>http://dx.doi.org/10.1371/journal.pone.0074146</v>
      </c>
      <c r="BG948" t="s">
        <v>74</v>
      </c>
      <c r="BH948" t="s">
        <v>74</v>
      </c>
      <c r="BI948">
        <v>9</v>
      </c>
      <c r="BJ948" t="s">
        <v>2652</v>
      </c>
      <c r="BK948" t="s">
        <v>99</v>
      </c>
      <c r="BL948" t="s">
        <v>2653</v>
      </c>
      <c r="BM948" t="s">
        <v>17964</v>
      </c>
      <c r="BN948">
        <v>24009769</v>
      </c>
      <c r="BO948" t="s">
        <v>16754</v>
      </c>
      <c r="BP948" t="s">
        <v>74</v>
      </c>
      <c r="BQ948" t="s">
        <v>74</v>
      </c>
      <c r="BR948" t="s">
        <v>103</v>
      </c>
      <c r="BS948" t="s">
        <v>17965</v>
      </c>
      <c r="BT948" t="str">
        <f>HYPERLINK("https%3A%2F%2Fwww.webofscience.com%2Fwos%2Fwoscc%2Ffull-record%2FWOS:000324403200053","View Full Record in Web of Science")</f>
        <v>View Full Record in Web of Science</v>
      </c>
    </row>
    <row r="949" spans="1:72" x14ac:dyDescent="0.15">
      <c r="A949" t="s">
        <v>72</v>
      </c>
      <c r="B949" t="s">
        <v>17966</v>
      </c>
      <c r="C949" t="s">
        <v>74</v>
      </c>
      <c r="D949" t="s">
        <v>74</v>
      </c>
      <c r="E949" t="s">
        <v>74</v>
      </c>
      <c r="F949" t="s">
        <v>17967</v>
      </c>
      <c r="G949" t="s">
        <v>74</v>
      </c>
      <c r="H949" t="s">
        <v>17968</v>
      </c>
      <c r="I949" t="s">
        <v>17969</v>
      </c>
      <c r="J949" t="s">
        <v>11078</v>
      </c>
      <c r="K949" t="s">
        <v>74</v>
      </c>
      <c r="L949" t="s">
        <v>74</v>
      </c>
      <c r="M949" t="s">
        <v>78</v>
      </c>
      <c r="N949" t="s">
        <v>79</v>
      </c>
      <c r="O949" t="s">
        <v>74</v>
      </c>
      <c r="P949" t="s">
        <v>74</v>
      </c>
      <c r="Q949" t="s">
        <v>74</v>
      </c>
      <c r="R949" t="s">
        <v>74</v>
      </c>
      <c r="S949" t="s">
        <v>74</v>
      </c>
      <c r="T949" t="s">
        <v>74</v>
      </c>
      <c r="U949" t="s">
        <v>17970</v>
      </c>
      <c r="V949" t="s">
        <v>17971</v>
      </c>
      <c r="W949" t="s">
        <v>17972</v>
      </c>
      <c r="X949" t="s">
        <v>17973</v>
      </c>
      <c r="Y949" t="s">
        <v>17974</v>
      </c>
      <c r="Z949" t="s">
        <v>17975</v>
      </c>
      <c r="AA949" t="s">
        <v>17976</v>
      </c>
      <c r="AB949" t="s">
        <v>17977</v>
      </c>
      <c r="AC949" t="s">
        <v>17978</v>
      </c>
      <c r="AD949" t="s">
        <v>17979</v>
      </c>
      <c r="AE949" t="s">
        <v>17980</v>
      </c>
      <c r="AF949" t="s">
        <v>74</v>
      </c>
      <c r="AG949">
        <v>55</v>
      </c>
      <c r="AH949">
        <v>241</v>
      </c>
      <c r="AI949">
        <v>273</v>
      </c>
      <c r="AJ949">
        <v>8</v>
      </c>
      <c r="AK949">
        <v>210</v>
      </c>
      <c r="AL949" t="s">
        <v>4661</v>
      </c>
      <c r="AM949" t="s">
        <v>2800</v>
      </c>
      <c r="AN949" t="s">
        <v>4662</v>
      </c>
      <c r="AO949" t="s">
        <v>11081</v>
      </c>
      <c r="AP949" t="s">
        <v>11082</v>
      </c>
      <c r="AQ949" t="s">
        <v>74</v>
      </c>
      <c r="AR949" t="s">
        <v>11078</v>
      </c>
      <c r="AS949" t="s">
        <v>11083</v>
      </c>
      <c r="AT949" t="s">
        <v>17981</v>
      </c>
      <c r="AU949">
        <v>2013</v>
      </c>
      <c r="AV949">
        <v>500</v>
      </c>
      <c r="AW949">
        <v>7463</v>
      </c>
      <c r="AX949" t="s">
        <v>74</v>
      </c>
      <c r="AY949" t="s">
        <v>74</v>
      </c>
      <c r="AZ949" t="s">
        <v>74</v>
      </c>
      <c r="BA949" t="s">
        <v>74</v>
      </c>
      <c r="BB949">
        <v>440</v>
      </c>
      <c r="BC949" t="s">
        <v>629</v>
      </c>
      <c r="BD949" t="s">
        <v>74</v>
      </c>
      <c r="BE949" t="s">
        <v>17982</v>
      </c>
      <c r="BF949" t="str">
        <f>HYPERLINK("http://dx.doi.org/10.1038/nature12376","http://dx.doi.org/10.1038/nature12376")</f>
        <v>http://dx.doi.org/10.1038/nature12376</v>
      </c>
      <c r="BG949" t="s">
        <v>74</v>
      </c>
      <c r="BH949" t="s">
        <v>74</v>
      </c>
      <c r="BI949">
        <v>7</v>
      </c>
      <c r="BJ949" t="s">
        <v>2652</v>
      </c>
      <c r="BK949" t="s">
        <v>99</v>
      </c>
      <c r="BL949" t="s">
        <v>2653</v>
      </c>
      <c r="BM949" t="s">
        <v>17983</v>
      </c>
      <c r="BN949">
        <v>23945585</v>
      </c>
      <c r="BO949" t="s">
        <v>831</v>
      </c>
      <c r="BP949" t="s">
        <v>74</v>
      </c>
      <c r="BQ949" t="s">
        <v>74</v>
      </c>
      <c r="BR949" t="s">
        <v>103</v>
      </c>
      <c r="BS949" t="s">
        <v>17984</v>
      </c>
      <c r="BT949" t="str">
        <f>HYPERLINK("https%3A%2F%2Fwww.webofscience.com%2Fwos%2Fwoscc%2Ffull-record%2FWOS:000323316100031","View Full Record in Web of Science")</f>
        <v>View Full Record in Web of Science</v>
      </c>
    </row>
    <row r="950" spans="1:72" x14ac:dyDescent="0.15">
      <c r="A950" t="s">
        <v>72</v>
      </c>
      <c r="B950" t="s">
        <v>17985</v>
      </c>
      <c r="C950" t="s">
        <v>74</v>
      </c>
      <c r="D950" t="s">
        <v>74</v>
      </c>
      <c r="E950" t="s">
        <v>74</v>
      </c>
      <c r="F950" t="s">
        <v>17986</v>
      </c>
      <c r="G950" t="s">
        <v>74</v>
      </c>
      <c r="H950" t="s">
        <v>74</v>
      </c>
      <c r="I950" t="s">
        <v>17987</v>
      </c>
      <c r="J950" t="s">
        <v>17988</v>
      </c>
      <c r="K950" t="s">
        <v>74</v>
      </c>
      <c r="L950" t="s">
        <v>74</v>
      </c>
      <c r="M950" t="s">
        <v>78</v>
      </c>
      <c r="N950" t="s">
        <v>213</v>
      </c>
      <c r="O950" t="s">
        <v>74</v>
      </c>
      <c r="P950" t="s">
        <v>74</v>
      </c>
      <c r="Q950" t="s">
        <v>74</v>
      </c>
      <c r="R950" t="s">
        <v>74</v>
      </c>
      <c r="S950" t="s">
        <v>74</v>
      </c>
      <c r="T950" t="s">
        <v>17989</v>
      </c>
      <c r="U950" t="s">
        <v>17990</v>
      </c>
      <c r="V950" t="s">
        <v>17991</v>
      </c>
      <c r="W950" t="s">
        <v>17992</v>
      </c>
      <c r="X950" t="s">
        <v>17993</v>
      </c>
      <c r="Y950" t="s">
        <v>17994</v>
      </c>
      <c r="Z950" t="s">
        <v>17995</v>
      </c>
      <c r="AA950" t="s">
        <v>17996</v>
      </c>
      <c r="AB950" t="s">
        <v>17997</v>
      </c>
      <c r="AC950" t="s">
        <v>17998</v>
      </c>
      <c r="AD950" t="s">
        <v>17999</v>
      </c>
      <c r="AE950" t="s">
        <v>18000</v>
      </c>
      <c r="AF950" t="s">
        <v>74</v>
      </c>
      <c r="AG950">
        <v>177</v>
      </c>
      <c r="AH950">
        <v>201</v>
      </c>
      <c r="AI950">
        <v>217</v>
      </c>
      <c r="AJ950">
        <v>9</v>
      </c>
      <c r="AK950">
        <v>154</v>
      </c>
      <c r="AL950" t="s">
        <v>649</v>
      </c>
      <c r="AM950" t="s">
        <v>650</v>
      </c>
      <c r="AN950" t="s">
        <v>651</v>
      </c>
      <c r="AO950" t="s">
        <v>18001</v>
      </c>
      <c r="AP950" t="s">
        <v>74</v>
      </c>
      <c r="AQ950" t="s">
        <v>74</v>
      </c>
      <c r="AR950" t="s">
        <v>18002</v>
      </c>
      <c r="AS950" t="s">
        <v>18003</v>
      </c>
      <c r="AT950" t="s">
        <v>17981</v>
      </c>
      <c r="AU950">
        <v>2013</v>
      </c>
      <c r="AV950">
        <v>4</v>
      </c>
      <c r="AW950" t="s">
        <v>74</v>
      </c>
      <c r="AX950" t="s">
        <v>74</v>
      </c>
      <c r="AY950" t="s">
        <v>74</v>
      </c>
      <c r="AZ950" t="s">
        <v>74</v>
      </c>
      <c r="BA950" t="s">
        <v>74</v>
      </c>
      <c r="BB950" t="s">
        <v>74</v>
      </c>
      <c r="BC950" t="s">
        <v>74</v>
      </c>
      <c r="BD950">
        <v>327</v>
      </c>
      <c r="BE950" t="s">
        <v>18004</v>
      </c>
      <c r="BF950" t="str">
        <f>HYPERLINK("http://dx.doi.org/10.3389/fpls.2013.00327","http://dx.doi.org/10.3389/fpls.2013.00327")</f>
        <v>http://dx.doi.org/10.3389/fpls.2013.00327</v>
      </c>
      <c r="BG950" t="s">
        <v>74</v>
      </c>
      <c r="BH950" t="s">
        <v>74</v>
      </c>
      <c r="BI950">
        <v>18</v>
      </c>
      <c r="BJ950" t="s">
        <v>614</v>
      </c>
      <c r="BK950" t="s">
        <v>99</v>
      </c>
      <c r="BL950" t="s">
        <v>614</v>
      </c>
      <c r="BM950" t="s">
        <v>18005</v>
      </c>
      <c r="BN950">
        <v>23986769</v>
      </c>
      <c r="BO950" t="s">
        <v>616</v>
      </c>
      <c r="BP950" t="s">
        <v>120</v>
      </c>
      <c r="BQ950" t="s">
        <v>121</v>
      </c>
      <c r="BR950" t="s">
        <v>103</v>
      </c>
      <c r="BS950" t="s">
        <v>18006</v>
      </c>
      <c r="BT950" t="str">
        <f>HYPERLINK("https%3A%2F%2Fwww.webofscience.com%2Fwos%2Fwoscc%2Ffull-record%2FWOS:000331057200001","View Full Record in Web of Science")</f>
        <v>View Full Record in Web of Science</v>
      </c>
    </row>
    <row r="951" spans="1:72" x14ac:dyDescent="0.15">
      <c r="A951" t="s">
        <v>72</v>
      </c>
      <c r="B951" t="s">
        <v>18007</v>
      </c>
      <c r="C951" t="s">
        <v>74</v>
      </c>
      <c r="D951" t="s">
        <v>74</v>
      </c>
      <c r="E951" t="s">
        <v>74</v>
      </c>
      <c r="F951" t="s">
        <v>18008</v>
      </c>
      <c r="G951" t="s">
        <v>74</v>
      </c>
      <c r="H951" t="s">
        <v>74</v>
      </c>
      <c r="I951" t="s">
        <v>18009</v>
      </c>
      <c r="J951" t="s">
        <v>4649</v>
      </c>
      <c r="K951" t="s">
        <v>74</v>
      </c>
      <c r="L951" t="s">
        <v>74</v>
      </c>
      <c r="M951" t="s">
        <v>78</v>
      </c>
      <c r="N951" t="s">
        <v>79</v>
      </c>
      <c r="O951" t="s">
        <v>74</v>
      </c>
      <c r="P951" t="s">
        <v>74</v>
      </c>
      <c r="Q951" t="s">
        <v>74</v>
      </c>
      <c r="R951" t="s">
        <v>74</v>
      </c>
      <c r="S951" t="s">
        <v>74</v>
      </c>
      <c r="T951" t="s">
        <v>74</v>
      </c>
      <c r="U951" t="s">
        <v>18010</v>
      </c>
      <c r="V951" t="s">
        <v>18011</v>
      </c>
      <c r="W951" t="s">
        <v>18012</v>
      </c>
      <c r="X951" t="s">
        <v>14511</v>
      </c>
      <c r="Y951" t="s">
        <v>18013</v>
      </c>
      <c r="Z951" t="s">
        <v>18014</v>
      </c>
      <c r="AA951" t="s">
        <v>5012</v>
      </c>
      <c r="AB951" t="s">
        <v>74</v>
      </c>
      <c r="AC951" t="s">
        <v>18015</v>
      </c>
      <c r="AD951" t="s">
        <v>18016</v>
      </c>
      <c r="AE951" t="s">
        <v>18017</v>
      </c>
      <c r="AF951" t="s">
        <v>74</v>
      </c>
      <c r="AG951">
        <v>39</v>
      </c>
      <c r="AH951">
        <v>34</v>
      </c>
      <c r="AI951">
        <v>36</v>
      </c>
      <c r="AJ951">
        <v>2</v>
      </c>
      <c r="AK951">
        <v>107</v>
      </c>
      <c r="AL951" t="s">
        <v>4661</v>
      </c>
      <c r="AM951" t="s">
        <v>2800</v>
      </c>
      <c r="AN951" t="s">
        <v>4662</v>
      </c>
      <c r="AO951" t="s">
        <v>4663</v>
      </c>
      <c r="AP951" t="s">
        <v>74</v>
      </c>
      <c r="AQ951" t="s">
        <v>74</v>
      </c>
      <c r="AR951" t="s">
        <v>4664</v>
      </c>
      <c r="AS951" t="s">
        <v>4665</v>
      </c>
      <c r="AT951" t="s">
        <v>17981</v>
      </c>
      <c r="AU951">
        <v>2013</v>
      </c>
      <c r="AV951">
        <v>3</v>
      </c>
      <c r="AW951" t="s">
        <v>74</v>
      </c>
      <c r="AX951" t="s">
        <v>74</v>
      </c>
      <c r="AY951" t="s">
        <v>74</v>
      </c>
      <c r="AZ951" t="s">
        <v>74</v>
      </c>
      <c r="BA951" t="s">
        <v>74</v>
      </c>
      <c r="BB951" t="s">
        <v>74</v>
      </c>
      <c r="BC951" t="s">
        <v>74</v>
      </c>
      <c r="BD951">
        <v>2472</v>
      </c>
      <c r="BE951" t="s">
        <v>18018</v>
      </c>
      <c r="BF951" t="str">
        <f>HYPERLINK("http://dx.doi.org/10.1038/srep02472","http://dx.doi.org/10.1038/srep02472")</f>
        <v>http://dx.doi.org/10.1038/srep02472</v>
      </c>
      <c r="BG951" t="s">
        <v>74</v>
      </c>
      <c r="BH951" t="s">
        <v>74</v>
      </c>
      <c r="BI951">
        <v>6</v>
      </c>
      <c r="BJ951" t="s">
        <v>2652</v>
      </c>
      <c r="BK951" t="s">
        <v>99</v>
      </c>
      <c r="BL951" t="s">
        <v>2653</v>
      </c>
      <c r="BM951" t="s">
        <v>18019</v>
      </c>
      <c r="BN951">
        <v>23969993</v>
      </c>
      <c r="BO951" t="s">
        <v>616</v>
      </c>
      <c r="BP951" t="s">
        <v>74</v>
      </c>
      <c r="BQ951" t="s">
        <v>74</v>
      </c>
      <c r="BR951" t="s">
        <v>103</v>
      </c>
      <c r="BS951" t="s">
        <v>18020</v>
      </c>
      <c r="BT951" t="str">
        <f>HYPERLINK("https%3A%2F%2Fwww.webofscience.com%2Fwos%2Fwoscc%2Ffull-record%2FWOS:000323366700001","View Full Record in Web of Science")</f>
        <v>View Full Record in Web of Science</v>
      </c>
    </row>
    <row r="952" spans="1:72" x14ac:dyDescent="0.15">
      <c r="A952" t="s">
        <v>72</v>
      </c>
      <c r="B952" t="s">
        <v>18021</v>
      </c>
      <c r="C952" t="s">
        <v>74</v>
      </c>
      <c r="D952" t="s">
        <v>74</v>
      </c>
      <c r="E952" t="s">
        <v>74</v>
      </c>
      <c r="F952" t="s">
        <v>18022</v>
      </c>
      <c r="G952" t="s">
        <v>74</v>
      </c>
      <c r="H952" t="s">
        <v>74</v>
      </c>
      <c r="I952" t="s">
        <v>18023</v>
      </c>
      <c r="J952" t="s">
        <v>4072</v>
      </c>
      <c r="K952" t="s">
        <v>74</v>
      </c>
      <c r="L952" t="s">
        <v>74</v>
      </c>
      <c r="M952" t="s">
        <v>78</v>
      </c>
      <c r="N952" t="s">
        <v>79</v>
      </c>
      <c r="O952" t="s">
        <v>74</v>
      </c>
      <c r="P952" t="s">
        <v>74</v>
      </c>
      <c r="Q952" t="s">
        <v>74</v>
      </c>
      <c r="R952" t="s">
        <v>74</v>
      </c>
      <c r="S952" t="s">
        <v>74</v>
      </c>
      <c r="T952" t="s">
        <v>74</v>
      </c>
      <c r="U952" t="s">
        <v>18024</v>
      </c>
      <c r="V952" t="s">
        <v>18025</v>
      </c>
      <c r="W952" t="s">
        <v>18026</v>
      </c>
      <c r="X952" t="s">
        <v>14757</v>
      </c>
      <c r="Y952" t="s">
        <v>18027</v>
      </c>
      <c r="Z952" t="s">
        <v>18028</v>
      </c>
      <c r="AA952" t="s">
        <v>74</v>
      </c>
      <c r="AB952" t="s">
        <v>74</v>
      </c>
      <c r="AC952" t="s">
        <v>18029</v>
      </c>
      <c r="AD952" t="s">
        <v>18030</v>
      </c>
      <c r="AE952" t="s">
        <v>18031</v>
      </c>
      <c r="AF952" t="s">
        <v>74</v>
      </c>
      <c r="AG952">
        <v>47</v>
      </c>
      <c r="AH952">
        <v>6</v>
      </c>
      <c r="AI952">
        <v>8</v>
      </c>
      <c r="AJ952">
        <v>1</v>
      </c>
      <c r="AK952">
        <v>24</v>
      </c>
      <c r="AL952" t="s">
        <v>4084</v>
      </c>
      <c r="AM952" t="s">
        <v>4085</v>
      </c>
      <c r="AN952" t="s">
        <v>4086</v>
      </c>
      <c r="AO952" t="s">
        <v>4087</v>
      </c>
      <c r="AP952" t="s">
        <v>74</v>
      </c>
      <c r="AQ952" t="s">
        <v>74</v>
      </c>
      <c r="AR952" t="s">
        <v>4072</v>
      </c>
      <c r="AS952" t="s">
        <v>4088</v>
      </c>
      <c r="AT952" t="s">
        <v>18032</v>
      </c>
      <c r="AU952">
        <v>2013</v>
      </c>
      <c r="AV952">
        <v>8</v>
      </c>
      <c r="AW952">
        <v>8</v>
      </c>
      <c r="AX952" t="s">
        <v>74</v>
      </c>
      <c r="AY952" t="s">
        <v>74</v>
      </c>
      <c r="AZ952" t="s">
        <v>74</v>
      </c>
      <c r="BA952" t="s">
        <v>74</v>
      </c>
      <c r="BB952" t="s">
        <v>74</v>
      </c>
      <c r="BC952" t="s">
        <v>74</v>
      </c>
      <c r="BD952" t="s">
        <v>18033</v>
      </c>
      <c r="BE952" t="s">
        <v>18034</v>
      </c>
      <c r="BF952" t="str">
        <f>HYPERLINK("http://dx.doi.org/10.1371/journal.pone.0071766","http://dx.doi.org/10.1371/journal.pone.0071766")</f>
        <v>http://dx.doi.org/10.1371/journal.pone.0071766</v>
      </c>
      <c r="BG952" t="s">
        <v>74</v>
      </c>
      <c r="BH952" t="s">
        <v>74</v>
      </c>
      <c r="BI952">
        <v>7</v>
      </c>
      <c r="BJ952" t="s">
        <v>2652</v>
      </c>
      <c r="BK952" t="s">
        <v>99</v>
      </c>
      <c r="BL952" t="s">
        <v>2653</v>
      </c>
      <c r="BM952" t="s">
        <v>18035</v>
      </c>
      <c r="BN952">
        <v>23990984</v>
      </c>
      <c r="BO952" t="s">
        <v>3000</v>
      </c>
      <c r="BP952" t="s">
        <v>74</v>
      </c>
      <c r="BQ952" t="s">
        <v>74</v>
      </c>
      <c r="BR952" t="s">
        <v>103</v>
      </c>
      <c r="BS952" t="s">
        <v>18036</v>
      </c>
      <c r="BT952" t="str">
        <f>HYPERLINK("https%3A%2F%2Fwww.webofscience.com%2Fwos%2Fwoscc%2Ffull-record%2FWOS:000324470100053","View Full Record in Web of Science")</f>
        <v>View Full Record in Web of Science</v>
      </c>
    </row>
    <row r="953" spans="1:72" x14ac:dyDescent="0.15">
      <c r="A953" t="s">
        <v>72</v>
      </c>
      <c r="B953" t="s">
        <v>18037</v>
      </c>
      <c r="C953" t="s">
        <v>74</v>
      </c>
      <c r="D953" t="s">
        <v>74</v>
      </c>
      <c r="E953" t="s">
        <v>74</v>
      </c>
      <c r="F953" t="s">
        <v>18038</v>
      </c>
      <c r="G953" t="s">
        <v>74</v>
      </c>
      <c r="H953" t="s">
        <v>74</v>
      </c>
      <c r="I953" t="s">
        <v>18039</v>
      </c>
      <c r="J953" t="s">
        <v>4072</v>
      </c>
      <c r="K953" t="s">
        <v>74</v>
      </c>
      <c r="L953" t="s">
        <v>74</v>
      </c>
      <c r="M953" t="s">
        <v>78</v>
      </c>
      <c r="N953" t="s">
        <v>79</v>
      </c>
      <c r="O953" t="s">
        <v>74</v>
      </c>
      <c r="P953" t="s">
        <v>74</v>
      </c>
      <c r="Q953" t="s">
        <v>74</v>
      </c>
      <c r="R953" t="s">
        <v>74</v>
      </c>
      <c r="S953" t="s">
        <v>74</v>
      </c>
      <c r="T953" t="s">
        <v>74</v>
      </c>
      <c r="U953" t="s">
        <v>18040</v>
      </c>
      <c r="V953" t="s">
        <v>18041</v>
      </c>
      <c r="W953" t="s">
        <v>18042</v>
      </c>
      <c r="X953" t="s">
        <v>18043</v>
      </c>
      <c r="Y953" t="s">
        <v>18044</v>
      </c>
      <c r="Z953" t="s">
        <v>6739</v>
      </c>
      <c r="AA953" t="s">
        <v>18045</v>
      </c>
      <c r="AB953" t="s">
        <v>74</v>
      </c>
      <c r="AC953" t="s">
        <v>18046</v>
      </c>
      <c r="AD953" t="s">
        <v>2609</v>
      </c>
      <c r="AE953" t="s">
        <v>18047</v>
      </c>
      <c r="AF953" t="s">
        <v>74</v>
      </c>
      <c r="AG953">
        <v>60</v>
      </c>
      <c r="AH953">
        <v>97</v>
      </c>
      <c r="AI953">
        <v>103</v>
      </c>
      <c r="AJ953">
        <v>4</v>
      </c>
      <c r="AK953">
        <v>117</v>
      </c>
      <c r="AL953" t="s">
        <v>4084</v>
      </c>
      <c r="AM953" t="s">
        <v>4085</v>
      </c>
      <c r="AN953" t="s">
        <v>4086</v>
      </c>
      <c r="AO953" t="s">
        <v>4087</v>
      </c>
      <c r="AP953" t="s">
        <v>74</v>
      </c>
      <c r="AQ953" t="s">
        <v>74</v>
      </c>
      <c r="AR953" t="s">
        <v>4072</v>
      </c>
      <c r="AS953" t="s">
        <v>4088</v>
      </c>
      <c r="AT953" t="s">
        <v>18032</v>
      </c>
      <c r="AU953">
        <v>2013</v>
      </c>
      <c r="AV953">
        <v>8</v>
      </c>
      <c r="AW953">
        <v>8</v>
      </c>
      <c r="AX953" t="s">
        <v>74</v>
      </c>
      <c r="AY953" t="s">
        <v>74</v>
      </c>
      <c r="AZ953" t="s">
        <v>74</v>
      </c>
      <c r="BA953" t="s">
        <v>74</v>
      </c>
      <c r="BB953" t="s">
        <v>74</v>
      </c>
      <c r="BC953" t="s">
        <v>74</v>
      </c>
      <c r="BD953" t="s">
        <v>18048</v>
      </c>
      <c r="BE953" t="s">
        <v>18049</v>
      </c>
      <c r="BF953" t="str">
        <f>HYPERLINK("http://dx.doi.org/10.1371/journal.pone.0072246","http://dx.doi.org/10.1371/journal.pone.0072246")</f>
        <v>http://dx.doi.org/10.1371/journal.pone.0072246</v>
      </c>
      <c r="BG953" t="s">
        <v>74</v>
      </c>
      <c r="BH953" t="s">
        <v>74</v>
      </c>
      <c r="BI953">
        <v>12</v>
      </c>
      <c r="BJ953" t="s">
        <v>2652</v>
      </c>
      <c r="BK953" t="s">
        <v>99</v>
      </c>
      <c r="BL953" t="s">
        <v>2653</v>
      </c>
      <c r="BM953" t="s">
        <v>18035</v>
      </c>
      <c r="BN953">
        <v>23991072</v>
      </c>
      <c r="BO953" t="s">
        <v>3614</v>
      </c>
      <c r="BP953" t="s">
        <v>74</v>
      </c>
      <c r="BQ953" t="s">
        <v>74</v>
      </c>
      <c r="BR953" t="s">
        <v>103</v>
      </c>
      <c r="BS953" t="s">
        <v>18050</v>
      </c>
      <c r="BT953" t="str">
        <f>HYPERLINK("https%3A%2F%2Fwww.webofscience.com%2Fwos%2Fwoscc%2Ffull-record%2FWOS:000324470100091","View Full Record in Web of Science")</f>
        <v>View Full Record in Web of Science</v>
      </c>
    </row>
    <row r="954" spans="1:72" x14ac:dyDescent="0.15">
      <c r="A954" t="s">
        <v>72</v>
      </c>
      <c r="B954" t="s">
        <v>18051</v>
      </c>
      <c r="C954" t="s">
        <v>74</v>
      </c>
      <c r="D954" t="s">
        <v>74</v>
      </c>
      <c r="E954" t="s">
        <v>74</v>
      </c>
      <c r="F954" t="s">
        <v>18052</v>
      </c>
      <c r="G954" t="s">
        <v>74</v>
      </c>
      <c r="H954" t="s">
        <v>74</v>
      </c>
      <c r="I954" t="s">
        <v>18053</v>
      </c>
      <c r="J954" t="s">
        <v>4072</v>
      </c>
      <c r="K954" t="s">
        <v>74</v>
      </c>
      <c r="L954" t="s">
        <v>74</v>
      </c>
      <c r="M954" t="s">
        <v>78</v>
      </c>
      <c r="N954" t="s">
        <v>79</v>
      </c>
      <c r="O954" t="s">
        <v>74</v>
      </c>
      <c r="P954" t="s">
        <v>74</v>
      </c>
      <c r="Q954" t="s">
        <v>74</v>
      </c>
      <c r="R954" t="s">
        <v>74</v>
      </c>
      <c r="S954" t="s">
        <v>74</v>
      </c>
      <c r="T954" t="s">
        <v>74</v>
      </c>
      <c r="U954" t="s">
        <v>18054</v>
      </c>
      <c r="V954" t="s">
        <v>18055</v>
      </c>
      <c r="W954" t="s">
        <v>18056</v>
      </c>
      <c r="X954" t="s">
        <v>18057</v>
      </c>
      <c r="Y954" t="s">
        <v>18058</v>
      </c>
      <c r="Z954" t="s">
        <v>18059</v>
      </c>
      <c r="AA954" t="s">
        <v>18060</v>
      </c>
      <c r="AB954" t="s">
        <v>18061</v>
      </c>
      <c r="AC954" t="s">
        <v>18062</v>
      </c>
      <c r="AD954" t="s">
        <v>18062</v>
      </c>
      <c r="AE954" t="s">
        <v>18063</v>
      </c>
      <c r="AF954" t="s">
        <v>74</v>
      </c>
      <c r="AG954">
        <v>62</v>
      </c>
      <c r="AH954">
        <v>16</v>
      </c>
      <c r="AI954">
        <v>16</v>
      </c>
      <c r="AJ954">
        <v>0</v>
      </c>
      <c r="AK954">
        <v>46</v>
      </c>
      <c r="AL954" t="s">
        <v>4084</v>
      </c>
      <c r="AM954" t="s">
        <v>4085</v>
      </c>
      <c r="AN954" t="s">
        <v>4086</v>
      </c>
      <c r="AO954" t="s">
        <v>4087</v>
      </c>
      <c r="AP954" t="s">
        <v>74</v>
      </c>
      <c r="AQ954" t="s">
        <v>74</v>
      </c>
      <c r="AR954" t="s">
        <v>4072</v>
      </c>
      <c r="AS954" t="s">
        <v>4088</v>
      </c>
      <c r="AT954" t="s">
        <v>18032</v>
      </c>
      <c r="AU954">
        <v>2013</v>
      </c>
      <c r="AV954">
        <v>8</v>
      </c>
      <c r="AW954">
        <v>8</v>
      </c>
      <c r="AX954" t="s">
        <v>74</v>
      </c>
      <c r="AY954" t="s">
        <v>74</v>
      </c>
      <c r="AZ954" t="s">
        <v>74</v>
      </c>
      <c r="BA954" t="s">
        <v>74</v>
      </c>
      <c r="BB954" t="s">
        <v>74</v>
      </c>
      <c r="BC954" t="s">
        <v>74</v>
      </c>
      <c r="BD954" t="s">
        <v>18064</v>
      </c>
      <c r="BE954" t="s">
        <v>18065</v>
      </c>
      <c r="BF954" t="str">
        <f>HYPERLINK("http://dx.doi.org/10.1371/journal.pone.0071052","http://dx.doi.org/10.1371/journal.pone.0071052")</f>
        <v>http://dx.doi.org/10.1371/journal.pone.0071052</v>
      </c>
      <c r="BG954" t="s">
        <v>74</v>
      </c>
      <c r="BH954" t="s">
        <v>74</v>
      </c>
      <c r="BI954">
        <v>7</v>
      </c>
      <c r="BJ954" t="s">
        <v>2652</v>
      </c>
      <c r="BK954" t="s">
        <v>99</v>
      </c>
      <c r="BL954" t="s">
        <v>2653</v>
      </c>
      <c r="BM954" t="s">
        <v>18035</v>
      </c>
      <c r="BN954">
        <v>23990925</v>
      </c>
      <c r="BO954" t="s">
        <v>1304</v>
      </c>
      <c r="BP954" t="s">
        <v>74</v>
      </c>
      <c r="BQ954" t="s">
        <v>74</v>
      </c>
      <c r="BR954" t="s">
        <v>103</v>
      </c>
      <c r="BS954" t="s">
        <v>18066</v>
      </c>
      <c r="BT954" t="str">
        <f>HYPERLINK("https%3A%2F%2Fwww.webofscience.com%2Fwos%2Fwoscc%2Ffull-record%2FWOS:000324470100037","View Full Record in Web of Science")</f>
        <v>View Full Record in Web of Science</v>
      </c>
    </row>
    <row r="955" spans="1:72" x14ac:dyDescent="0.15">
      <c r="A955" t="s">
        <v>72</v>
      </c>
      <c r="B955" t="s">
        <v>18067</v>
      </c>
      <c r="C955" t="s">
        <v>74</v>
      </c>
      <c r="D955" t="s">
        <v>74</v>
      </c>
      <c r="E955" t="s">
        <v>74</v>
      </c>
      <c r="F955" t="s">
        <v>18068</v>
      </c>
      <c r="G955" t="s">
        <v>74</v>
      </c>
      <c r="H955" t="s">
        <v>74</v>
      </c>
      <c r="I955" t="s">
        <v>18069</v>
      </c>
      <c r="J955" t="s">
        <v>4072</v>
      </c>
      <c r="K955" t="s">
        <v>74</v>
      </c>
      <c r="L955" t="s">
        <v>74</v>
      </c>
      <c r="M955" t="s">
        <v>78</v>
      </c>
      <c r="N955" t="s">
        <v>79</v>
      </c>
      <c r="O955" t="s">
        <v>74</v>
      </c>
      <c r="P955" t="s">
        <v>74</v>
      </c>
      <c r="Q955" t="s">
        <v>74</v>
      </c>
      <c r="R955" t="s">
        <v>74</v>
      </c>
      <c r="S955" t="s">
        <v>74</v>
      </c>
      <c r="T955" t="s">
        <v>74</v>
      </c>
      <c r="U955" t="s">
        <v>18070</v>
      </c>
      <c r="V955" t="s">
        <v>18071</v>
      </c>
      <c r="W955" t="s">
        <v>18072</v>
      </c>
      <c r="X955" t="s">
        <v>18073</v>
      </c>
      <c r="Y955" t="s">
        <v>18074</v>
      </c>
      <c r="Z955" t="s">
        <v>18075</v>
      </c>
      <c r="AA955" t="s">
        <v>18076</v>
      </c>
      <c r="AB955" t="s">
        <v>18077</v>
      </c>
      <c r="AC955" t="s">
        <v>18078</v>
      </c>
      <c r="AD955" t="s">
        <v>18079</v>
      </c>
      <c r="AE955" t="s">
        <v>18080</v>
      </c>
      <c r="AF955" t="s">
        <v>74</v>
      </c>
      <c r="AG955">
        <v>118</v>
      </c>
      <c r="AH955">
        <v>54</v>
      </c>
      <c r="AI955">
        <v>57</v>
      </c>
      <c r="AJ955">
        <v>0</v>
      </c>
      <c r="AK955">
        <v>37</v>
      </c>
      <c r="AL955" t="s">
        <v>4084</v>
      </c>
      <c r="AM955" t="s">
        <v>4085</v>
      </c>
      <c r="AN955" t="s">
        <v>4086</v>
      </c>
      <c r="AO955" t="s">
        <v>4087</v>
      </c>
      <c r="AP955" t="s">
        <v>74</v>
      </c>
      <c r="AQ955" t="s">
        <v>74</v>
      </c>
      <c r="AR955" t="s">
        <v>4072</v>
      </c>
      <c r="AS955" t="s">
        <v>4088</v>
      </c>
      <c r="AT955" t="s">
        <v>18032</v>
      </c>
      <c r="AU955">
        <v>2013</v>
      </c>
      <c r="AV955">
        <v>8</v>
      </c>
      <c r="AW955">
        <v>8</v>
      </c>
      <c r="AX955" t="s">
        <v>74</v>
      </c>
      <c r="AY955" t="s">
        <v>74</v>
      </c>
      <c r="AZ955" t="s">
        <v>74</v>
      </c>
      <c r="BA955" t="s">
        <v>74</v>
      </c>
      <c r="BB955" t="s">
        <v>74</v>
      </c>
      <c r="BC955" t="s">
        <v>74</v>
      </c>
      <c r="BD955" t="s">
        <v>18081</v>
      </c>
      <c r="BE955" t="s">
        <v>18082</v>
      </c>
      <c r="BF955" t="str">
        <f>HYPERLINK("http://dx.doi.org/10.1371/journal.pone.0071609","http://dx.doi.org/10.1371/journal.pone.0071609")</f>
        <v>http://dx.doi.org/10.1371/journal.pone.0071609</v>
      </c>
      <c r="BG955" t="s">
        <v>74</v>
      </c>
      <c r="BH955" t="s">
        <v>74</v>
      </c>
      <c r="BI955">
        <v>20</v>
      </c>
      <c r="BJ955" t="s">
        <v>2652</v>
      </c>
      <c r="BK955" t="s">
        <v>99</v>
      </c>
      <c r="BL955" t="s">
        <v>2653</v>
      </c>
      <c r="BM955" t="s">
        <v>18035</v>
      </c>
      <c r="BN955">
        <v>23990964</v>
      </c>
      <c r="BO955" t="s">
        <v>18083</v>
      </c>
      <c r="BP955" t="s">
        <v>74</v>
      </c>
      <c r="BQ955" t="s">
        <v>74</v>
      </c>
      <c r="BR955" t="s">
        <v>103</v>
      </c>
      <c r="BS955" t="s">
        <v>18084</v>
      </c>
      <c r="BT955" t="str">
        <f>HYPERLINK("https%3A%2F%2Fwww.webofscience.com%2Fwos%2Fwoscc%2Ffull-record%2FWOS:000324470100050","View Full Record in Web of Science")</f>
        <v>View Full Record in Web of Science</v>
      </c>
    </row>
    <row r="956" spans="1:72" x14ac:dyDescent="0.15">
      <c r="A956" t="s">
        <v>72</v>
      </c>
      <c r="B956" t="s">
        <v>18085</v>
      </c>
      <c r="C956" t="s">
        <v>74</v>
      </c>
      <c r="D956" t="s">
        <v>74</v>
      </c>
      <c r="E956" t="s">
        <v>74</v>
      </c>
      <c r="F956" t="s">
        <v>18086</v>
      </c>
      <c r="G956" t="s">
        <v>74</v>
      </c>
      <c r="H956" t="s">
        <v>74</v>
      </c>
      <c r="I956" t="s">
        <v>18087</v>
      </c>
      <c r="J956" t="s">
        <v>4267</v>
      </c>
      <c r="K956" t="s">
        <v>74</v>
      </c>
      <c r="L956" t="s">
        <v>74</v>
      </c>
      <c r="M956" t="s">
        <v>78</v>
      </c>
      <c r="N956" t="s">
        <v>79</v>
      </c>
      <c r="O956" t="s">
        <v>74</v>
      </c>
      <c r="P956" t="s">
        <v>74</v>
      </c>
      <c r="Q956" t="s">
        <v>74</v>
      </c>
      <c r="R956" t="s">
        <v>74</v>
      </c>
      <c r="S956" t="s">
        <v>74</v>
      </c>
      <c r="T956" t="s">
        <v>74</v>
      </c>
      <c r="U956" t="s">
        <v>18088</v>
      </c>
      <c r="V956" t="s">
        <v>18089</v>
      </c>
      <c r="W956" t="s">
        <v>18090</v>
      </c>
      <c r="X956" t="s">
        <v>18091</v>
      </c>
      <c r="Y956" t="s">
        <v>18092</v>
      </c>
      <c r="Z956" t="s">
        <v>18093</v>
      </c>
      <c r="AA956" t="s">
        <v>18094</v>
      </c>
      <c r="AB956" t="s">
        <v>18095</v>
      </c>
      <c r="AC956" t="s">
        <v>3466</v>
      </c>
      <c r="AD956" t="s">
        <v>18096</v>
      </c>
      <c r="AE956" t="s">
        <v>18097</v>
      </c>
      <c r="AF956" t="s">
        <v>74</v>
      </c>
      <c r="AG956">
        <v>41</v>
      </c>
      <c r="AH956">
        <v>55</v>
      </c>
      <c r="AI956">
        <v>62</v>
      </c>
      <c r="AJ956">
        <v>3</v>
      </c>
      <c r="AK956">
        <v>75</v>
      </c>
      <c r="AL956" t="s">
        <v>4279</v>
      </c>
      <c r="AM956" t="s">
        <v>808</v>
      </c>
      <c r="AN956" t="s">
        <v>4280</v>
      </c>
      <c r="AO956" t="s">
        <v>4281</v>
      </c>
      <c r="AP956" t="s">
        <v>4282</v>
      </c>
      <c r="AQ956" t="s">
        <v>74</v>
      </c>
      <c r="AR956" t="s">
        <v>4283</v>
      </c>
      <c r="AS956" t="s">
        <v>4284</v>
      </c>
      <c r="AT956" t="s">
        <v>18098</v>
      </c>
      <c r="AU956">
        <v>2013</v>
      </c>
      <c r="AV956">
        <v>47</v>
      </c>
      <c r="AW956">
        <v>16</v>
      </c>
      <c r="AX956" t="s">
        <v>74</v>
      </c>
      <c r="AY956" t="s">
        <v>74</v>
      </c>
      <c r="AZ956" t="s">
        <v>74</v>
      </c>
      <c r="BA956" t="s">
        <v>74</v>
      </c>
      <c r="BB956">
        <v>9404</v>
      </c>
      <c r="BC956">
        <v>9413</v>
      </c>
      <c r="BD956" t="s">
        <v>74</v>
      </c>
      <c r="BE956" t="s">
        <v>18099</v>
      </c>
      <c r="BF956" t="str">
        <f>HYPERLINK("http://dx.doi.org/10.1021/es401441n","http://dx.doi.org/10.1021/es401441n")</f>
        <v>http://dx.doi.org/10.1021/es401441n</v>
      </c>
      <c r="BG956" t="s">
        <v>74</v>
      </c>
      <c r="BH956" t="s">
        <v>74</v>
      </c>
      <c r="BI956">
        <v>10</v>
      </c>
      <c r="BJ956" t="s">
        <v>4286</v>
      </c>
      <c r="BK956" t="s">
        <v>99</v>
      </c>
      <c r="BL956" t="s">
        <v>4287</v>
      </c>
      <c r="BM956" t="s">
        <v>18100</v>
      </c>
      <c r="BN956">
        <v>23859482</v>
      </c>
      <c r="BO956" t="s">
        <v>74</v>
      </c>
      <c r="BP956" t="s">
        <v>74</v>
      </c>
      <c r="BQ956" t="s">
        <v>74</v>
      </c>
      <c r="BR956" t="s">
        <v>103</v>
      </c>
      <c r="BS956" t="s">
        <v>18101</v>
      </c>
      <c r="BT956" t="str">
        <f>HYPERLINK("https%3A%2F%2Fwww.webofscience.com%2Fwos%2Fwoscc%2Ffull-record%2FWOS:000323471700051","View Full Record in Web of Science")</f>
        <v>View Full Record in Web of Science</v>
      </c>
    </row>
    <row r="957" spans="1:72" x14ac:dyDescent="0.15">
      <c r="A957" t="s">
        <v>72</v>
      </c>
      <c r="B957" t="s">
        <v>18102</v>
      </c>
      <c r="C957" t="s">
        <v>74</v>
      </c>
      <c r="D957" t="s">
        <v>74</v>
      </c>
      <c r="E957" t="s">
        <v>74</v>
      </c>
      <c r="F957" t="s">
        <v>18103</v>
      </c>
      <c r="G957" t="s">
        <v>74</v>
      </c>
      <c r="H957" t="s">
        <v>74</v>
      </c>
      <c r="I957" t="s">
        <v>18104</v>
      </c>
      <c r="J957" t="s">
        <v>4193</v>
      </c>
      <c r="K957" t="s">
        <v>74</v>
      </c>
      <c r="L957" t="s">
        <v>74</v>
      </c>
      <c r="M957" t="s">
        <v>78</v>
      </c>
      <c r="N957" t="s">
        <v>79</v>
      </c>
      <c r="O957" t="s">
        <v>74</v>
      </c>
      <c r="P957" t="s">
        <v>74</v>
      </c>
      <c r="Q957" t="s">
        <v>74</v>
      </c>
      <c r="R957" t="s">
        <v>74</v>
      </c>
      <c r="S957" t="s">
        <v>74</v>
      </c>
      <c r="T957" t="s">
        <v>18105</v>
      </c>
      <c r="U957" t="s">
        <v>18106</v>
      </c>
      <c r="V957" t="s">
        <v>18107</v>
      </c>
      <c r="W957" t="s">
        <v>18108</v>
      </c>
      <c r="X957" t="s">
        <v>18109</v>
      </c>
      <c r="Y957" t="s">
        <v>18110</v>
      </c>
      <c r="Z957" t="s">
        <v>74</v>
      </c>
      <c r="AA957" t="s">
        <v>11116</v>
      </c>
      <c r="AB957" t="s">
        <v>11117</v>
      </c>
      <c r="AC957" t="s">
        <v>18111</v>
      </c>
      <c r="AD957" t="s">
        <v>18112</v>
      </c>
      <c r="AE957" t="s">
        <v>18113</v>
      </c>
      <c r="AF957" t="s">
        <v>74</v>
      </c>
      <c r="AG957">
        <v>31</v>
      </c>
      <c r="AH957">
        <v>55</v>
      </c>
      <c r="AI957">
        <v>59</v>
      </c>
      <c r="AJ957">
        <v>0</v>
      </c>
      <c r="AK957">
        <v>4</v>
      </c>
      <c r="AL957" t="s">
        <v>4206</v>
      </c>
      <c r="AM957" t="s">
        <v>4207</v>
      </c>
      <c r="AN957" t="s">
        <v>4208</v>
      </c>
      <c r="AO957" t="s">
        <v>4209</v>
      </c>
      <c r="AP957" t="s">
        <v>74</v>
      </c>
      <c r="AQ957" t="s">
        <v>74</v>
      </c>
      <c r="AR957" t="s">
        <v>4211</v>
      </c>
      <c r="AS957" t="s">
        <v>4212</v>
      </c>
      <c r="AT957" t="s">
        <v>18098</v>
      </c>
      <c r="AU957">
        <v>2013</v>
      </c>
      <c r="AV957">
        <v>773</v>
      </c>
      <c r="AW957">
        <v>2</v>
      </c>
      <c r="AX957" t="s">
        <v>74</v>
      </c>
      <c r="AY957" t="s">
        <v>74</v>
      </c>
      <c r="AZ957" t="s">
        <v>74</v>
      </c>
      <c r="BA957" t="s">
        <v>74</v>
      </c>
      <c r="BB957" t="s">
        <v>74</v>
      </c>
      <c r="BC957" t="s">
        <v>74</v>
      </c>
      <c r="BD957" t="s">
        <v>18114</v>
      </c>
      <c r="BE957" t="s">
        <v>18115</v>
      </c>
      <c r="BF957" t="str">
        <f>HYPERLINK("http://dx.doi.org/10.1088/2041-8205/773/2/L20","http://dx.doi.org/10.1088/2041-8205/773/2/L20")</f>
        <v>http://dx.doi.org/10.1088/2041-8205/773/2/L20</v>
      </c>
      <c r="BG957" t="s">
        <v>74</v>
      </c>
      <c r="BH957" t="s">
        <v>74</v>
      </c>
      <c r="BI957">
        <v>5</v>
      </c>
      <c r="BJ957" t="s">
        <v>1705</v>
      </c>
      <c r="BK957" t="s">
        <v>99</v>
      </c>
      <c r="BL957" t="s">
        <v>1705</v>
      </c>
      <c r="BM957" t="s">
        <v>18116</v>
      </c>
      <c r="BN957" t="s">
        <v>74</v>
      </c>
      <c r="BO957" t="s">
        <v>1733</v>
      </c>
      <c r="BP957" t="s">
        <v>74</v>
      </c>
      <c r="BQ957" t="s">
        <v>74</v>
      </c>
      <c r="BR957" t="s">
        <v>103</v>
      </c>
      <c r="BS957" t="s">
        <v>18117</v>
      </c>
      <c r="BT957" t="str">
        <f>HYPERLINK("https%3A%2F%2Fwww.webofscience.com%2Fwos%2Fwoscc%2Ffull-record%2FWOS:000322899600003","View Full Record in Web of Science")</f>
        <v>View Full Record in Web of Science</v>
      </c>
    </row>
    <row r="958" spans="1:72" x14ac:dyDescent="0.15">
      <c r="A958" t="s">
        <v>72</v>
      </c>
      <c r="B958" t="s">
        <v>18118</v>
      </c>
      <c r="C958" t="s">
        <v>74</v>
      </c>
      <c r="D958" t="s">
        <v>74</v>
      </c>
      <c r="E958" t="s">
        <v>74</v>
      </c>
      <c r="F958" t="s">
        <v>18119</v>
      </c>
      <c r="G958" t="s">
        <v>74</v>
      </c>
      <c r="H958" t="s">
        <v>74</v>
      </c>
      <c r="I958" t="s">
        <v>18120</v>
      </c>
      <c r="J958" t="s">
        <v>4311</v>
      </c>
      <c r="K958" t="s">
        <v>74</v>
      </c>
      <c r="L958" t="s">
        <v>74</v>
      </c>
      <c r="M958" t="s">
        <v>78</v>
      </c>
      <c r="N958" t="s">
        <v>79</v>
      </c>
      <c r="O958" t="s">
        <v>74</v>
      </c>
      <c r="P958" t="s">
        <v>74</v>
      </c>
      <c r="Q958" t="s">
        <v>74</v>
      </c>
      <c r="R958" t="s">
        <v>74</v>
      </c>
      <c r="S958" t="s">
        <v>74</v>
      </c>
      <c r="T958" t="s">
        <v>18121</v>
      </c>
      <c r="U958" t="s">
        <v>18122</v>
      </c>
      <c r="V958" t="s">
        <v>18123</v>
      </c>
      <c r="W958" t="s">
        <v>18124</v>
      </c>
      <c r="X958" t="s">
        <v>18125</v>
      </c>
      <c r="Y958" t="s">
        <v>18126</v>
      </c>
      <c r="Z958" t="s">
        <v>18127</v>
      </c>
      <c r="AA958" t="s">
        <v>18128</v>
      </c>
      <c r="AB958" t="s">
        <v>18129</v>
      </c>
      <c r="AC958" t="s">
        <v>18130</v>
      </c>
      <c r="AD958" t="s">
        <v>18131</v>
      </c>
      <c r="AE958" t="s">
        <v>18132</v>
      </c>
      <c r="AF958" t="s">
        <v>74</v>
      </c>
      <c r="AG958">
        <v>73</v>
      </c>
      <c r="AH958">
        <v>191</v>
      </c>
      <c r="AI958">
        <v>211</v>
      </c>
      <c r="AJ958">
        <v>2</v>
      </c>
      <c r="AK958">
        <v>170</v>
      </c>
      <c r="AL958" t="s">
        <v>4318</v>
      </c>
      <c r="AM958" t="s">
        <v>808</v>
      </c>
      <c r="AN958" t="s">
        <v>4319</v>
      </c>
      <c r="AO958" t="s">
        <v>4320</v>
      </c>
      <c r="AP958" t="s">
        <v>74</v>
      </c>
      <c r="AQ958" t="s">
        <v>74</v>
      </c>
      <c r="AR958" t="s">
        <v>4321</v>
      </c>
      <c r="AS958" t="s">
        <v>4322</v>
      </c>
      <c r="AT958" t="s">
        <v>18098</v>
      </c>
      <c r="AU958">
        <v>2013</v>
      </c>
      <c r="AV958">
        <v>110</v>
      </c>
      <c r="AW958">
        <v>34</v>
      </c>
      <c r="AX958" t="s">
        <v>74</v>
      </c>
      <c r="AY958" t="s">
        <v>74</v>
      </c>
      <c r="AZ958" t="s">
        <v>74</v>
      </c>
      <c r="BA958" t="s">
        <v>74</v>
      </c>
      <c r="BB958">
        <v>13745</v>
      </c>
      <c r="BC958">
        <v>13750</v>
      </c>
      <c r="BD958" t="s">
        <v>74</v>
      </c>
      <c r="BE958" t="s">
        <v>18133</v>
      </c>
      <c r="BF958" t="str">
        <f>HYPERLINK("http://dx.doi.org/10.1073/pnas.1219414110","http://dx.doi.org/10.1073/pnas.1219414110")</f>
        <v>http://dx.doi.org/10.1073/pnas.1219414110</v>
      </c>
      <c r="BG958" t="s">
        <v>74</v>
      </c>
      <c r="BH958" t="s">
        <v>74</v>
      </c>
      <c r="BI958">
        <v>6</v>
      </c>
      <c r="BJ958" t="s">
        <v>2652</v>
      </c>
      <c r="BK958" t="s">
        <v>99</v>
      </c>
      <c r="BL958" t="s">
        <v>2653</v>
      </c>
      <c r="BM958" t="s">
        <v>18134</v>
      </c>
      <c r="BN958">
        <v>23858443</v>
      </c>
      <c r="BO958" t="s">
        <v>1381</v>
      </c>
      <c r="BP958" t="s">
        <v>74</v>
      </c>
      <c r="BQ958" t="s">
        <v>74</v>
      </c>
      <c r="BR958" t="s">
        <v>103</v>
      </c>
      <c r="BS958" t="s">
        <v>18135</v>
      </c>
      <c r="BT958" t="str">
        <f>HYPERLINK("https%3A%2F%2Fwww.webofscience.com%2Fwos%2Fwoscc%2Ffull-record%2FWOS:000323271400028","View Full Record in Web of Science")</f>
        <v>View Full Record in Web of Science</v>
      </c>
    </row>
    <row r="959" spans="1:72" x14ac:dyDescent="0.15">
      <c r="A959" t="s">
        <v>72</v>
      </c>
      <c r="B959" t="s">
        <v>18136</v>
      </c>
      <c r="C959" t="s">
        <v>74</v>
      </c>
      <c r="D959" t="s">
        <v>74</v>
      </c>
      <c r="E959" t="s">
        <v>74</v>
      </c>
      <c r="F959" t="s">
        <v>18137</v>
      </c>
      <c r="G959" t="s">
        <v>74</v>
      </c>
      <c r="H959" t="s">
        <v>74</v>
      </c>
      <c r="I959" t="s">
        <v>18138</v>
      </c>
      <c r="J959" t="s">
        <v>4072</v>
      </c>
      <c r="K959" t="s">
        <v>74</v>
      </c>
      <c r="L959" t="s">
        <v>74</v>
      </c>
      <c r="M959" t="s">
        <v>78</v>
      </c>
      <c r="N959" t="s">
        <v>79</v>
      </c>
      <c r="O959" t="s">
        <v>74</v>
      </c>
      <c r="P959" t="s">
        <v>74</v>
      </c>
      <c r="Q959" t="s">
        <v>74</v>
      </c>
      <c r="R959" t="s">
        <v>74</v>
      </c>
      <c r="S959" t="s">
        <v>74</v>
      </c>
      <c r="T959" t="s">
        <v>74</v>
      </c>
      <c r="U959" t="s">
        <v>18139</v>
      </c>
      <c r="V959" t="s">
        <v>18140</v>
      </c>
      <c r="W959" t="s">
        <v>18141</v>
      </c>
      <c r="X959" t="s">
        <v>18142</v>
      </c>
      <c r="Y959" t="s">
        <v>18143</v>
      </c>
      <c r="Z959" t="s">
        <v>18144</v>
      </c>
      <c r="AA959" t="s">
        <v>18145</v>
      </c>
      <c r="AB959" t="s">
        <v>18146</v>
      </c>
      <c r="AC959" t="s">
        <v>18147</v>
      </c>
      <c r="AD959" t="s">
        <v>18148</v>
      </c>
      <c r="AE959" t="s">
        <v>18149</v>
      </c>
      <c r="AF959" t="s">
        <v>74</v>
      </c>
      <c r="AG959">
        <v>63</v>
      </c>
      <c r="AH959">
        <v>18</v>
      </c>
      <c r="AI959">
        <v>18</v>
      </c>
      <c r="AJ959">
        <v>0</v>
      </c>
      <c r="AK959">
        <v>48</v>
      </c>
      <c r="AL959" t="s">
        <v>4084</v>
      </c>
      <c r="AM959" t="s">
        <v>4085</v>
      </c>
      <c r="AN959" t="s">
        <v>4086</v>
      </c>
      <c r="AO959" t="s">
        <v>4087</v>
      </c>
      <c r="AP959" t="s">
        <v>74</v>
      </c>
      <c r="AQ959" t="s">
        <v>74</v>
      </c>
      <c r="AR959" t="s">
        <v>4072</v>
      </c>
      <c r="AS959" t="s">
        <v>4088</v>
      </c>
      <c r="AT959" t="s">
        <v>18150</v>
      </c>
      <c r="AU959">
        <v>2013</v>
      </c>
      <c r="AV959">
        <v>8</v>
      </c>
      <c r="AW959">
        <v>8</v>
      </c>
      <c r="AX959" t="s">
        <v>74</v>
      </c>
      <c r="AY959" t="s">
        <v>74</v>
      </c>
      <c r="AZ959" t="s">
        <v>74</v>
      </c>
      <c r="BA959" t="s">
        <v>74</v>
      </c>
      <c r="BB959" t="s">
        <v>74</v>
      </c>
      <c r="BC959" t="s">
        <v>74</v>
      </c>
      <c r="BD959" t="s">
        <v>18151</v>
      </c>
      <c r="BE959" t="s">
        <v>18152</v>
      </c>
      <c r="BF959" t="str">
        <f>HYPERLINK("http://dx.doi.org/10.1371/journal.pone.0072165","http://dx.doi.org/10.1371/journal.pone.0072165")</f>
        <v>http://dx.doi.org/10.1371/journal.pone.0072165</v>
      </c>
      <c r="BG959" t="s">
        <v>74</v>
      </c>
      <c r="BH959" t="s">
        <v>74</v>
      </c>
      <c r="BI959">
        <v>13</v>
      </c>
      <c r="BJ959" t="s">
        <v>2652</v>
      </c>
      <c r="BK959" t="s">
        <v>99</v>
      </c>
      <c r="BL959" t="s">
        <v>2653</v>
      </c>
      <c r="BM959" t="s">
        <v>18153</v>
      </c>
      <c r="BN959">
        <v>23977242</v>
      </c>
      <c r="BO959" t="s">
        <v>1304</v>
      </c>
      <c r="BP959" t="s">
        <v>74</v>
      </c>
      <c r="BQ959" t="s">
        <v>74</v>
      </c>
      <c r="BR959" t="s">
        <v>103</v>
      </c>
      <c r="BS959" t="s">
        <v>18154</v>
      </c>
      <c r="BT959" t="str">
        <f>HYPERLINK("https%3A%2F%2Fwww.webofscience.com%2Fwos%2Fwoscc%2Ffull-record%2FWOS:000323425700145","View Full Record in Web of Science")</f>
        <v>View Full Record in Web of Science</v>
      </c>
    </row>
    <row r="960" spans="1:72" x14ac:dyDescent="0.15">
      <c r="A960" t="s">
        <v>72</v>
      </c>
      <c r="B960" t="s">
        <v>18155</v>
      </c>
      <c r="C960" t="s">
        <v>74</v>
      </c>
      <c r="D960" t="s">
        <v>74</v>
      </c>
      <c r="E960" t="s">
        <v>74</v>
      </c>
      <c r="F960" t="s">
        <v>18156</v>
      </c>
      <c r="G960" t="s">
        <v>74</v>
      </c>
      <c r="H960" t="s">
        <v>74</v>
      </c>
      <c r="I960" t="s">
        <v>18157</v>
      </c>
      <c r="J960" t="s">
        <v>4346</v>
      </c>
      <c r="K960" t="s">
        <v>74</v>
      </c>
      <c r="L960" t="s">
        <v>74</v>
      </c>
      <c r="M960" t="s">
        <v>78</v>
      </c>
      <c r="N960" t="s">
        <v>79</v>
      </c>
      <c r="O960" t="s">
        <v>74</v>
      </c>
      <c r="P960" t="s">
        <v>74</v>
      </c>
      <c r="Q960" t="s">
        <v>74</v>
      </c>
      <c r="R960" t="s">
        <v>74</v>
      </c>
      <c r="S960" t="s">
        <v>74</v>
      </c>
      <c r="T960" t="s">
        <v>18158</v>
      </c>
      <c r="U960" t="s">
        <v>18159</v>
      </c>
      <c r="V960" t="s">
        <v>18160</v>
      </c>
      <c r="W960" t="s">
        <v>18161</v>
      </c>
      <c r="X960" t="s">
        <v>18162</v>
      </c>
      <c r="Y960" t="s">
        <v>18163</v>
      </c>
      <c r="Z960" t="s">
        <v>18164</v>
      </c>
      <c r="AA960" t="s">
        <v>18165</v>
      </c>
      <c r="AB960" t="s">
        <v>18166</v>
      </c>
      <c r="AC960" t="s">
        <v>18167</v>
      </c>
      <c r="AD960" t="s">
        <v>18168</v>
      </c>
      <c r="AE960" t="s">
        <v>18169</v>
      </c>
      <c r="AF960" t="s">
        <v>74</v>
      </c>
      <c r="AG960">
        <v>39</v>
      </c>
      <c r="AH960">
        <v>33</v>
      </c>
      <c r="AI960">
        <v>34</v>
      </c>
      <c r="AJ960">
        <v>2</v>
      </c>
      <c r="AK960">
        <v>27</v>
      </c>
      <c r="AL960" t="s">
        <v>1606</v>
      </c>
      <c r="AM960" t="s">
        <v>808</v>
      </c>
      <c r="AN960" t="s">
        <v>1607</v>
      </c>
      <c r="AO960" t="s">
        <v>4357</v>
      </c>
      <c r="AP960" t="s">
        <v>74</v>
      </c>
      <c r="AQ960" t="s">
        <v>74</v>
      </c>
      <c r="AR960" t="s">
        <v>4359</v>
      </c>
      <c r="AS960" t="s">
        <v>4360</v>
      </c>
      <c r="AT960" t="s">
        <v>18170</v>
      </c>
      <c r="AU960">
        <v>2013</v>
      </c>
      <c r="AV960">
        <v>118</v>
      </c>
      <c r="AW960">
        <v>15</v>
      </c>
      <c r="AX960" t="s">
        <v>74</v>
      </c>
      <c r="AY960" t="s">
        <v>74</v>
      </c>
      <c r="AZ960" t="s">
        <v>74</v>
      </c>
      <c r="BA960" t="s">
        <v>74</v>
      </c>
      <c r="BB960">
        <v>8346</v>
      </c>
      <c r="BC960">
        <v>8358</v>
      </c>
      <c r="BD960" t="s">
        <v>74</v>
      </c>
      <c r="BE960" t="s">
        <v>18171</v>
      </c>
      <c r="BF960" t="str">
        <f>HYPERLINK("http://dx.doi.org/10.1002/jgrd.50651","http://dx.doi.org/10.1002/jgrd.50651")</f>
        <v>http://dx.doi.org/10.1002/jgrd.50651</v>
      </c>
      <c r="BG960" t="s">
        <v>74</v>
      </c>
      <c r="BH960" t="s">
        <v>74</v>
      </c>
      <c r="BI960">
        <v>13</v>
      </c>
      <c r="BJ960" t="s">
        <v>1503</v>
      </c>
      <c r="BK960" t="s">
        <v>99</v>
      </c>
      <c r="BL960" t="s">
        <v>1503</v>
      </c>
      <c r="BM960" t="s">
        <v>18172</v>
      </c>
      <c r="BN960" t="s">
        <v>74</v>
      </c>
      <c r="BO960" t="s">
        <v>475</v>
      </c>
      <c r="BP960" t="s">
        <v>74</v>
      </c>
      <c r="BQ960" t="s">
        <v>74</v>
      </c>
      <c r="BR960" t="s">
        <v>103</v>
      </c>
      <c r="BS960" t="s">
        <v>18173</v>
      </c>
      <c r="BT960" t="str">
        <f>HYPERLINK("https%3A%2F%2Fwww.webofscience.com%2Fwos%2Fwoscc%2Ffull-record%2FWOS:000324032900017","View Full Record in Web of Science")</f>
        <v>View Full Record in Web of Science</v>
      </c>
    </row>
    <row r="961" spans="1:72" x14ac:dyDescent="0.15">
      <c r="A961" t="s">
        <v>72</v>
      </c>
      <c r="B961" t="s">
        <v>18174</v>
      </c>
      <c r="C961" t="s">
        <v>74</v>
      </c>
      <c r="D961" t="s">
        <v>74</v>
      </c>
      <c r="E961" t="s">
        <v>74</v>
      </c>
      <c r="F961" t="s">
        <v>18175</v>
      </c>
      <c r="G961" t="s">
        <v>74</v>
      </c>
      <c r="H961" t="s">
        <v>74</v>
      </c>
      <c r="I961" t="s">
        <v>18176</v>
      </c>
      <c r="J961" t="s">
        <v>8334</v>
      </c>
      <c r="K961" t="s">
        <v>74</v>
      </c>
      <c r="L961" t="s">
        <v>74</v>
      </c>
      <c r="M961" t="s">
        <v>78</v>
      </c>
      <c r="N961" t="s">
        <v>79</v>
      </c>
      <c r="O961" t="s">
        <v>74</v>
      </c>
      <c r="P961" t="s">
        <v>74</v>
      </c>
      <c r="Q961" t="s">
        <v>74</v>
      </c>
      <c r="R961" t="s">
        <v>74</v>
      </c>
      <c r="S961" t="s">
        <v>74</v>
      </c>
      <c r="T961" t="s">
        <v>18177</v>
      </c>
      <c r="U961" t="s">
        <v>18178</v>
      </c>
      <c r="V961" t="s">
        <v>18179</v>
      </c>
      <c r="W961" t="s">
        <v>18180</v>
      </c>
      <c r="X961" t="s">
        <v>18181</v>
      </c>
      <c r="Y961" t="s">
        <v>18182</v>
      </c>
      <c r="Z961" t="s">
        <v>18183</v>
      </c>
      <c r="AA961" t="s">
        <v>18184</v>
      </c>
      <c r="AB961" t="s">
        <v>18185</v>
      </c>
      <c r="AC961" t="s">
        <v>18186</v>
      </c>
      <c r="AD961" t="s">
        <v>18187</v>
      </c>
      <c r="AE961" t="s">
        <v>18188</v>
      </c>
      <c r="AF961" t="s">
        <v>74</v>
      </c>
      <c r="AG961">
        <v>53</v>
      </c>
      <c r="AH961">
        <v>21</v>
      </c>
      <c r="AI961">
        <v>21</v>
      </c>
      <c r="AJ961">
        <v>0</v>
      </c>
      <c r="AK961">
        <v>8</v>
      </c>
      <c r="AL961" t="s">
        <v>582</v>
      </c>
      <c r="AM961" t="s">
        <v>305</v>
      </c>
      <c r="AN961" t="s">
        <v>583</v>
      </c>
      <c r="AO961" t="s">
        <v>8347</v>
      </c>
      <c r="AP961" t="s">
        <v>8348</v>
      </c>
      <c r="AQ961" t="s">
        <v>74</v>
      </c>
      <c r="AR961" t="s">
        <v>8349</v>
      </c>
      <c r="AS961" t="s">
        <v>8350</v>
      </c>
      <c r="AT961" t="s">
        <v>18170</v>
      </c>
      <c r="AU961">
        <v>2013</v>
      </c>
      <c r="AV961">
        <v>352</v>
      </c>
      <c r="AW961" t="s">
        <v>74</v>
      </c>
      <c r="AX961" t="s">
        <v>74</v>
      </c>
      <c r="AY961" t="s">
        <v>74</v>
      </c>
      <c r="AZ961" t="s">
        <v>74</v>
      </c>
      <c r="BA961" t="s">
        <v>74</v>
      </c>
      <c r="BB961">
        <v>176</v>
      </c>
      <c r="BC961">
        <v>187</v>
      </c>
      <c r="BD961" t="s">
        <v>74</v>
      </c>
      <c r="BE961" t="s">
        <v>18189</v>
      </c>
      <c r="BF961" t="str">
        <f>HYPERLINK("http://dx.doi.org/10.1016/j.chemgeo.2013.06.005","http://dx.doi.org/10.1016/j.chemgeo.2013.06.005")</f>
        <v>http://dx.doi.org/10.1016/j.chemgeo.2013.06.005</v>
      </c>
      <c r="BG961" t="s">
        <v>74</v>
      </c>
      <c r="BH961" t="s">
        <v>74</v>
      </c>
      <c r="BI961">
        <v>12</v>
      </c>
      <c r="BJ961" t="s">
        <v>313</v>
      </c>
      <c r="BK961" t="s">
        <v>99</v>
      </c>
      <c r="BL961" t="s">
        <v>313</v>
      </c>
      <c r="BM961" t="s">
        <v>18190</v>
      </c>
      <c r="BN961" t="s">
        <v>74</v>
      </c>
      <c r="BO961" t="s">
        <v>74</v>
      </c>
      <c r="BP961" t="s">
        <v>74</v>
      </c>
      <c r="BQ961" t="s">
        <v>74</v>
      </c>
      <c r="BR961" t="s">
        <v>103</v>
      </c>
      <c r="BS961" t="s">
        <v>18191</v>
      </c>
      <c r="BT961" t="str">
        <f>HYPERLINK("https%3A%2F%2Fwww.webofscience.com%2Fwos%2Fwoscc%2Ffull-record%2FWOS:000323466600016","View Full Record in Web of Science")</f>
        <v>View Full Record in Web of Science</v>
      </c>
    </row>
    <row r="962" spans="1:72" x14ac:dyDescent="0.15">
      <c r="A962" t="s">
        <v>72</v>
      </c>
      <c r="B962" t="s">
        <v>18192</v>
      </c>
      <c r="C962" t="s">
        <v>74</v>
      </c>
      <c r="D962" t="s">
        <v>74</v>
      </c>
      <c r="E962" t="s">
        <v>74</v>
      </c>
      <c r="F962" t="s">
        <v>18193</v>
      </c>
      <c r="G962" t="s">
        <v>74</v>
      </c>
      <c r="H962" t="s">
        <v>74</v>
      </c>
      <c r="I962" t="s">
        <v>18194</v>
      </c>
      <c r="J962" t="s">
        <v>4368</v>
      </c>
      <c r="K962" t="s">
        <v>74</v>
      </c>
      <c r="L962" t="s">
        <v>74</v>
      </c>
      <c r="M962" t="s">
        <v>78</v>
      </c>
      <c r="N962" t="s">
        <v>79</v>
      </c>
      <c r="O962" t="s">
        <v>74</v>
      </c>
      <c r="P962" t="s">
        <v>74</v>
      </c>
      <c r="Q962" t="s">
        <v>74</v>
      </c>
      <c r="R962" t="s">
        <v>74</v>
      </c>
      <c r="S962" t="s">
        <v>74</v>
      </c>
      <c r="T962" t="s">
        <v>18195</v>
      </c>
      <c r="U962" t="s">
        <v>18196</v>
      </c>
      <c r="V962" t="s">
        <v>18197</v>
      </c>
      <c r="W962" t="s">
        <v>18198</v>
      </c>
      <c r="X962" t="s">
        <v>18199</v>
      </c>
      <c r="Y962" t="s">
        <v>9027</v>
      </c>
      <c r="Z962" t="s">
        <v>18200</v>
      </c>
      <c r="AA962" t="s">
        <v>18201</v>
      </c>
      <c r="AB962" t="s">
        <v>18202</v>
      </c>
      <c r="AC962" t="s">
        <v>18203</v>
      </c>
      <c r="AD962" t="s">
        <v>18204</v>
      </c>
      <c r="AE962" t="s">
        <v>18205</v>
      </c>
      <c r="AF962" t="s">
        <v>74</v>
      </c>
      <c r="AG962">
        <v>36</v>
      </c>
      <c r="AH962">
        <v>32</v>
      </c>
      <c r="AI962">
        <v>44</v>
      </c>
      <c r="AJ962">
        <v>0</v>
      </c>
      <c r="AK962">
        <v>33</v>
      </c>
      <c r="AL962" t="s">
        <v>1606</v>
      </c>
      <c r="AM962" t="s">
        <v>808</v>
      </c>
      <c r="AN962" t="s">
        <v>1607</v>
      </c>
      <c r="AO962" t="s">
        <v>4379</v>
      </c>
      <c r="AP962" t="s">
        <v>4380</v>
      </c>
      <c r="AQ962" t="s">
        <v>74</v>
      </c>
      <c r="AR962" t="s">
        <v>4381</v>
      </c>
      <c r="AS962" t="s">
        <v>4382</v>
      </c>
      <c r="AT962" t="s">
        <v>18170</v>
      </c>
      <c r="AU962">
        <v>2013</v>
      </c>
      <c r="AV962">
        <v>40</v>
      </c>
      <c r="AW962">
        <v>15</v>
      </c>
      <c r="AX962" t="s">
        <v>74</v>
      </c>
      <c r="AY962" t="s">
        <v>74</v>
      </c>
      <c r="AZ962" t="s">
        <v>74</v>
      </c>
      <c r="BA962" t="s">
        <v>74</v>
      </c>
      <c r="BB962">
        <v>3934</v>
      </c>
      <c r="BC962">
        <v>3939</v>
      </c>
      <c r="BD962" t="s">
        <v>74</v>
      </c>
      <c r="BE962" t="s">
        <v>18206</v>
      </c>
      <c r="BF962" t="str">
        <f>HYPERLINK("http://dx.doi.org/10.1002/grl.50712","http://dx.doi.org/10.1002/grl.50712")</f>
        <v>http://dx.doi.org/10.1002/grl.50712</v>
      </c>
      <c r="BG962" t="s">
        <v>74</v>
      </c>
      <c r="BH962" t="s">
        <v>74</v>
      </c>
      <c r="BI962">
        <v>6</v>
      </c>
      <c r="BJ962" t="s">
        <v>337</v>
      </c>
      <c r="BK962" t="s">
        <v>99</v>
      </c>
      <c r="BL962" t="s">
        <v>338</v>
      </c>
      <c r="BM962" t="s">
        <v>18207</v>
      </c>
      <c r="BN962" t="s">
        <v>74</v>
      </c>
      <c r="BO962" t="s">
        <v>475</v>
      </c>
      <c r="BP962" t="s">
        <v>74</v>
      </c>
      <c r="BQ962" t="s">
        <v>74</v>
      </c>
      <c r="BR962" t="s">
        <v>103</v>
      </c>
      <c r="BS962" t="s">
        <v>18208</v>
      </c>
      <c r="BT962" t="str">
        <f>HYPERLINK("https%3A%2F%2Fwww.webofscience.com%2Fwos%2Fwoscc%2Ffull-record%2FWOS:000323660000029","View Full Record in Web of Science")</f>
        <v>View Full Record in Web of Science</v>
      </c>
    </row>
    <row r="963" spans="1:72" x14ac:dyDescent="0.15">
      <c r="A963" t="s">
        <v>72</v>
      </c>
      <c r="B963" t="s">
        <v>18209</v>
      </c>
      <c r="C963" t="s">
        <v>74</v>
      </c>
      <c r="D963" t="s">
        <v>74</v>
      </c>
      <c r="E963" t="s">
        <v>74</v>
      </c>
      <c r="F963" t="s">
        <v>18210</v>
      </c>
      <c r="G963" t="s">
        <v>74</v>
      </c>
      <c r="H963" t="s">
        <v>74</v>
      </c>
      <c r="I963" t="s">
        <v>18211</v>
      </c>
      <c r="J963" t="s">
        <v>4346</v>
      </c>
      <c r="K963" t="s">
        <v>74</v>
      </c>
      <c r="L963" t="s">
        <v>74</v>
      </c>
      <c r="M963" t="s">
        <v>78</v>
      </c>
      <c r="N963" t="s">
        <v>79</v>
      </c>
      <c r="O963" t="s">
        <v>74</v>
      </c>
      <c r="P963" t="s">
        <v>74</v>
      </c>
      <c r="Q963" t="s">
        <v>74</v>
      </c>
      <c r="R963" t="s">
        <v>74</v>
      </c>
      <c r="S963" t="s">
        <v>74</v>
      </c>
      <c r="T963" t="s">
        <v>18212</v>
      </c>
      <c r="U963" t="s">
        <v>18213</v>
      </c>
      <c r="V963" t="s">
        <v>18214</v>
      </c>
      <c r="W963" t="s">
        <v>18215</v>
      </c>
      <c r="X963" t="s">
        <v>18216</v>
      </c>
      <c r="Y963" t="s">
        <v>18217</v>
      </c>
      <c r="Z963" t="s">
        <v>18218</v>
      </c>
      <c r="AA963" t="s">
        <v>18219</v>
      </c>
      <c r="AB963" t="s">
        <v>18220</v>
      </c>
      <c r="AC963" t="s">
        <v>18221</v>
      </c>
      <c r="AD963" t="s">
        <v>18222</v>
      </c>
      <c r="AE963" t="s">
        <v>18223</v>
      </c>
      <c r="AF963" t="s">
        <v>74</v>
      </c>
      <c r="AG963">
        <v>79</v>
      </c>
      <c r="AH963">
        <v>152</v>
      </c>
      <c r="AI963">
        <v>166</v>
      </c>
      <c r="AJ963">
        <v>4</v>
      </c>
      <c r="AK963">
        <v>114</v>
      </c>
      <c r="AL963" t="s">
        <v>1606</v>
      </c>
      <c r="AM963" t="s">
        <v>808</v>
      </c>
      <c r="AN963" t="s">
        <v>1607</v>
      </c>
      <c r="AO963" t="s">
        <v>4357</v>
      </c>
      <c r="AP963" t="s">
        <v>4358</v>
      </c>
      <c r="AQ963" t="s">
        <v>74</v>
      </c>
      <c r="AR963" t="s">
        <v>4359</v>
      </c>
      <c r="AS963" t="s">
        <v>4360</v>
      </c>
      <c r="AT963" t="s">
        <v>18170</v>
      </c>
      <c r="AU963">
        <v>2013</v>
      </c>
      <c r="AV963">
        <v>118</v>
      </c>
      <c r="AW963">
        <v>15</v>
      </c>
      <c r="AX963" t="s">
        <v>74</v>
      </c>
      <c r="AY963" t="s">
        <v>74</v>
      </c>
      <c r="AZ963" t="s">
        <v>74</v>
      </c>
      <c r="BA963" t="s">
        <v>74</v>
      </c>
      <c r="BB963">
        <v>8482</v>
      </c>
      <c r="BC963">
        <v>8499</v>
      </c>
      <c r="BD963" t="s">
        <v>74</v>
      </c>
      <c r="BE963" t="s">
        <v>18224</v>
      </c>
      <c r="BF963" t="str">
        <f>HYPERLINK("http://dx.doi.org/10.1002/jgrd.50668","http://dx.doi.org/10.1002/jgrd.50668")</f>
        <v>http://dx.doi.org/10.1002/jgrd.50668</v>
      </c>
      <c r="BG963" t="s">
        <v>74</v>
      </c>
      <c r="BH963" t="s">
        <v>74</v>
      </c>
      <c r="BI963">
        <v>18</v>
      </c>
      <c r="BJ963" t="s">
        <v>1503</v>
      </c>
      <c r="BK963" t="s">
        <v>99</v>
      </c>
      <c r="BL963" t="s">
        <v>1503</v>
      </c>
      <c r="BM963" t="s">
        <v>18172</v>
      </c>
      <c r="BN963" t="s">
        <v>74</v>
      </c>
      <c r="BO963" t="s">
        <v>450</v>
      </c>
      <c r="BP963" t="s">
        <v>74</v>
      </c>
      <c r="BQ963" t="s">
        <v>74</v>
      </c>
      <c r="BR963" t="s">
        <v>103</v>
      </c>
      <c r="BS963" t="s">
        <v>18225</v>
      </c>
      <c r="BT963" t="str">
        <f>HYPERLINK("https%3A%2F%2Fwww.webofscience.com%2Fwos%2Fwoscc%2Ffull-record%2FWOS:000324032900026","View Full Record in Web of Science")</f>
        <v>View Full Record in Web of Science</v>
      </c>
    </row>
    <row r="964" spans="1:72" x14ac:dyDescent="0.15">
      <c r="A964" t="s">
        <v>72</v>
      </c>
      <c r="B964" t="s">
        <v>18226</v>
      </c>
      <c r="C964" t="s">
        <v>74</v>
      </c>
      <c r="D964" t="s">
        <v>74</v>
      </c>
      <c r="E964" t="s">
        <v>74</v>
      </c>
      <c r="F964" t="s">
        <v>18227</v>
      </c>
      <c r="G964" t="s">
        <v>74</v>
      </c>
      <c r="H964" t="s">
        <v>74</v>
      </c>
      <c r="I964" t="s">
        <v>18228</v>
      </c>
      <c r="J964" t="s">
        <v>4346</v>
      </c>
      <c r="K964" t="s">
        <v>74</v>
      </c>
      <c r="L964" t="s">
        <v>74</v>
      </c>
      <c r="M964" t="s">
        <v>78</v>
      </c>
      <c r="N964" t="s">
        <v>79</v>
      </c>
      <c r="O964" t="s">
        <v>74</v>
      </c>
      <c r="P964" t="s">
        <v>74</v>
      </c>
      <c r="Q964" t="s">
        <v>74</v>
      </c>
      <c r="R964" t="s">
        <v>74</v>
      </c>
      <c r="S964" t="s">
        <v>74</v>
      </c>
      <c r="T964" t="s">
        <v>18229</v>
      </c>
      <c r="U964" t="s">
        <v>18230</v>
      </c>
      <c r="V964" t="s">
        <v>18231</v>
      </c>
      <c r="W964" t="s">
        <v>18232</v>
      </c>
      <c r="X964" t="s">
        <v>18233</v>
      </c>
      <c r="Y964" t="s">
        <v>18234</v>
      </c>
      <c r="Z964" t="s">
        <v>18235</v>
      </c>
      <c r="AA964" t="s">
        <v>18236</v>
      </c>
      <c r="AB964" t="s">
        <v>74</v>
      </c>
      <c r="AC964" t="s">
        <v>18237</v>
      </c>
      <c r="AD964" t="s">
        <v>18238</v>
      </c>
      <c r="AE964" t="s">
        <v>18239</v>
      </c>
      <c r="AF964" t="s">
        <v>74</v>
      </c>
      <c r="AG964">
        <v>32</v>
      </c>
      <c r="AH964">
        <v>7</v>
      </c>
      <c r="AI964">
        <v>9</v>
      </c>
      <c r="AJ964">
        <v>1</v>
      </c>
      <c r="AK964">
        <v>31</v>
      </c>
      <c r="AL964" t="s">
        <v>1606</v>
      </c>
      <c r="AM964" t="s">
        <v>808</v>
      </c>
      <c r="AN964" t="s">
        <v>1607</v>
      </c>
      <c r="AO964" t="s">
        <v>4357</v>
      </c>
      <c r="AP964" t="s">
        <v>4358</v>
      </c>
      <c r="AQ964" t="s">
        <v>74</v>
      </c>
      <c r="AR964" t="s">
        <v>4359</v>
      </c>
      <c r="AS964" t="s">
        <v>4360</v>
      </c>
      <c r="AT964" t="s">
        <v>18170</v>
      </c>
      <c r="AU964">
        <v>2013</v>
      </c>
      <c r="AV964">
        <v>118</v>
      </c>
      <c r="AW964">
        <v>15</v>
      </c>
      <c r="AX964" t="s">
        <v>74</v>
      </c>
      <c r="AY964" t="s">
        <v>74</v>
      </c>
      <c r="AZ964" t="s">
        <v>74</v>
      </c>
      <c r="BA964" t="s">
        <v>74</v>
      </c>
      <c r="BB964">
        <v>8519</v>
      </c>
      <c r="BC964">
        <v>8535</v>
      </c>
      <c r="BD964" t="s">
        <v>74</v>
      </c>
      <c r="BE964" t="s">
        <v>18240</v>
      </c>
      <c r="BF964" t="str">
        <f>HYPERLINK("http://dx.doi.org/10.1002/jgrd.50666","http://dx.doi.org/10.1002/jgrd.50666")</f>
        <v>http://dx.doi.org/10.1002/jgrd.50666</v>
      </c>
      <c r="BG964" t="s">
        <v>74</v>
      </c>
      <c r="BH964" t="s">
        <v>74</v>
      </c>
      <c r="BI964">
        <v>17</v>
      </c>
      <c r="BJ964" t="s">
        <v>1503</v>
      </c>
      <c r="BK964" t="s">
        <v>99</v>
      </c>
      <c r="BL964" t="s">
        <v>1503</v>
      </c>
      <c r="BM964" t="s">
        <v>18172</v>
      </c>
      <c r="BN964" t="s">
        <v>74</v>
      </c>
      <c r="BO964" t="s">
        <v>475</v>
      </c>
      <c r="BP964" t="s">
        <v>74</v>
      </c>
      <c r="BQ964" t="s">
        <v>74</v>
      </c>
      <c r="BR964" t="s">
        <v>103</v>
      </c>
      <c r="BS964" t="s">
        <v>18241</v>
      </c>
      <c r="BT964" t="str">
        <f>HYPERLINK("https%3A%2F%2Fwww.webofscience.com%2Fwos%2Fwoscc%2Ffull-record%2FWOS:000324032900028","View Full Record in Web of Science")</f>
        <v>View Full Record in Web of Science</v>
      </c>
    </row>
    <row r="965" spans="1:72" x14ac:dyDescent="0.15">
      <c r="A965" t="s">
        <v>72</v>
      </c>
      <c r="B965" t="s">
        <v>18242</v>
      </c>
      <c r="C965" t="s">
        <v>74</v>
      </c>
      <c r="D965" t="s">
        <v>74</v>
      </c>
      <c r="E965" t="s">
        <v>74</v>
      </c>
      <c r="F965" t="s">
        <v>18243</v>
      </c>
      <c r="G965" t="s">
        <v>74</v>
      </c>
      <c r="H965" t="s">
        <v>74</v>
      </c>
      <c r="I965" t="s">
        <v>18244</v>
      </c>
      <c r="J965" t="s">
        <v>4548</v>
      </c>
      <c r="K965" t="s">
        <v>74</v>
      </c>
      <c r="L965" t="s">
        <v>74</v>
      </c>
      <c r="M965" t="s">
        <v>78</v>
      </c>
      <c r="N965" t="s">
        <v>79</v>
      </c>
      <c r="O965" t="s">
        <v>74</v>
      </c>
      <c r="P965" t="s">
        <v>74</v>
      </c>
      <c r="Q965" t="s">
        <v>74</v>
      </c>
      <c r="R965" t="s">
        <v>74</v>
      </c>
      <c r="S965" t="s">
        <v>74</v>
      </c>
      <c r="T965" t="s">
        <v>18245</v>
      </c>
      <c r="U965" t="s">
        <v>18246</v>
      </c>
      <c r="V965" t="s">
        <v>18247</v>
      </c>
      <c r="W965" t="s">
        <v>18248</v>
      </c>
      <c r="X965" t="s">
        <v>2317</v>
      </c>
      <c r="Y965" t="s">
        <v>18249</v>
      </c>
      <c r="Z965" t="s">
        <v>18250</v>
      </c>
      <c r="AA965" t="s">
        <v>18251</v>
      </c>
      <c r="AB965" t="s">
        <v>18252</v>
      </c>
      <c r="AC965" t="s">
        <v>74</v>
      </c>
      <c r="AD965" t="s">
        <v>74</v>
      </c>
      <c r="AE965" t="s">
        <v>74</v>
      </c>
      <c r="AF965" t="s">
        <v>74</v>
      </c>
      <c r="AG965">
        <v>45</v>
      </c>
      <c r="AH965">
        <v>18</v>
      </c>
      <c r="AI965">
        <v>18</v>
      </c>
      <c r="AJ965">
        <v>0</v>
      </c>
      <c r="AK965">
        <v>44</v>
      </c>
      <c r="AL965" t="s">
        <v>872</v>
      </c>
      <c r="AM965" t="s">
        <v>252</v>
      </c>
      <c r="AN965" t="s">
        <v>873</v>
      </c>
      <c r="AO965" t="s">
        <v>4561</v>
      </c>
      <c r="AP965" t="s">
        <v>4562</v>
      </c>
      <c r="AQ965" t="s">
        <v>74</v>
      </c>
      <c r="AR965" t="s">
        <v>4563</v>
      </c>
      <c r="AS965" t="s">
        <v>4564</v>
      </c>
      <c r="AT965" t="s">
        <v>18253</v>
      </c>
      <c r="AU965">
        <v>2013</v>
      </c>
      <c r="AV965">
        <v>73</v>
      </c>
      <c r="AW965">
        <v>1</v>
      </c>
      <c r="AX965" t="s">
        <v>74</v>
      </c>
      <c r="AY965" t="s">
        <v>74</v>
      </c>
      <c r="AZ965" t="s">
        <v>74</v>
      </c>
      <c r="BA965" t="s">
        <v>74</v>
      </c>
      <c r="BB965">
        <v>263</v>
      </c>
      <c r="BC965">
        <v>272</v>
      </c>
      <c r="BD965" t="s">
        <v>74</v>
      </c>
      <c r="BE965" t="s">
        <v>18254</v>
      </c>
      <c r="BF965" t="str">
        <f>HYPERLINK("http://dx.doi.org/10.1016/j.marpolbul.2013.04.032","http://dx.doi.org/10.1016/j.marpolbul.2013.04.032")</f>
        <v>http://dx.doi.org/10.1016/j.marpolbul.2013.04.032</v>
      </c>
      <c r="BG965" t="s">
        <v>74</v>
      </c>
      <c r="BH965" t="s">
        <v>74</v>
      </c>
      <c r="BI965">
        <v>10</v>
      </c>
      <c r="BJ965" t="s">
        <v>679</v>
      </c>
      <c r="BK965" t="s">
        <v>99</v>
      </c>
      <c r="BL965" t="s">
        <v>680</v>
      </c>
      <c r="BM965" t="s">
        <v>18255</v>
      </c>
      <c r="BN965">
        <v>23809330</v>
      </c>
      <c r="BO965" t="s">
        <v>74</v>
      </c>
      <c r="BP965" t="s">
        <v>74</v>
      </c>
      <c r="BQ965" t="s">
        <v>74</v>
      </c>
      <c r="BR965" t="s">
        <v>103</v>
      </c>
      <c r="BS965" t="s">
        <v>18256</v>
      </c>
      <c r="BT965" t="str">
        <f>HYPERLINK("https%3A%2F%2Fwww.webofscience.com%2Fwos%2Fwoscc%2Ffull-record%2FWOS:000323586900042","View Full Record in Web of Science")</f>
        <v>View Full Record in Web of Science</v>
      </c>
    </row>
    <row r="966" spans="1:72" x14ac:dyDescent="0.15">
      <c r="A966" t="s">
        <v>72</v>
      </c>
      <c r="B966" t="s">
        <v>18257</v>
      </c>
      <c r="C966" t="s">
        <v>74</v>
      </c>
      <c r="D966" t="s">
        <v>74</v>
      </c>
      <c r="E966" t="s">
        <v>74</v>
      </c>
      <c r="F966" t="s">
        <v>18258</v>
      </c>
      <c r="G966" t="s">
        <v>74</v>
      </c>
      <c r="H966" t="s">
        <v>74</v>
      </c>
      <c r="I966" t="s">
        <v>18259</v>
      </c>
      <c r="J966" t="s">
        <v>3405</v>
      </c>
      <c r="K966" t="s">
        <v>74</v>
      </c>
      <c r="L966" t="s">
        <v>74</v>
      </c>
      <c r="M966" t="s">
        <v>78</v>
      </c>
      <c r="N966" t="s">
        <v>79</v>
      </c>
      <c r="O966" t="s">
        <v>74</v>
      </c>
      <c r="P966" t="s">
        <v>74</v>
      </c>
      <c r="Q966" t="s">
        <v>74</v>
      </c>
      <c r="R966" t="s">
        <v>74</v>
      </c>
      <c r="S966" t="s">
        <v>74</v>
      </c>
      <c r="T966" t="s">
        <v>18260</v>
      </c>
      <c r="U966" t="s">
        <v>18261</v>
      </c>
      <c r="V966" t="s">
        <v>18262</v>
      </c>
      <c r="W966" t="s">
        <v>18263</v>
      </c>
      <c r="X966" t="s">
        <v>18264</v>
      </c>
      <c r="Y966" t="s">
        <v>18265</v>
      </c>
      <c r="Z966" t="s">
        <v>18266</v>
      </c>
      <c r="AA966" t="s">
        <v>18267</v>
      </c>
      <c r="AB966" t="s">
        <v>18268</v>
      </c>
      <c r="AC966" t="s">
        <v>18269</v>
      </c>
      <c r="AD966" t="s">
        <v>18270</v>
      </c>
      <c r="AE966" t="s">
        <v>18271</v>
      </c>
      <c r="AF966" t="s">
        <v>74</v>
      </c>
      <c r="AG966">
        <v>217</v>
      </c>
      <c r="AH966">
        <v>104</v>
      </c>
      <c r="AI966">
        <v>108</v>
      </c>
      <c r="AJ966">
        <v>0</v>
      </c>
      <c r="AK966">
        <v>85</v>
      </c>
      <c r="AL966" t="s">
        <v>872</v>
      </c>
      <c r="AM966" t="s">
        <v>252</v>
      </c>
      <c r="AN966" t="s">
        <v>873</v>
      </c>
      <c r="AO966" t="s">
        <v>3416</v>
      </c>
      <c r="AP966" t="s">
        <v>74</v>
      </c>
      <c r="AQ966" t="s">
        <v>74</v>
      </c>
      <c r="AR966" t="s">
        <v>3417</v>
      </c>
      <c r="AS966" t="s">
        <v>3418</v>
      </c>
      <c r="AT966" t="s">
        <v>18253</v>
      </c>
      <c r="AU966">
        <v>2013</v>
      </c>
      <c r="AV966">
        <v>74</v>
      </c>
      <c r="AW966" t="s">
        <v>74</v>
      </c>
      <c r="AX966" t="s">
        <v>74</v>
      </c>
      <c r="AY966" t="s">
        <v>74</v>
      </c>
      <c r="AZ966" t="s">
        <v>283</v>
      </c>
      <c r="BA966" t="s">
        <v>74</v>
      </c>
      <c r="BB966">
        <v>58</v>
      </c>
      <c r="BC966">
        <v>77</v>
      </c>
      <c r="BD966" t="s">
        <v>74</v>
      </c>
      <c r="BE966" t="s">
        <v>18272</v>
      </c>
      <c r="BF966" t="str">
        <f>HYPERLINK("http://dx.doi.org/10.1016/j.quascirev.2012.12.012","http://dx.doi.org/10.1016/j.quascirev.2012.12.012")</f>
        <v>http://dx.doi.org/10.1016/j.quascirev.2012.12.012</v>
      </c>
      <c r="BG966" t="s">
        <v>74</v>
      </c>
      <c r="BH966" t="s">
        <v>74</v>
      </c>
      <c r="BI966">
        <v>20</v>
      </c>
      <c r="BJ966" t="s">
        <v>98</v>
      </c>
      <c r="BK966" t="s">
        <v>99</v>
      </c>
      <c r="BL966" t="s">
        <v>100</v>
      </c>
      <c r="BM966" t="s">
        <v>18273</v>
      </c>
      <c r="BN966" t="s">
        <v>74</v>
      </c>
      <c r="BO966" t="s">
        <v>236</v>
      </c>
      <c r="BP966" t="s">
        <v>74</v>
      </c>
      <c r="BQ966" t="s">
        <v>74</v>
      </c>
      <c r="BR966" t="s">
        <v>103</v>
      </c>
      <c r="BS966" t="s">
        <v>18274</v>
      </c>
      <c r="BT966" t="str">
        <f>HYPERLINK("https%3A%2F%2Fwww.webofscience.com%2Fwos%2Fwoscc%2Ffull-record%2FWOS:000323188500005","View Full Record in Web of Science")</f>
        <v>View Full Record in Web of Science</v>
      </c>
    </row>
    <row r="967" spans="1:72" x14ac:dyDescent="0.15">
      <c r="A967" t="s">
        <v>72</v>
      </c>
      <c r="B967" t="s">
        <v>18275</v>
      </c>
      <c r="C967" t="s">
        <v>74</v>
      </c>
      <c r="D967" t="s">
        <v>74</v>
      </c>
      <c r="E967" t="s">
        <v>74</v>
      </c>
      <c r="F967" t="s">
        <v>18276</v>
      </c>
      <c r="G967" t="s">
        <v>74</v>
      </c>
      <c r="H967" t="s">
        <v>74</v>
      </c>
      <c r="I967" t="s">
        <v>18277</v>
      </c>
      <c r="J967" t="s">
        <v>3405</v>
      </c>
      <c r="K967" t="s">
        <v>74</v>
      </c>
      <c r="L967" t="s">
        <v>74</v>
      </c>
      <c r="M967" t="s">
        <v>78</v>
      </c>
      <c r="N967" t="s">
        <v>79</v>
      </c>
      <c r="O967" t="s">
        <v>74</v>
      </c>
      <c r="P967" t="s">
        <v>74</v>
      </c>
      <c r="Q967" t="s">
        <v>74</v>
      </c>
      <c r="R967" t="s">
        <v>74</v>
      </c>
      <c r="S967" t="s">
        <v>74</v>
      </c>
      <c r="T967" t="s">
        <v>18278</v>
      </c>
      <c r="U967" t="s">
        <v>18279</v>
      </c>
      <c r="V967" t="s">
        <v>18280</v>
      </c>
      <c r="W967" t="s">
        <v>18281</v>
      </c>
      <c r="X967" t="s">
        <v>18282</v>
      </c>
      <c r="Y967" t="s">
        <v>18283</v>
      </c>
      <c r="Z967" t="s">
        <v>18284</v>
      </c>
      <c r="AA967" t="s">
        <v>18285</v>
      </c>
      <c r="AB967" t="s">
        <v>18286</v>
      </c>
      <c r="AC967" t="s">
        <v>74</v>
      </c>
      <c r="AD967" t="s">
        <v>74</v>
      </c>
      <c r="AE967" t="s">
        <v>74</v>
      </c>
      <c r="AF967" t="s">
        <v>74</v>
      </c>
      <c r="AG967">
        <v>94</v>
      </c>
      <c r="AH967">
        <v>28</v>
      </c>
      <c r="AI967">
        <v>32</v>
      </c>
      <c r="AJ967">
        <v>1</v>
      </c>
      <c r="AK967">
        <v>41</v>
      </c>
      <c r="AL967" t="s">
        <v>872</v>
      </c>
      <c r="AM967" t="s">
        <v>252</v>
      </c>
      <c r="AN967" t="s">
        <v>873</v>
      </c>
      <c r="AO967" t="s">
        <v>3416</v>
      </c>
      <c r="AP967" t="s">
        <v>74</v>
      </c>
      <c r="AQ967" t="s">
        <v>74</v>
      </c>
      <c r="AR967" t="s">
        <v>3417</v>
      </c>
      <c r="AS967" t="s">
        <v>3418</v>
      </c>
      <c r="AT967" t="s">
        <v>18253</v>
      </c>
      <c r="AU967">
        <v>2013</v>
      </c>
      <c r="AV967">
        <v>74</v>
      </c>
      <c r="AW967" t="s">
        <v>74</v>
      </c>
      <c r="AX967" t="s">
        <v>74</v>
      </c>
      <c r="AY967" t="s">
        <v>74</v>
      </c>
      <c r="AZ967" t="s">
        <v>283</v>
      </c>
      <c r="BA967" t="s">
        <v>74</v>
      </c>
      <c r="BB967">
        <v>245</v>
      </c>
      <c r="BC967">
        <v>256</v>
      </c>
      <c r="BD967" t="s">
        <v>74</v>
      </c>
      <c r="BE967" t="s">
        <v>18287</v>
      </c>
      <c r="BF967" t="str">
        <f>HYPERLINK("http://dx.doi.org/10.1016/j.quascirev.2013.01.031","http://dx.doi.org/10.1016/j.quascirev.2013.01.031")</f>
        <v>http://dx.doi.org/10.1016/j.quascirev.2013.01.031</v>
      </c>
      <c r="BG967" t="s">
        <v>74</v>
      </c>
      <c r="BH967" t="s">
        <v>74</v>
      </c>
      <c r="BI967">
        <v>12</v>
      </c>
      <c r="BJ967" t="s">
        <v>98</v>
      </c>
      <c r="BK967" t="s">
        <v>99</v>
      </c>
      <c r="BL967" t="s">
        <v>100</v>
      </c>
      <c r="BM967" t="s">
        <v>18273</v>
      </c>
      <c r="BN967" t="s">
        <v>74</v>
      </c>
      <c r="BO967" t="s">
        <v>74</v>
      </c>
      <c r="BP967" t="s">
        <v>74</v>
      </c>
      <c r="BQ967" t="s">
        <v>74</v>
      </c>
      <c r="BR967" t="s">
        <v>103</v>
      </c>
      <c r="BS967" t="s">
        <v>18288</v>
      </c>
      <c r="BT967" t="str">
        <f>HYPERLINK("https%3A%2F%2Fwww.webofscience.com%2Fwos%2Fwoscc%2Ffull-record%2FWOS:000323188500016","View Full Record in Web of Science")</f>
        <v>View Full Record in Web of Science</v>
      </c>
    </row>
    <row r="968" spans="1:72" x14ac:dyDescent="0.15">
      <c r="A968" t="s">
        <v>72</v>
      </c>
      <c r="B968" t="s">
        <v>18289</v>
      </c>
      <c r="C968" t="s">
        <v>74</v>
      </c>
      <c r="D968" t="s">
        <v>74</v>
      </c>
      <c r="E968" t="s">
        <v>74</v>
      </c>
      <c r="F968" t="s">
        <v>18290</v>
      </c>
      <c r="G968" t="s">
        <v>74</v>
      </c>
      <c r="H968" t="s">
        <v>74</v>
      </c>
      <c r="I968" t="s">
        <v>18291</v>
      </c>
      <c r="J968" t="s">
        <v>17198</v>
      </c>
      <c r="K968" t="s">
        <v>74</v>
      </c>
      <c r="L968" t="s">
        <v>74</v>
      </c>
      <c r="M968" t="s">
        <v>78</v>
      </c>
      <c r="N968" t="s">
        <v>79</v>
      </c>
      <c r="O968" t="s">
        <v>74</v>
      </c>
      <c r="P968" t="s">
        <v>74</v>
      </c>
      <c r="Q968" t="s">
        <v>74</v>
      </c>
      <c r="R968" t="s">
        <v>74</v>
      </c>
      <c r="S968" t="s">
        <v>74</v>
      </c>
      <c r="T968" t="s">
        <v>18292</v>
      </c>
      <c r="U968" t="s">
        <v>18293</v>
      </c>
      <c r="V968" t="s">
        <v>18294</v>
      </c>
      <c r="W968" t="s">
        <v>18295</v>
      </c>
      <c r="X968" t="s">
        <v>18296</v>
      </c>
      <c r="Y968" t="s">
        <v>18297</v>
      </c>
      <c r="Z968" t="s">
        <v>18298</v>
      </c>
      <c r="AA968" t="s">
        <v>18299</v>
      </c>
      <c r="AB968" t="s">
        <v>18300</v>
      </c>
      <c r="AC968" t="s">
        <v>18301</v>
      </c>
      <c r="AD968" t="s">
        <v>18302</v>
      </c>
      <c r="AE968" t="s">
        <v>18303</v>
      </c>
      <c r="AF968" t="s">
        <v>74</v>
      </c>
      <c r="AG968">
        <v>66</v>
      </c>
      <c r="AH968">
        <v>29</v>
      </c>
      <c r="AI968">
        <v>30</v>
      </c>
      <c r="AJ968">
        <v>0</v>
      </c>
      <c r="AK968">
        <v>25</v>
      </c>
      <c r="AL968" t="s">
        <v>304</v>
      </c>
      <c r="AM968" t="s">
        <v>305</v>
      </c>
      <c r="AN968" t="s">
        <v>306</v>
      </c>
      <c r="AO968" t="s">
        <v>17211</v>
      </c>
      <c r="AP968" t="s">
        <v>17212</v>
      </c>
      <c r="AQ968" t="s">
        <v>74</v>
      </c>
      <c r="AR968" t="s">
        <v>17198</v>
      </c>
      <c r="AS968" t="s">
        <v>17213</v>
      </c>
      <c r="AT968" t="s">
        <v>18253</v>
      </c>
      <c r="AU968">
        <v>2013</v>
      </c>
      <c r="AV968">
        <v>175</v>
      </c>
      <c r="AW968" t="s">
        <v>74</v>
      </c>
      <c r="AX968" t="s">
        <v>74</v>
      </c>
      <c r="AY968" t="s">
        <v>74</v>
      </c>
      <c r="AZ968" t="s">
        <v>74</v>
      </c>
      <c r="BA968" t="s">
        <v>74</v>
      </c>
      <c r="BB968">
        <v>178</v>
      </c>
      <c r="BC968">
        <v>192</v>
      </c>
      <c r="BD968" t="s">
        <v>74</v>
      </c>
      <c r="BE968" t="s">
        <v>18304</v>
      </c>
      <c r="BF968" t="str">
        <f>HYPERLINK("http://dx.doi.org/10.1016/j.lithos.2013.05.008","http://dx.doi.org/10.1016/j.lithos.2013.05.008")</f>
        <v>http://dx.doi.org/10.1016/j.lithos.2013.05.008</v>
      </c>
      <c r="BG968" t="s">
        <v>74</v>
      </c>
      <c r="BH968" t="s">
        <v>74</v>
      </c>
      <c r="BI968">
        <v>15</v>
      </c>
      <c r="BJ968" t="s">
        <v>12374</v>
      </c>
      <c r="BK968" t="s">
        <v>99</v>
      </c>
      <c r="BL968" t="s">
        <v>12374</v>
      </c>
      <c r="BM968" t="s">
        <v>18305</v>
      </c>
      <c r="BN968" t="s">
        <v>74</v>
      </c>
      <c r="BO968" t="s">
        <v>74</v>
      </c>
      <c r="BP968" t="s">
        <v>74</v>
      </c>
      <c r="BQ968" t="s">
        <v>74</v>
      </c>
      <c r="BR968" t="s">
        <v>103</v>
      </c>
      <c r="BS968" t="s">
        <v>18306</v>
      </c>
      <c r="BT968" t="str">
        <f>HYPERLINK("https%3A%2F%2Fwww.webofscience.com%2Fwos%2Fwoscc%2Ffull-record%2FWOS:000322430800012","View Full Record in Web of Science")</f>
        <v>View Full Record in Web of Science</v>
      </c>
    </row>
    <row r="969" spans="1:72" x14ac:dyDescent="0.15">
      <c r="A969" t="s">
        <v>72</v>
      </c>
      <c r="B969" t="s">
        <v>18307</v>
      </c>
      <c r="C969" t="s">
        <v>74</v>
      </c>
      <c r="D969" t="s">
        <v>74</v>
      </c>
      <c r="E969" t="s">
        <v>74</v>
      </c>
      <c r="F969" t="s">
        <v>18308</v>
      </c>
      <c r="G969" t="s">
        <v>74</v>
      </c>
      <c r="H969" t="s">
        <v>18309</v>
      </c>
      <c r="I969" t="s">
        <v>18310</v>
      </c>
      <c r="J969" t="s">
        <v>3405</v>
      </c>
      <c r="K969" t="s">
        <v>74</v>
      </c>
      <c r="L969" t="s">
        <v>74</v>
      </c>
      <c r="M969" t="s">
        <v>78</v>
      </c>
      <c r="N969" t="s">
        <v>79</v>
      </c>
      <c r="O969" t="s">
        <v>74</v>
      </c>
      <c r="P969" t="s">
        <v>74</v>
      </c>
      <c r="Q969" t="s">
        <v>74</v>
      </c>
      <c r="R969" t="s">
        <v>74</v>
      </c>
      <c r="S969" t="s">
        <v>74</v>
      </c>
      <c r="T969" t="s">
        <v>18311</v>
      </c>
      <c r="U969" t="s">
        <v>18312</v>
      </c>
      <c r="V969" t="s">
        <v>18313</v>
      </c>
      <c r="W969" t="s">
        <v>18314</v>
      </c>
      <c r="X969" t="s">
        <v>18315</v>
      </c>
      <c r="Y969" t="s">
        <v>18316</v>
      </c>
      <c r="Z969" t="s">
        <v>18317</v>
      </c>
      <c r="AA969" t="s">
        <v>18318</v>
      </c>
      <c r="AB969" t="s">
        <v>18319</v>
      </c>
      <c r="AC969" t="s">
        <v>18320</v>
      </c>
      <c r="AD969" t="s">
        <v>18321</v>
      </c>
      <c r="AE969" t="s">
        <v>18322</v>
      </c>
      <c r="AF969" t="s">
        <v>74</v>
      </c>
      <c r="AG969">
        <v>156</v>
      </c>
      <c r="AH969">
        <v>138</v>
      </c>
      <c r="AI969">
        <v>142</v>
      </c>
      <c r="AJ969">
        <v>2</v>
      </c>
      <c r="AK969">
        <v>116</v>
      </c>
      <c r="AL969" t="s">
        <v>872</v>
      </c>
      <c r="AM969" t="s">
        <v>252</v>
      </c>
      <c r="AN969" t="s">
        <v>873</v>
      </c>
      <c r="AO969" t="s">
        <v>3416</v>
      </c>
      <c r="AP969" t="s">
        <v>74</v>
      </c>
      <c r="AQ969" t="s">
        <v>74</v>
      </c>
      <c r="AR969" t="s">
        <v>3417</v>
      </c>
      <c r="AS969" t="s">
        <v>3418</v>
      </c>
      <c r="AT969" t="s">
        <v>18253</v>
      </c>
      <c r="AU969">
        <v>2013</v>
      </c>
      <c r="AV969">
        <v>74</v>
      </c>
      <c r="AW969" t="s">
        <v>74</v>
      </c>
      <c r="AX969" t="s">
        <v>74</v>
      </c>
      <c r="AY969" t="s">
        <v>74</v>
      </c>
      <c r="AZ969" t="s">
        <v>283</v>
      </c>
      <c r="BA969" t="s">
        <v>74</v>
      </c>
      <c r="BB969">
        <v>21</v>
      </c>
      <c r="BC969">
        <v>34</v>
      </c>
      <c r="BD969" t="s">
        <v>74</v>
      </c>
      <c r="BE969" t="s">
        <v>18323</v>
      </c>
      <c r="BF969" t="str">
        <f>HYPERLINK("http://dx.doi.org/10.1016/j.quascirev.2013.01.001","http://dx.doi.org/10.1016/j.quascirev.2013.01.001")</f>
        <v>http://dx.doi.org/10.1016/j.quascirev.2013.01.001</v>
      </c>
      <c r="BG969" t="s">
        <v>74</v>
      </c>
      <c r="BH969" t="s">
        <v>74</v>
      </c>
      <c r="BI969">
        <v>14</v>
      </c>
      <c r="BJ969" t="s">
        <v>98</v>
      </c>
      <c r="BK969" t="s">
        <v>99</v>
      </c>
      <c r="BL969" t="s">
        <v>100</v>
      </c>
      <c r="BM969" t="s">
        <v>18273</v>
      </c>
      <c r="BN969" t="s">
        <v>74</v>
      </c>
      <c r="BO969" t="s">
        <v>831</v>
      </c>
      <c r="BP969" t="s">
        <v>74</v>
      </c>
      <c r="BQ969" t="s">
        <v>74</v>
      </c>
      <c r="BR969" t="s">
        <v>103</v>
      </c>
      <c r="BS969" t="s">
        <v>18324</v>
      </c>
      <c r="BT969" t="str">
        <f>HYPERLINK("https%3A%2F%2Fwww.webofscience.com%2Fwos%2Fwoscc%2Ffull-record%2FWOS:000323188500003","View Full Record in Web of Science")</f>
        <v>View Full Record in Web of Science</v>
      </c>
    </row>
    <row r="970" spans="1:72" x14ac:dyDescent="0.15">
      <c r="A970" t="s">
        <v>72</v>
      </c>
      <c r="B970" t="s">
        <v>18325</v>
      </c>
      <c r="C970" t="s">
        <v>74</v>
      </c>
      <c r="D970" t="s">
        <v>74</v>
      </c>
      <c r="E970" t="s">
        <v>74</v>
      </c>
      <c r="F970" t="s">
        <v>18326</v>
      </c>
      <c r="G970" t="s">
        <v>74</v>
      </c>
      <c r="H970" t="s">
        <v>74</v>
      </c>
      <c r="I970" t="s">
        <v>18327</v>
      </c>
      <c r="J970" t="s">
        <v>3405</v>
      </c>
      <c r="K970" t="s">
        <v>74</v>
      </c>
      <c r="L970" t="s">
        <v>74</v>
      </c>
      <c r="M970" t="s">
        <v>78</v>
      </c>
      <c r="N970" t="s">
        <v>79</v>
      </c>
      <c r="O970" t="s">
        <v>74</v>
      </c>
      <c r="P970" t="s">
        <v>74</v>
      </c>
      <c r="Q970" t="s">
        <v>74</v>
      </c>
      <c r="R970" t="s">
        <v>74</v>
      </c>
      <c r="S970" t="s">
        <v>74</v>
      </c>
      <c r="T970" t="s">
        <v>18328</v>
      </c>
      <c r="U970" t="s">
        <v>18329</v>
      </c>
      <c r="V970" t="s">
        <v>18330</v>
      </c>
      <c r="W970" t="s">
        <v>18331</v>
      </c>
      <c r="X970" t="s">
        <v>18332</v>
      </c>
      <c r="Y970" t="s">
        <v>18333</v>
      </c>
      <c r="Z970" t="s">
        <v>18334</v>
      </c>
      <c r="AA970" t="s">
        <v>18335</v>
      </c>
      <c r="AB970" t="s">
        <v>18336</v>
      </c>
      <c r="AC970" t="s">
        <v>18337</v>
      </c>
      <c r="AD970" t="s">
        <v>18337</v>
      </c>
      <c r="AE970" t="s">
        <v>18338</v>
      </c>
      <c r="AF970" t="s">
        <v>74</v>
      </c>
      <c r="AG970">
        <v>239</v>
      </c>
      <c r="AH970">
        <v>73</v>
      </c>
      <c r="AI970">
        <v>82</v>
      </c>
      <c r="AJ970">
        <v>0</v>
      </c>
      <c r="AK970">
        <v>96</v>
      </c>
      <c r="AL970" t="s">
        <v>872</v>
      </c>
      <c r="AM970" t="s">
        <v>252</v>
      </c>
      <c r="AN970" t="s">
        <v>873</v>
      </c>
      <c r="AO970" t="s">
        <v>3416</v>
      </c>
      <c r="AP970" t="s">
        <v>4643</v>
      </c>
      <c r="AQ970" t="s">
        <v>74</v>
      </c>
      <c r="AR970" t="s">
        <v>3417</v>
      </c>
      <c r="AS970" t="s">
        <v>3418</v>
      </c>
      <c r="AT970" t="s">
        <v>18253</v>
      </c>
      <c r="AU970">
        <v>2013</v>
      </c>
      <c r="AV970">
        <v>74</v>
      </c>
      <c r="AW970" t="s">
        <v>74</v>
      </c>
      <c r="AX970" t="s">
        <v>74</v>
      </c>
      <c r="AY970" t="s">
        <v>74</v>
      </c>
      <c r="AZ970" t="s">
        <v>283</v>
      </c>
      <c r="BA970" t="s">
        <v>74</v>
      </c>
      <c r="BB970">
        <v>35</v>
      </c>
      <c r="BC970">
        <v>57</v>
      </c>
      <c r="BD970" t="s">
        <v>74</v>
      </c>
      <c r="BE970" t="s">
        <v>18339</v>
      </c>
      <c r="BF970" t="str">
        <f>HYPERLINK("http://dx.doi.org/10.1016/j.quascirev.2012.07.018","http://dx.doi.org/10.1016/j.quascirev.2012.07.018")</f>
        <v>http://dx.doi.org/10.1016/j.quascirev.2012.07.018</v>
      </c>
      <c r="BG970" t="s">
        <v>74</v>
      </c>
      <c r="BH970" t="s">
        <v>74</v>
      </c>
      <c r="BI970">
        <v>23</v>
      </c>
      <c r="BJ970" t="s">
        <v>98</v>
      </c>
      <c r="BK970" t="s">
        <v>99</v>
      </c>
      <c r="BL970" t="s">
        <v>100</v>
      </c>
      <c r="BM970" t="s">
        <v>18273</v>
      </c>
      <c r="BN970" t="s">
        <v>74</v>
      </c>
      <c r="BO970" t="s">
        <v>74</v>
      </c>
      <c r="BP970" t="s">
        <v>74</v>
      </c>
      <c r="BQ970" t="s">
        <v>74</v>
      </c>
      <c r="BR970" t="s">
        <v>103</v>
      </c>
      <c r="BS970" t="s">
        <v>18340</v>
      </c>
      <c r="BT970" t="str">
        <f>HYPERLINK("https%3A%2F%2Fwww.webofscience.com%2Fwos%2Fwoscc%2Ffull-record%2FWOS:000323188500004","View Full Record in Web of Science")</f>
        <v>View Full Record in Web of Science</v>
      </c>
    </row>
    <row r="971" spans="1:72" x14ac:dyDescent="0.15">
      <c r="A971" t="s">
        <v>72</v>
      </c>
      <c r="B971" t="s">
        <v>18341</v>
      </c>
      <c r="C971" t="s">
        <v>74</v>
      </c>
      <c r="D971" t="s">
        <v>74</v>
      </c>
      <c r="E971" t="s">
        <v>74</v>
      </c>
      <c r="F971" t="s">
        <v>18342</v>
      </c>
      <c r="G971" t="s">
        <v>74</v>
      </c>
      <c r="H971" t="s">
        <v>74</v>
      </c>
      <c r="I971" t="s">
        <v>18343</v>
      </c>
      <c r="J971" t="s">
        <v>3405</v>
      </c>
      <c r="K971" t="s">
        <v>74</v>
      </c>
      <c r="L971" t="s">
        <v>74</v>
      </c>
      <c r="M971" t="s">
        <v>78</v>
      </c>
      <c r="N971" t="s">
        <v>79</v>
      </c>
      <c r="O971" t="s">
        <v>74</v>
      </c>
      <c r="P971" t="s">
        <v>74</v>
      </c>
      <c r="Q971" t="s">
        <v>74</v>
      </c>
      <c r="R971" t="s">
        <v>74</v>
      </c>
      <c r="S971" t="s">
        <v>74</v>
      </c>
      <c r="T971" t="s">
        <v>18344</v>
      </c>
      <c r="U971" t="s">
        <v>18345</v>
      </c>
      <c r="V971" t="s">
        <v>18346</v>
      </c>
      <c r="W971" t="s">
        <v>18347</v>
      </c>
      <c r="X971" t="s">
        <v>18348</v>
      </c>
      <c r="Y971" t="s">
        <v>18316</v>
      </c>
      <c r="Z971" t="s">
        <v>18317</v>
      </c>
      <c r="AA971" t="s">
        <v>18349</v>
      </c>
      <c r="AB971" t="s">
        <v>18350</v>
      </c>
      <c r="AC971" t="s">
        <v>18351</v>
      </c>
      <c r="AD971" t="s">
        <v>18352</v>
      </c>
      <c r="AE971" t="s">
        <v>18353</v>
      </c>
      <c r="AF971" t="s">
        <v>74</v>
      </c>
      <c r="AG971">
        <v>202</v>
      </c>
      <c r="AH971">
        <v>147</v>
      </c>
      <c r="AI971">
        <v>155</v>
      </c>
      <c r="AJ971">
        <v>1</v>
      </c>
      <c r="AK971">
        <v>133</v>
      </c>
      <c r="AL971" t="s">
        <v>872</v>
      </c>
      <c r="AM971" t="s">
        <v>252</v>
      </c>
      <c r="AN971" t="s">
        <v>873</v>
      </c>
      <c r="AO971" t="s">
        <v>3416</v>
      </c>
      <c r="AP971" t="s">
        <v>4643</v>
      </c>
      <c r="AQ971" t="s">
        <v>74</v>
      </c>
      <c r="AR971" t="s">
        <v>3417</v>
      </c>
      <c r="AS971" t="s">
        <v>3418</v>
      </c>
      <c r="AT971" t="s">
        <v>18253</v>
      </c>
      <c r="AU971">
        <v>2013</v>
      </c>
      <c r="AV971">
        <v>74</v>
      </c>
      <c r="AW971" t="s">
        <v>74</v>
      </c>
      <c r="AX971" t="s">
        <v>74</v>
      </c>
      <c r="AY971" t="s">
        <v>74</v>
      </c>
      <c r="AZ971" t="s">
        <v>283</v>
      </c>
      <c r="BA971" t="s">
        <v>74</v>
      </c>
      <c r="BB971">
        <v>97</v>
      </c>
      <c r="BC971">
        <v>114</v>
      </c>
      <c r="BD971" t="s">
        <v>74</v>
      </c>
      <c r="BE971" t="s">
        <v>18354</v>
      </c>
      <c r="BF971" t="str">
        <f>HYPERLINK("http://dx.doi.org/10.1016/j.quascirev.2012.11.027","http://dx.doi.org/10.1016/j.quascirev.2012.11.027")</f>
        <v>http://dx.doi.org/10.1016/j.quascirev.2012.11.027</v>
      </c>
      <c r="BG971" t="s">
        <v>74</v>
      </c>
      <c r="BH971" t="s">
        <v>74</v>
      </c>
      <c r="BI971">
        <v>18</v>
      </c>
      <c r="BJ971" t="s">
        <v>98</v>
      </c>
      <c r="BK971" t="s">
        <v>99</v>
      </c>
      <c r="BL971" t="s">
        <v>100</v>
      </c>
      <c r="BM971" t="s">
        <v>18273</v>
      </c>
      <c r="BN971" t="s">
        <v>74</v>
      </c>
      <c r="BO971" t="s">
        <v>831</v>
      </c>
      <c r="BP971" t="s">
        <v>74</v>
      </c>
      <c r="BQ971" t="s">
        <v>74</v>
      </c>
      <c r="BR971" t="s">
        <v>103</v>
      </c>
      <c r="BS971" t="s">
        <v>18355</v>
      </c>
      <c r="BT971" t="str">
        <f>HYPERLINK("https%3A%2F%2Fwww.webofscience.com%2Fwos%2Fwoscc%2Ffull-record%2FWOS:000323188500007","View Full Record in Web of Science")</f>
        <v>View Full Record in Web of Science</v>
      </c>
    </row>
    <row r="972" spans="1:72" x14ac:dyDescent="0.15">
      <c r="A972" t="s">
        <v>72</v>
      </c>
      <c r="B972" t="s">
        <v>18356</v>
      </c>
      <c r="C972" t="s">
        <v>74</v>
      </c>
      <c r="D972" t="s">
        <v>74</v>
      </c>
      <c r="E972" t="s">
        <v>74</v>
      </c>
      <c r="F972" t="s">
        <v>18357</v>
      </c>
      <c r="G972" t="s">
        <v>74</v>
      </c>
      <c r="H972" t="s">
        <v>74</v>
      </c>
      <c r="I972" t="s">
        <v>18358</v>
      </c>
      <c r="J972" t="s">
        <v>3405</v>
      </c>
      <c r="K972" t="s">
        <v>74</v>
      </c>
      <c r="L972" t="s">
        <v>74</v>
      </c>
      <c r="M972" t="s">
        <v>78</v>
      </c>
      <c r="N972" t="s">
        <v>79</v>
      </c>
      <c r="O972" t="s">
        <v>74</v>
      </c>
      <c r="P972" t="s">
        <v>74</v>
      </c>
      <c r="Q972" t="s">
        <v>74</v>
      </c>
      <c r="R972" t="s">
        <v>74</v>
      </c>
      <c r="S972" t="s">
        <v>74</v>
      </c>
      <c r="T972" t="s">
        <v>18359</v>
      </c>
      <c r="U972" t="s">
        <v>18360</v>
      </c>
      <c r="V972" t="s">
        <v>18361</v>
      </c>
      <c r="W972" t="s">
        <v>18362</v>
      </c>
      <c r="X972" t="s">
        <v>18363</v>
      </c>
      <c r="Y972" t="s">
        <v>18364</v>
      </c>
      <c r="Z972" t="s">
        <v>18365</v>
      </c>
      <c r="AA972" t="s">
        <v>18366</v>
      </c>
      <c r="AB972" t="s">
        <v>18367</v>
      </c>
      <c r="AC972" t="s">
        <v>18368</v>
      </c>
      <c r="AD972" t="s">
        <v>18369</v>
      </c>
      <c r="AE972" t="s">
        <v>18370</v>
      </c>
      <c r="AF972" t="s">
        <v>74</v>
      </c>
      <c r="AG972">
        <v>67</v>
      </c>
      <c r="AH972">
        <v>44</v>
      </c>
      <c r="AI972">
        <v>46</v>
      </c>
      <c r="AJ972">
        <v>0</v>
      </c>
      <c r="AK972">
        <v>43</v>
      </c>
      <c r="AL972" t="s">
        <v>872</v>
      </c>
      <c r="AM972" t="s">
        <v>252</v>
      </c>
      <c r="AN972" t="s">
        <v>873</v>
      </c>
      <c r="AO972" t="s">
        <v>3416</v>
      </c>
      <c r="AP972" t="s">
        <v>74</v>
      </c>
      <c r="AQ972" t="s">
        <v>74</v>
      </c>
      <c r="AR972" t="s">
        <v>3417</v>
      </c>
      <c r="AS972" t="s">
        <v>3418</v>
      </c>
      <c r="AT972" t="s">
        <v>18253</v>
      </c>
      <c r="AU972">
        <v>2013</v>
      </c>
      <c r="AV972">
        <v>74</v>
      </c>
      <c r="AW972" t="s">
        <v>74</v>
      </c>
      <c r="AX972" t="s">
        <v>74</v>
      </c>
      <c r="AY972" t="s">
        <v>74</v>
      </c>
      <c r="AZ972" t="s">
        <v>283</v>
      </c>
      <c r="BA972" t="s">
        <v>74</v>
      </c>
      <c r="BB972">
        <v>160</v>
      </c>
      <c r="BC972">
        <v>169</v>
      </c>
      <c r="BD972" t="s">
        <v>74</v>
      </c>
      <c r="BE972" t="s">
        <v>18371</v>
      </c>
      <c r="BF972" t="str">
        <f>HYPERLINK("http://dx.doi.org/10.1016/j.quascirev.2012.09.013","http://dx.doi.org/10.1016/j.quascirev.2012.09.013")</f>
        <v>http://dx.doi.org/10.1016/j.quascirev.2012.09.013</v>
      </c>
      <c r="BG972" t="s">
        <v>74</v>
      </c>
      <c r="BH972" t="s">
        <v>74</v>
      </c>
      <c r="BI972">
        <v>10</v>
      </c>
      <c r="BJ972" t="s">
        <v>98</v>
      </c>
      <c r="BK972" t="s">
        <v>99</v>
      </c>
      <c r="BL972" t="s">
        <v>100</v>
      </c>
      <c r="BM972" t="s">
        <v>18273</v>
      </c>
      <c r="BN972" t="s">
        <v>74</v>
      </c>
      <c r="BO972" t="s">
        <v>831</v>
      </c>
      <c r="BP972" t="s">
        <v>74</v>
      </c>
      <c r="BQ972" t="s">
        <v>74</v>
      </c>
      <c r="BR972" t="s">
        <v>103</v>
      </c>
      <c r="BS972" t="s">
        <v>18372</v>
      </c>
      <c r="BT972" t="str">
        <f>HYPERLINK("https%3A%2F%2Fwww.webofscience.com%2Fwos%2Fwoscc%2Ffull-record%2FWOS:000323188500010","View Full Record in Web of Science")</f>
        <v>View Full Record in Web of Science</v>
      </c>
    </row>
    <row r="973" spans="1:72" x14ac:dyDescent="0.15">
      <c r="A973" t="s">
        <v>72</v>
      </c>
      <c r="B973" t="s">
        <v>18373</v>
      </c>
      <c r="C973" t="s">
        <v>74</v>
      </c>
      <c r="D973" t="s">
        <v>74</v>
      </c>
      <c r="E973" t="s">
        <v>74</v>
      </c>
      <c r="F973" t="s">
        <v>18374</v>
      </c>
      <c r="G973" t="s">
        <v>74</v>
      </c>
      <c r="H973" t="s">
        <v>74</v>
      </c>
      <c r="I973" t="s">
        <v>18375</v>
      </c>
      <c r="J973" t="s">
        <v>3405</v>
      </c>
      <c r="K973" t="s">
        <v>74</v>
      </c>
      <c r="L973" t="s">
        <v>74</v>
      </c>
      <c r="M973" t="s">
        <v>78</v>
      </c>
      <c r="N973" t="s">
        <v>79</v>
      </c>
      <c r="O973" t="s">
        <v>74</v>
      </c>
      <c r="P973" t="s">
        <v>74</v>
      </c>
      <c r="Q973" t="s">
        <v>74</v>
      </c>
      <c r="R973" t="s">
        <v>74</v>
      </c>
      <c r="S973" t="s">
        <v>74</v>
      </c>
      <c r="T973" t="s">
        <v>18376</v>
      </c>
      <c r="U973" t="s">
        <v>18377</v>
      </c>
      <c r="V973" t="s">
        <v>18378</v>
      </c>
      <c r="W973" t="s">
        <v>18379</v>
      </c>
      <c r="X973" t="s">
        <v>18380</v>
      </c>
      <c r="Y973" t="s">
        <v>18381</v>
      </c>
      <c r="Z973" t="s">
        <v>18382</v>
      </c>
      <c r="AA973" t="s">
        <v>18383</v>
      </c>
      <c r="AB973" t="s">
        <v>18384</v>
      </c>
      <c r="AC973" t="s">
        <v>18385</v>
      </c>
      <c r="AD973" t="s">
        <v>18386</v>
      </c>
      <c r="AE973" t="s">
        <v>18387</v>
      </c>
      <c r="AF973" t="s">
        <v>74</v>
      </c>
      <c r="AG973">
        <v>166</v>
      </c>
      <c r="AH973">
        <v>131</v>
      </c>
      <c r="AI973">
        <v>139</v>
      </c>
      <c r="AJ973">
        <v>0</v>
      </c>
      <c r="AK973">
        <v>68</v>
      </c>
      <c r="AL973" t="s">
        <v>872</v>
      </c>
      <c r="AM973" t="s">
        <v>252</v>
      </c>
      <c r="AN973" t="s">
        <v>873</v>
      </c>
      <c r="AO973" t="s">
        <v>3416</v>
      </c>
      <c r="AP973" t="s">
        <v>74</v>
      </c>
      <c r="AQ973" t="s">
        <v>74</v>
      </c>
      <c r="AR973" t="s">
        <v>3417</v>
      </c>
      <c r="AS973" t="s">
        <v>3418</v>
      </c>
      <c r="AT973" t="s">
        <v>18253</v>
      </c>
      <c r="AU973">
        <v>2013</v>
      </c>
      <c r="AV973">
        <v>74</v>
      </c>
      <c r="AW973" t="s">
        <v>74</v>
      </c>
      <c r="AX973" t="s">
        <v>74</v>
      </c>
      <c r="AY973" t="s">
        <v>74</v>
      </c>
      <c r="AZ973" t="s">
        <v>283</v>
      </c>
      <c r="BA973" t="s">
        <v>74</v>
      </c>
      <c r="BB973">
        <v>170</v>
      </c>
      <c r="BC973">
        <v>194</v>
      </c>
      <c r="BD973" t="s">
        <v>74</v>
      </c>
      <c r="BE973" t="s">
        <v>18388</v>
      </c>
      <c r="BF973" t="str">
        <f>HYPERLINK("http://dx.doi.org/10.1016/j.quascirev.2012.11.022","http://dx.doi.org/10.1016/j.quascirev.2012.11.022")</f>
        <v>http://dx.doi.org/10.1016/j.quascirev.2012.11.022</v>
      </c>
      <c r="BG973" t="s">
        <v>74</v>
      </c>
      <c r="BH973" t="s">
        <v>74</v>
      </c>
      <c r="BI973">
        <v>25</v>
      </c>
      <c r="BJ973" t="s">
        <v>98</v>
      </c>
      <c r="BK973" t="s">
        <v>99</v>
      </c>
      <c r="BL973" t="s">
        <v>100</v>
      </c>
      <c r="BM973" t="s">
        <v>18273</v>
      </c>
      <c r="BN973" t="s">
        <v>74</v>
      </c>
      <c r="BO973" t="s">
        <v>450</v>
      </c>
      <c r="BP973" t="s">
        <v>74</v>
      </c>
      <c r="BQ973" t="s">
        <v>74</v>
      </c>
      <c r="BR973" t="s">
        <v>103</v>
      </c>
      <c r="BS973" t="s">
        <v>18389</v>
      </c>
      <c r="BT973" t="str">
        <f>HYPERLINK("https%3A%2F%2Fwww.webofscience.com%2Fwos%2Fwoscc%2Ffull-record%2FWOS:000323188500011","View Full Record in Web of Science")</f>
        <v>View Full Record in Web of Science</v>
      </c>
    </row>
    <row r="974" spans="1:72" x14ac:dyDescent="0.15">
      <c r="A974" t="s">
        <v>72</v>
      </c>
      <c r="B974" t="s">
        <v>18390</v>
      </c>
      <c r="C974" t="s">
        <v>74</v>
      </c>
      <c r="D974" t="s">
        <v>74</v>
      </c>
      <c r="E974" t="s">
        <v>74</v>
      </c>
      <c r="F974" t="s">
        <v>18391</v>
      </c>
      <c r="G974" t="s">
        <v>74</v>
      </c>
      <c r="H974" t="s">
        <v>74</v>
      </c>
      <c r="I974" t="s">
        <v>18392</v>
      </c>
      <c r="J974" t="s">
        <v>3405</v>
      </c>
      <c r="K974" t="s">
        <v>74</v>
      </c>
      <c r="L974" t="s">
        <v>74</v>
      </c>
      <c r="M974" t="s">
        <v>78</v>
      </c>
      <c r="N974" t="s">
        <v>79</v>
      </c>
      <c r="O974" t="s">
        <v>74</v>
      </c>
      <c r="P974" t="s">
        <v>74</v>
      </c>
      <c r="Q974" t="s">
        <v>74</v>
      </c>
      <c r="R974" t="s">
        <v>74</v>
      </c>
      <c r="S974" t="s">
        <v>74</v>
      </c>
      <c r="T974" t="s">
        <v>18393</v>
      </c>
      <c r="U974" t="s">
        <v>18394</v>
      </c>
      <c r="V974" t="s">
        <v>18395</v>
      </c>
      <c r="W974" t="s">
        <v>18396</v>
      </c>
      <c r="X974" t="s">
        <v>18397</v>
      </c>
      <c r="Y974" t="s">
        <v>18398</v>
      </c>
      <c r="Z974" t="s">
        <v>18399</v>
      </c>
      <c r="AA974" t="s">
        <v>18400</v>
      </c>
      <c r="AB974" t="s">
        <v>18401</v>
      </c>
      <c r="AC974" t="s">
        <v>18402</v>
      </c>
      <c r="AD974" t="s">
        <v>18402</v>
      </c>
      <c r="AE974" t="s">
        <v>18403</v>
      </c>
      <c r="AF974" t="s">
        <v>74</v>
      </c>
      <c r="AG974">
        <v>79</v>
      </c>
      <c r="AH974">
        <v>13</v>
      </c>
      <c r="AI974">
        <v>13</v>
      </c>
      <c r="AJ974">
        <v>0</v>
      </c>
      <c r="AK974">
        <v>32</v>
      </c>
      <c r="AL974" t="s">
        <v>872</v>
      </c>
      <c r="AM974" t="s">
        <v>252</v>
      </c>
      <c r="AN974" t="s">
        <v>873</v>
      </c>
      <c r="AO974" t="s">
        <v>3416</v>
      </c>
      <c r="AP974" t="s">
        <v>74</v>
      </c>
      <c r="AQ974" t="s">
        <v>74</v>
      </c>
      <c r="AR974" t="s">
        <v>3417</v>
      </c>
      <c r="AS974" t="s">
        <v>3418</v>
      </c>
      <c r="AT974" t="s">
        <v>18253</v>
      </c>
      <c r="AU974">
        <v>2013</v>
      </c>
      <c r="AV974">
        <v>74</v>
      </c>
      <c r="AW974" t="s">
        <v>74</v>
      </c>
      <c r="AX974" t="s">
        <v>74</v>
      </c>
      <c r="AY974" t="s">
        <v>74</v>
      </c>
      <c r="AZ974" t="s">
        <v>283</v>
      </c>
      <c r="BA974" t="s">
        <v>74</v>
      </c>
      <c r="BB974">
        <v>230</v>
      </c>
      <c r="BC974">
        <v>244</v>
      </c>
      <c r="BD974" t="s">
        <v>74</v>
      </c>
      <c r="BE974" t="s">
        <v>18404</v>
      </c>
      <c r="BF974" t="str">
        <f>HYPERLINK("http://dx.doi.org/10.1016/j.quascirev.2012.12.007","http://dx.doi.org/10.1016/j.quascirev.2012.12.007")</f>
        <v>http://dx.doi.org/10.1016/j.quascirev.2012.12.007</v>
      </c>
      <c r="BG974" t="s">
        <v>74</v>
      </c>
      <c r="BH974" t="s">
        <v>74</v>
      </c>
      <c r="BI974">
        <v>15</v>
      </c>
      <c r="BJ974" t="s">
        <v>98</v>
      </c>
      <c r="BK974" t="s">
        <v>99</v>
      </c>
      <c r="BL974" t="s">
        <v>100</v>
      </c>
      <c r="BM974" t="s">
        <v>18273</v>
      </c>
      <c r="BN974" t="s">
        <v>74</v>
      </c>
      <c r="BO974" t="s">
        <v>831</v>
      </c>
      <c r="BP974" t="s">
        <v>74</v>
      </c>
      <c r="BQ974" t="s">
        <v>74</v>
      </c>
      <c r="BR974" t="s">
        <v>103</v>
      </c>
      <c r="BS974" t="s">
        <v>18405</v>
      </c>
      <c r="BT974" t="str">
        <f>HYPERLINK("https%3A%2F%2Fwww.webofscience.com%2Fwos%2Fwoscc%2Ffull-record%2FWOS:000323188500015","View Full Record in Web of Science")</f>
        <v>View Full Record in Web of Science</v>
      </c>
    </row>
    <row r="975" spans="1:72" x14ac:dyDescent="0.15">
      <c r="A975" t="s">
        <v>72</v>
      </c>
      <c r="B975" t="s">
        <v>18406</v>
      </c>
      <c r="C975" t="s">
        <v>74</v>
      </c>
      <c r="D975" t="s">
        <v>74</v>
      </c>
      <c r="E975" t="s">
        <v>74</v>
      </c>
      <c r="F975" t="s">
        <v>18407</v>
      </c>
      <c r="G975" t="s">
        <v>74</v>
      </c>
      <c r="H975" t="s">
        <v>74</v>
      </c>
      <c r="I975" t="s">
        <v>18408</v>
      </c>
      <c r="J975" t="s">
        <v>861</v>
      </c>
      <c r="K975" t="s">
        <v>74</v>
      </c>
      <c r="L975" t="s">
        <v>74</v>
      </c>
      <c r="M975" t="s">
        <v>78</v>
      </c>
      <c r="N975" t="s">
        <v>79</v>
      </c>
      <c r="O975" t="s">
        <v>74</v>
      </c>
      <c r="P975" t="s">
        <v>74</v>
      </c>
      <c r="Q975" t="s">
        <v>74</v>
      </c>
      <c r="R975" t="s">
        <v>74</v>
      </c>
      <c r="S975" t="s">
        <v>74</v>
      </c>
      <c r="T975" t="s">
        <v>74</v>
      </c>
      <c r="U975" t="s">
        <v>18409</v>
      </c>
      <c r="V975" t="s">
        <v>18410</v>
      </c>
      <c r="W975" t="s">
        <v>18411</v>
      </c>
      <c r="X975" t="s">
        <v>18412</v>
      </c>
      <c r="Y975" t="s">
        <v>18413</v>
      </c>
      <c r="Z975" t="s">
        <v>18414</v>
      </c>
      <c r="AA975" t="s">
        <v>74</v>
      </c>
      <c r="AB975" t="s">
        <v>74</v>
      </c>
      <c r="AC975" t="s">
        <v>18415</v>
      </c>
      <c r="AD975" t="s">
        <v>18416</v>
      </c>
      <c r="AE975" t="s">
        <v>18417</v>
      </c>
      <c r="AF975" t="s">
        <v>74</v>
      </c>
      <c r="AG975">
        <v>118</v>
      </c>
      <c r="AH975">
        <v>46</v>
      </c>
      <c r="AI975">
        <v>52</v>
      </c>
      <c r="AJ975">
        <v>0</v>
      </c>
      <c r="AK975">
        <v>35</v>
      </c>
      <c r="AL975" t="s">
        <v>872</v>
      </c>
      <c r="AM975" t="s">
        <v>252</v>
      </c>
      <c r="AN975" t="s">
        <v>873</v>
      </c>
      <c r="AO975" t="s">
        <v>874</v>
      </c>
      <c r="AP975" t="s">
        <v>875</v>
      </c>
      <c r="AQ975" t="s">
        <v>74</v>
      </c>
      <c r="AR975" t="s">
        <v>876</v>
      </c>
      <c r="AS975" t="s">
        <v>877</v>
      </c>
      <c r="AT975" t="s">
        <v>18253</v>
      </c>
      <c r="AU975">
        <v>2013</v>
      </c>
      <c r="AV975">
        <v>115</v>
      </c>
      <c r="AW975" t="s">
        <v>74</v>
      </c>
      <c r="AX975" t="s">
        <v>74</v>
      </c>
      <c r="AY975" t="s">
        <v>74</v>
      </c>
      <c r="AZ975" t="s">
        <v>74</v>
      </c>
      <c r="BA975" t="s">
        <v>74</v>
      </c>
      <c r="BB975">
        <v>137</v>
      </c>
      <c r="BC975">
        <v>161</v>
      </c>
      <c r="BD975" t="s">
        <v>74</v>
      </c>
      <c r="BE975" t="s">
        <v>18418</v>
      </c>
      <c r="BF975" t="str">
        <f>HYPERLINK("http://dx.doi.org/10.1016/j.gca.2013.04.002","http://dx.doi.org/10.1016/j.gca.2013.04.002")</f>
        <v>http://dx.doi.org/10.1016/j.gca.2013.04.002</v>
      </c>
      <c r="BG975" t="s">
        <v>74</v>
      </c>
      <c r="BH975" t="s">
        <v>74</v>
      </c>
      <c r="BI975">
        <v>25</v>
      </c>
      <c r="BJ975" t="s">
        <v>313</v>
      </c>
      <c r="BK975" t="s">
        <v>99</v>
      </c>
      <c r="BL975" t="s">
        <v>313</v>
      </c>
      <c r="BM975" t="s">
        <v>18419</v>
      </c>
      <c r="BN975" t="s">
        <v>74</v>
      </c>
      <c r="BO975" t="s">
        <v>74</v>
      </c>
      <c r="BP975" t="s">
        <v>74</v>
      </c>
      <c r="BQ975" t="s">
        <v>74</v>
      </c>
      <c r="BR975" t="s">
        <v>103</v>
      </c>
      <c r="BS975" t="s">
        <v>18420</v>
      </c>
      <c r="BT975" t="str">
        <f>HYPERLINK("https%3A%2F%2Fwww.webofscience.com%2Fwos%2Fwoscc%2Ffull-record%2FWOS:000319507900009","View Full Record in Web of Science")</f>
        <v>View Full Record in Web of Science</v>
      </c>
    </row>
    <row r="976" spans="1:72" x14ac:dyDescent="0.15">
      <c r="A976" t="s">
        <v>72</v>
      </c>
      <c r="B976" t="s">
        <v>18421</v>
      </c>
      <c r="C976" t="s">
        <v>74</v>
      </c>
      <c r="D976" t="s">
        <v>74</v>
      </c>
      <c r="E976" t="s">
        <v>74</v>
      </c>
      <c r="F976" t="s">
        <v>18422</v>
      </c>
      <c r="G976" t="s">
        <v>74</v>
      </c>
      <c r="H976" t="s">
        <v>74</v>
      </c>
      <c r="I976" t="s">
        <v>18423</v>
      </c>
      <c r="J976" t="s">
        <v>7909</v>
      </c>
      <c r="K976" t="s">
        <v>74</v>
      </c>
      <c r="L976" t="s">
        <v>74</v>
      </c>
      <c r="M976" t="s">
        <v>78</v>
      </c>
      <c r="N976" t="s">
        <v>79</v>
      </c>
      <c r="O976" t="s">
        <v>74</v>
      </c>
      <c r="P976" t="s">
        <v>74</v>
      </c>
      <c r="Q976" t="s">
        <v>74</v>
      </c>
      <c r="R976" t="s">
        <v>74</v>
      </c>
      <c r="S976" t="s">
        <v>74</v>
      </c>
      <c r="T976" t="s">
        <v>74</v>
      </c>
      <c r="U976" t="s">
        <v>18424</v>
      </c>
      <c r="V976" t="s">
        <v>18425</v>
      </c>
      <c r="W976" t="s">
        <v>18426</v>
      </c>
      <c r="X976" t="s">
        <v>18427</v>
      </c>
      <c r="Y976" t="s">
        <v>18428</v>
      </c>
      <c r="Z976" t="s">
        <v>18429</v>
      </c>
      <c r="AA976" t="s">
        <v>74</v>
      </c>
      <c r="AB976" t="s">
        <v>74</v>
      </c>
      <c r="AC976" t="s">
        <v>18430</v>
      </c>
      <c r="AD976" t="s">
        <v>18431</v>
      </c>
      <c r="AE976" t="s">
        <v>18432</v>
      </c>
      <c r="AF976" t="s">
        <v>74</v>
      </c>
      <c r="AG976">
        <v>111</v>
      </c>
      <c r="AH976">
        <v>25</v>
      </c>
      <c r="AI976">
        <v>27</v>
      </c>
      <c r="AJ976">
        <v>1</v>
      </c>
      <c r="AK976">
        <v>17</v>
      </c>
      <c r="AL976" t="s">
        <v>872</v>
      </c>
      <c r="AM976" t="s">
        <v>252</v>
      </c>
      <c r="AN976" t="s">
        <v>873</v>
      </c>
      <c r="AO976" t="s">
        <v>7925</v>
      </c>
      <c r="AP976" t="s">
        <v>7926</v>
      </c>
      <c r="AQ976" t="s">
        <v>74</v>
      </c>
      <c r="AR976" t="s">
        <v>7927</v>
      </c>
      <c r="AS976" t="s">
        <v>7928</v>
      </c>
      <c r="AT976" t="s">
        <v>18433</v>
      </c>
      <c r="AU976">
        <v>2013</v>
      </c>
      <c r="AV976">
        <v>305</v>
      </c>
      <c r="AW976" t="s">
        <v>74</v>
      </c>
      <c r="AX976" t="s">
        <v>74</v>
      </c>
      <c r="AY976" t="s">
        <v>74</v>
      </c>
      <c r="AZ976" t="s">
        <v>74</v>
      </c>
      <c r="BA976" t="s">
        <v>74</v>
      </c>
      <c r="BB976">
        <v>104</v>
      </c>
      <c r="BC976">
        <v>118</v>
      </c>
      <c r="BD976" t="s">
        <v>74</v>
      </c>
      <c r="BE976" t="s">
        <v>18434</v>
      </c>
      <c r="BF976" t="str">
        <f>HYPERLINK("http://dx.doi.org/10.1016/j.quaint.2012.11.005","http://dx.doi.org/10.1016/j.quaint.2012.11.005")</f>
        <v>http://dx.doi.org/10.1016/j.quaint.2012.11.005</v>
      </c>
      <c r="BG976" t="s">
        <v>74</v>
      </c>
      <c r="BH976" t="s">
        <v>74</v>
      </c>
      <c r="BI976">
        <v>15</v>
      </c>
      <c r="BJ976" t="s">
        <v>98</v>
      </c>
      <c r="BK976" t="s">
        <v>99</v>
      </c>
      <c r="BL976" t="s">
        <v>100</v>
      </c>
      <c r="BM976" t="s">
        <v>18435</v>
      </c>
      <c r="BN976" t="s">
        <v>74</v>
      </c>
      <c r="BO976" t="s">
        <v>831</v>
      </c>
      <c r="BP976" t="s">
        <v>74</v>
      </c>
      <c r="BQ976" t="s">
        <v>74</v>
      </c>
      <c r="BR976" t="s">
        <v>103</v>
      </c>
      <c r="BS976" t="s">
        <v>18436</v>
      </c>
      <c r="BT976" t="str">
        <f>HYPERLINK("https%3A%2F%2Fwww.webofscience.com%2Fwos%2Fwoscc%2Ffull-record%2FWOS:000323470400012","View Full Record in Web of Science")</f>
        <v>View Full Record in Web of Science</v>
      </c>
    </row>
    <row r="977" spans="1:72" x14ac:dyDescent="0.15">
      <c r="A977" t="s">
        <v>72</v>
      </c>
      <c r="B977" t="s">
        <v>18437</v>
      </c>
      <c r="C977" t="s">
        <v>74</v>
      </c>
      <c r="D977" t="s">
        <v>74</v>
      </c>
      <c r="E977" t="s">
        <v>74</v>
      </c>
      <c r="F977" t="s">
        <v>18438</v>
      </c>
      <c r="G977" t="s">
        <v>74</v>
      </c>
      <c r="H977" t="s">
        <v>74</v>
      </c>
      <c r="I977" t="s">
        <v>18439</v>
      </c>
      <c r="J977" t="s">
        <v>7909</v>
      </c>
      <c r="K977" t="s">
        <v>74</v>
      </c>
      <c r="L977" t="s">
        <v>74</v>
      </c>
      <c r="M977" t="s">
        <v>78</v>
      </c>
      <c r="N977" t="s">
        <v>79</v>
      </c>
      <c r="O977" t="s">
        <v>74</v>
      </c>
      <c r="P977" t="s">
        <v>74</v>
      </c>
      <c r="Q977" t="s">
        <v>74</v>
      </c>
      <c r="R977" t="s">
        <v>74</v>
      </c>
      <c r="S977" t="s">
        <v>74</v>
      </c>
      <c r="T977" t="s">
        <v>74</v>
      </c>
      <c r="U977" t="s">
        <v>18440</v>
      </c>
      <c r="V977" t="s">
        <v>18441</v>
      </c>
      <c r="W977" t="s">
        <v>18442</v>
      </c>
      <c r="X977" t="s">
        <v>18443</v>
      </c>
      <c r="Y977" t="s">
        <v>18444</v>
      </c>
      <c r="Z977" t="s">
        <v>18445</v>
      </c>
      <c r="AA977" t="s">
        <v>18446</v>
      </c>
      <c r="AB977" t="s">
        <v>18447</v>
      </c>
      <c r="AC977" t="s">
        <v>18448</v>
      </c>
      <c r="AD977" t="s">
        <v>18449</v>
      </c>
      <c r="AE977" t="s">
        <v>18450</v>
      </c>
      <c r="AF977" t="s">
        <v>74</v>
      </c>
      <c r="AG977">
        <v>124</v>
      </c>
      <c r="AH977">
        <v>20</v>
      </c>
      <c r="AI977">
        <v>20</v>
      </c>
      <c r="AJ977">
        <v>0</v>
      </c>
      <c r="AK977">
        <v>12</v>
      </c>
      <c r="AL977" t="s">
        <v>872</v>
      </c>
      <c r="AM977" t="s">
        <v>252</v>
      </c>
      <c r="AN977" t="s">
        <v>873</v>
      </c>
      <c r="AO977" t="s">
        <v>7925</v>
      </c>
      <c r="AP977" t="s">
        <v>7926</v>
      </c>
      <c r="AQ977" t="s">
        <v>74</v>
      </c>
      <c r="AR977" t="s">
        <v>7927</v>
      </c>
      <c r="AS977" t="s">
        <v>7928</v>
      </c>
      <c r="AT977" t="s">
        <v>18433</v>
      </c>
      <c r="AU977">
        <v>2013</v>
      </c>
      <c r="AV977">
        <v>305</v>
      </c>
      <c r="AW977" t="s">
        <v>74</v>
      </c>
      <c r="AX977" t="s">
        <v>74</v>
      </c>
      <c r="AY977" t="s">
        <v>74</v>
      </c>
      <c r="AZ977" t="s">
        <v>74</v>
      </c>
      <c r="BA977" t="s">
        <v>74</v>
      </c>
      <c r="BB977">
        <v>188</v>
      </c>
      <c r="BC977">
        <v>205</v>
      </c>
      <c r="BD977" t="s">
        <v>74</v>
      </c>
      <c r="BE977" t="s">
        <v>18451</v>
      </c>
      <c r="BF977" t="str">
        <f>HYPERLINK("http://dx.doi.org/10.1016/j.quaint.2013.02.017","http://dx.doi.org/10.1016/j.quaint.2013.02.017")</f>
        <v>http://dx.doi.org/10.1016/j.quaint.2013.02.017</v>
      </c>
      <c r="BG977" t="s">
        <v>74</v>
      </c>
      <c r="BH977" t="s">
        <v>74</v>
      </c>
      <c r="BI977">
        <v>18</v>
      </c>
      <c r="BJ977" t="s">
        <v>98</v>
      </c>
      <c r="BK977" t="s">
        <v>99</v>
      </c>
      <c r="BL977" t="s">
        <v>100</v>
      </c>
      <c r="BM977" t="s">
        <v>18435</v>
      </c>
      <c r="BN977" t="s">
        <v>74</v>
      </c>
      <c r="BO977" t="s">
        <v>831</v>
      </c>
      <c r="BP977" t="s">
        <v>74</v>
      </c>
      <c r="BQ977" t="s">
        <v>74</v>
      </c>
      <c r="BR977" t="s">
        <v>103</v>
      </c>
      <c r="BS977" t="s">
        <v>18452</v>
      </c>
      <c r="BT977" t="str">
        <f>HYPERLINK("https%3A%2F%2Fwww.webofscience.com%2Fwos%2Fwoscc%2Ffull-record%2FWOS:000323470400018","View Full Record in Web of Science")</f>
        <v>View Full Record in Web of Science</v>
      </c>
    </row>
    <row r="978" spans="1:72" x14ac:dyDescent="0.15">
      <c r="A978" t="s">
        <v>72</v>
      </c>
      <c r="B978" t="s">
        <v>18453</v>
      </c>
      <c r="C978" t="s">
        <v>74</v>
      </c>
      <c r="D978" t="s">
        <v>74</v>
      </c>
      <c r="E978" t="s">
        <v>74</v>
      </c>
      <c r="F978" t="s">
        <v>18454</v>
      </c>
      <c r="G978" t="s">
        <v>74</v>
      </c>
      <c r="H978" t="s">
        <v>74</v>
      </c>
      <c r="I978" t="s">
        <v>18455</v>
      </c>
      <c r="J978" t="s">
        <v>18456</v>
      </c>
      <c r="K978" t="s">
        <v>74</v>
      </c>
      <c r="L978" t="s">
        <v>74</v>
      </c>
      <c r="M978" t="s">
        <v>78</v>
      </c>
      <c r="N978" t="s">
        <v>79</v>
      </c>
      <c r="O978" t="s">
        <v>74</v>
      </c>
      <c r="P978" t="s">
        <v>74</v>
      </c>
      <c r="Q978" t="s">
        <v>74</v>
      </c>
      <c r="R978" t="s">
        <v>74</v>
      </c>
      <c r="S978" t="s">
        <v>74</v>
      </c>
      <c r="T978" t="s">
        <v>74</v>
      </c>
      <c r="U978" t="s">
        <v>18457</v>
      </c>
      <c r="V978" t="s">
        <v>18458</v>
      </c>
      <c r="W978" t="s">
        <v>18459</v>
      </c>
      <c r="X978" t="s">
        <v>18460</v>
      </c>
      <c r="Y978" t="s">
        <v>18461</v>
      </c>
      <c r="Z978" t="s">
        <v>18462</v>
      </c>
      <c r="AA978" t="s">
        <v>18463</v>
      </c>
      <c r="AB978" t="s">
        <v>18464</v>
      </c>
      <c r="AC978" t="s">
        <v>18465</v>
      </c>
      <c r="AD978" t="s">
        <v>18466</v>
      </c>
      <c r="AE978" t="s">
        <v>18467</v>
      </c>
      <c r="AF978" t="s">
        <v>74</v>
      </c>
      <c r="AG978">
        <v>33</v>
      </c>
      <c r="AH978">
        <v>13</v>
      </c>
      <c r="AI978">
        <v>16</v>
      </c>
      <c r="AJ978">
        <v>0</v>
      </c>
      <c r="AK978">
        <v>33</v>
      </c>
      <c r="AL978" t="s">
        <v>1469</v>
      </c>
      <c r="AM978" t="s">
        <v>1470</v>
      </c>
      <c r="AN978" t="s">
        <v>1471</v>
      </c>
      <c r="AO978" t="s">
        <v>18468</v>
      </c>
      <c r="AP978" t="s">
        <v>18469</v>
      </c>
      <c r="AQ978" t="s">
        <v>74</v>
      </c>
      <c r="AR978" t="s">
        <v>18470</v>
      </c>
      <c r="AS978" t="s">
        <v>18471</v>
      </c>
      <c r="AT978" t="s">
        <v>18433</v>
      </c>
      <c r="AU978">
        <v>2013</v>
      </c>
      <c r="AV978">
        <v>11</v>
      </c>
      <c r="AW978">
        <v>30</v>
      </c>
      <c r="AX978" t="s">
        <v>74</v>
      </c>
      <c r="AY978" t="s">
        <v>74</v>
      </c>
      <c r="AZ978" t="s">
        <v>74</v>
      </c>
      <c r="BA978" t="s">
        <v>74</v>
      </c>
      <c r="BB978">
        <v>4935</v>
      </c>
      <c r="BC978">
        <v>4942</v>
      </c>
      <c r="BD978" t="s">
        <v>74</v>
      </c>
      <c r="BE978" t="s">
        <v>18472</v>
      </c>
      <c r="BF978" t="str">
        <f>HYPERLINK("http://dx.doi.org/10.1039/c3ob41066h","http://dx.doi.org/10.1039/c3ob41066h")</f>
        <v>http://dx.doi.org/10.1039/c3ob41066h</v>
      </c>
      <c r="BG978" t="s">
        <v>74</v>
      </c>
      <c r="BH978" t="s">
        <v>74</v>
      </c>
      <c r="BI978">
        <v>8</v>
      </c>
      <c r="BJ978" t="s">
        <v>18473</v>
      </c>
      <c r="BK978" t="s">
        <v>99</v>
      </c>
      <c r="BL978" t="s">
        <v>4975</v>
      </c>
      <c r="BM978" t="s">
        <v>18474</v>
      </c>
      <c r="BN978">
        <v>23788006</v>
      </c>
      <c r="BO978" t="s">
        <v>14882</v>
      </c>
      <c r="BP978" t="s">
        <v>74</v>
      </c>
      <c r="BQ978" t="s">
        <v>74</v>
      </c>
      <c r="BR978" t="s">
        <v>103</v>
      </c>
      <c r="BS978" t="s">
        <v>18475</v>
      </c>
      <c r="BT978" t="str">
        <f>HYPERLINK("https%3A%2F%2Fwww.webofscience.com%2Fwos%2Fwoscc%2Ffull-record%2FWOS:000322554400005","View Full Record in Web of Science")</f>
        <v>View Full Record in Web of Science</v>
      </c>
    </row>
    <row r="979" spans="1:72" x14ac:dyDescent="0.15">
      <c r="A979" t="s">
        <v>72</v>
      </c>
      <c r="B979" t="s">
        <v>18476</v>
      </c>
      <c r="C979" t="s">
        <v>74</v>
      </c>
      <c r="D979" t="s">
        <v>74</v>
      </c>
      <c r="E979" t="s">
        <v>74</v>
      </c>
      <c r="F979" t="s">
        <v>18477</v>
      </c>
      <c r="G979" t="s">
        <v>74</v>
      </c>
      <c r="H979" t="s">
        <v>74</v>
      </c>
      <c r="I979" t="s">
        <v>18478</v>
      </c>
      <c r="J979" t="s">
        <v>4072</v>
      </c>
      <c r="K979" t="s">
        <v>74</v>
      </c>
      <c r="L979" t="s">
        <v>74</v>
      </c>
      <c r="M979" t="s">
        <v>78</v>
      </c>
      <c r="N979" t="s">
        <v>79</v>
      </c>
      <c r="O979" t="s">
        <v>74</v>
      </c>
      <c r="P979" t="s">
        <v>74</v>
      </c>
      <c r="Q979" t="s">
        <v>74</v>
      </c>
      <c r="R979" t="s">
        <v>74</v>
      </c>
      <c r="S979" t="s">
        <v>74</v>
      </c>
      <c r="T979" t="s">
        <v>74</v>
      </c>
      <c r="U979" t="s">
        <v>74</v>
      </c>
      <c r="V979" t="s">
        <v>18479</v>
      </c>
      <c r="W979" t="s">
        <v>18480</v>
      </c>
      <c r="X979" t="s">
        <v>18481</v>
      </c>
      <c r="Y979" t="s">
        <v>18482</v>
      </c>
      <c r="Z979" t="s">
        <v>18483</v>
      </c>
      <c r="AA979" t="s">
        <v>18484</v>
      </c>
      <c r="AB979" t="s">
        <v>18485</v>
      </c>
      <c r="AC979" t="s">
        <v>18486</v>
      </c>
      <c r="AD979" t="s">
        <v>18487</v>
      </c>
      <c r="AE979" t="s">
        <v>18488</v>
      </c>
      <c r="AF979" t="s">
        <v>74</v>
      </c>
      <c r="AG979">
        <v>58</v>
      </c>
      <c r="AH979">
        <v>82</v>
      </c>
      <c r="AI979">
        <v>97</v>
      </c>
      <c r="AJ979">
        <v>3</v>
      </c>
      <c r="AK979">
        <v>78</v>
      </c>
      <c r="AL979" t="s">
        <v>4084</v>
      </c>
      <c r="AM979" t="s">
        <v>4085</v>
      </c>
      <c r="AN979" t="s">
        <v>4086</v>
      </c>
      <c r="AO979" t="s">
        <v>4087</v>
      </c>
      <c r="AP979" t="s">
        <v>74</v>
      </c>
      <c r="AQ979" t="s">
        <v>74</v>
      </c>
      <c r="AR979" t="s">
        <v>4072</v>
      </c>
      <c r="AS979" t="s">
        <v>4088</v>
      </c>
      <c r="AT979" t="s">
        <v>18489</v>
      </c>
      <c r="AU979">
        <v>2013</v>
      </c>
      <c r="AV979">
        <v>8</v>
      </c>
      <c r="AW979">
        <v>8</v>
      </c>
      <c r="AX979" t="s">
        <v>74</v>
      </c>
      <c r="AY979" t="s">
        <v>74</v>
      </c>
      <c r="AZ979" t="s">
        <v>74</v>
      </c>
      <c r="BA979" t="s">
        <v>74</v>
      </c>
      <c r="BB979" t="s">
        <v>74</v>
      </c>
      <c r="BC979" t="s">
        <v>74</v>
      </c>
      <c r="BD979" t="s">
        <v>18490</v>
      </c>
      <c r="BE979" t="s">
        <v>18491</v>
      </c>
      <c r="BF979" t="str">
        <f>HYPERLINK("http://dx.doi.org/10.1371/journal.pone.0071561","http://dx.doi.org/10.1371/journal.pone.0071561")</f>
        <v>http://dx.doi.org/10.1371/journal.pone.0071561</v>
      </c>
      <c r="BG979" t="s">
        <v>74</v>
      </c>
      <c r="BH979" t="s">
        <v>74</v>
      </c>
      <c r="BI979">
        <v>10</v>
      </c>
      <c r="BJ979" t="s">
        <v>2652</v>
      </c>
      <c r="BK979" t="s">
        <v>99</v>
      </c>
      <c r="BL979" t="s">
        <v>2653</v>
      </c>
      <c r="BM979" t="s">
        <v>18492</v>
      </c>
      <c r="BN979">
        <v>23967221</v>
      </c>
      <c r="BO979" t="s">
        <v>4951</v>
      </c>
      <c r="BP979" t="s">
        <v>74</v>
      </c>
      <c r="BQ979" t="s">
        <v>74</v>
      </c>
      <c r="BR979" t="s">
        <v>103</v>
      </c>
      <c r="BS979" t="s">
        <v>18493</v>
      </c>
      <c r="BT979" t="str">
        <f>HYPERLINK("https%3A%2F%2Fwww.webofscience.com%2Fwos%2Fwoscc%2Ffull-record%2FWOS:000323115800064","View Full Record in Web of Science")</f>
        <v>View Full Record in Web of Science</v>
      </c>
    </row>
    <row r="980" spans="1:72" x14ac:dyDescent="0.15">
      <c r="A980" t="s">
        <v>72</v>
      </c>
      <c r="B980" t="s">
        <v>18494</v>
      </c>
      <c r="C980" t="s">
        <v>74</v>
      </c>
      <c r="D980" t="s">
        <v>74</v>
      </c>
      <c r="E980" t="s">
        <v>74</v>
      </c>
      <c r="F980" t="s">
        <v>18495</v>
      </c>
      <c r="G980" t="s">
        <v>74</v>
      </c>
      <c r="H980" t="s">
        <v>74</v>
      </c>
      <c r="I980" t="s">
        <v>18496</v>
      </c>
      <c r="J980" t="s">
        <v>4072</v>
      </c>
      <c r="K980" t="s">
        <v>74</v>
      </c>
      <c r="L980" t="s">
        <v>74</v>
      </c>
      <c r="M980" t="s">
        <v>78</v>
      </c>
      <c r="N980" t="s">
        <v>79</v>
      </c>
      <c r="O980" t="s">
        <v>74</v>
      </c>
      <c r="P980" t="s">
        <v>74</v>
      </c>
      <c r="Q980" t="s">
        <v>74</v>
      </c>
      <c r="R980" t="s">
        <v>74</v>
      </c>
      <c r="S980" t="s">
        <v>74</v>
      </c>
      <c r="T980" t="s">
        <v>74</v>
      </c>
      <c r="U980" t="s">
        <v>18497</v>
      </c>
      <c r="V980" t="s">
        <v>18498</v>
      </c>
      <c r="W980" t="s">
        <v>18499</v>
      </c>
      <c r="X980" t="s">
        <v>18500</v>
      </c>
      <c r="Y980" t="s">
        <v>18501</v>
      </c>
      <c r="Z980" t="s">
        <v>18502</v>
      </c>
      <c r="AA980" t="s">
        <v>18503</v>
      </c>
      <c r="AB980" t="s">
        <v>18504</v>
      </c>
      <c r="AC980" t="s">
        <v>18505</v>
      </c>
      <c r="AD980" t="s">
        <v>18506</v>
      </c>
      <c r="AE980" t="s">
        <v>18507</v>
      </c>
      <c r="AF980" t="s">
        <v>74</v>
      </c>
      <c r="AG980">
        <v>74</v>
      </c>
      <c r="AH980">
        <v>7</v>
      </c>
      <c r="AI980">
        <v>8</v>
      </c>
      <c r="AJ980">
        <v>2</v>
      </c>
      <c r="AK980">
        <v>38</v>
      </c>
      <c r="AL980" t="s">
        <v>4084</v>
      </c>
      <c r="AM980" t="s">
        <v>4085</v>
      </c>
      <c r="AN980" t="s">
        <v>4086</v>
      </c>
      <c r="AO980" t="s">
        <v>4087</v>
      </c>
      <c r="AP980" t="s">
        <v>74</v>
      </c>
      <c r="AQ980" t="s">
        <v>74</v>
      </c>
      <c r="AR980" t="s">
        <v>4072</v>
      </c>
      <c r="AS980" t="s">
        <v>4088</v>
      </c>
      <c r="AT980" t="s">
        <v>18508</v>
      </c>
      <c r="AU980">
        <v>2013</v>
      </c>
      <c r="AV980">
        <v>8</v>
      </c>
      <c r="AW980">
        <v>8</v>
      </c>
      <c r="AX980" t="s">
        <v>74</v>
      </c>
      <c r="AY980" t="s">
        <v>74</v>
      </c>
      <c r="AZ980" t="s">
        <v>74</v>
      </c>
      <c r="BA980" t="s">
        <v>74</v>
      </c>
      <c r="BB980" t="s">
        <v>74</v>
      </c>
      <c r="BC980" t="s">
        <v>74</v>
      </c>
      <c r="BD980" t="s">
        <v>18509</v>
      </c>
      <c r="BE980" t="s">
        <v>18510</v>
      </c>
      <c r="BF980" t="str">
        <f>HYPERLINK("http://dx.doi.org/10.1371/journal.pone.0072355","http://dx.doi.org/10.1371/journal.pone.0072355")</f>
        <v>http://dx.doi.org/10.1371/journal.pone.0072355</v>
      </c>
      <c r="BG980" t="s">
        <v>74</v>
      </c>
      <c r="BH980" t="s">
        <v>74</v>
      </c>
      <c r="BI980">
        <v>13</v>
      </c>
      <c r="BJ980" t="s">
        <v>2652</v>
      </c>
      <c r="BK980" t="s">
        <v>99</v>
      </c>
      <c r="BL980" t="s">
        <v>2653</v>
      </c>
      <c r="BM980" t="s">
        <v>18511</v>
      </c>
      <c r="BN980">
        <v>23951314</v>
      </c>
      <c r="BO980" t="s">
        <v>4093</v>
      </c>
      <c r="BP980" t="s">
        <v>74</v>
      </c>
      <c r="BQ980" t="s">
        <v>74</v>
      </c>
      <c r="BR980" t="s">
        <v>103</v>
      </c>
      <c r="BS980" t="s">
        <v>18512</v>
      </c>
      <c r="BT980" t="str">
        <f>HYPERLINK("https%3A%2F%2Fwww.webofscience.com%2Fwos%2Fwoscc%2Ffull-record%2FWOS:000323097300192","View Full Record in Web of Science")</f>
        <v>View Full Record in Web of Science</v>
      </c>
    </row>
    <row r="981" spans="1:72" x14ac:dyDescent="0.15">
      <c r="A981" t="s">
        <v>72</v>
      </c>
      <c r="B981" t="s">
        <v>16640</v>
      </c>
      <c r="C981" t="s">
        <v>74</v>
      </c>
      <c r="D981" t="s">
        <v>74</v>
      </c>
      <c r="E981" t="s">
        <v>74</v>
      </c>
      <c r="F981" t="s">
        <v>16641</v>
      </c>
      <c r="G981" t="s">
        <v>74</v>
      </c>
      <c r="H981" t="s">
        <v>74</v>
      </c>
      <c r="I981" t="s">
        <v>18513</v>
      </c>
      <c r="J981" t="s">
        <v>4784</v>
      </c>
      <c r="K981" t="s">
        <v>74</v>
      </c>
      <c r="L981" t="s">
        <v>74</v>
      </c>
      <c r="M981" t="s">
        <v>78</v>
      </c>
      <c r="N981" t="s">
        <v>79</v>
      </c>
      <c r="O981" t="s">
        <v>74</v>
      </c>
      <c r="P981" t="s">
        <v>74</v>
      </c>
      <c r="Q981" t="s">
        <v>74</v>
      </c>
      <c r="R981" t="s">
        <v>74</v>
      </c>
      <c r="S981" t="s">
        <v>74</v>
      </c>
      <c r="T981" t="s">
        <v>18514</v>
      </c>
      <c r="U981" t="s">
        <v>18515</v>
      </c>
      <c r="V981" t="s">
        <v>18516</v>
      </c>
      <c r="W981" t="s">
        <v>18517</v>
      </c>
      <c r="X981" t="s">
        <v>18518</v>
      </c>
      <c r="Y981" t="s">
        <v>16647</v>
      </c>
      <c r="Z981" t="s">
        <v>18519</v>
      </c>
      <c r="AA981" t="s">
        <v>16649</v>
      </c>
      <c r="AB981" t="s">
        <v>18520</v>
      </c>
      <c r="AC981" t="s">
        <v>18521</v>
      </c>
      <c r="AD981" t="s">
        <v>18522</v>
      </c>
      <c r="AE981" t="s">
        <v>18523</v>
      </c>
      <c r="AF981" t="s">
        <v>74</v>
      </c>
      <c r="AG981">
        <v>59</v>
      </c>
      <c r="AH981">
        <v>53</v>
      </c>
      <c r="AI981">
        <v>56</v>
      </c>
      <c r="AJ981">
        <v>3</v>
      </c>
      <c r="AK981">
        <v>77</v>
      </c>
      <c r="AL981" t="s">
        <v>4135</v>
      </c>
      <c r="AM981" t="s">
        <v>849</v>
      </c>
      <c r="AN981" t="s">
        <v>4136</v>
      </c>
      <c r="AO981" t="s">
        <v>4794</v>
      </c>
      <c r="AP981" t="s">
        <v>4795</v>
      </c>
      <c r="AQ981" t="s">
        <v>74</v>
      </c>
      <c r="AR981" t="s">
        <v>4796</v>
      </c>
      <c r="AS981" t="s">
        <v>4797</v>
      </c>
      <c r="AT981" t="s">
        <v>18524</v>
      </c>
      <c r="AU981">
        <v>2013</v>
      </c>
      <c r="AV981">
        <v>280</v>
      </c>
      <c r="AW981">
        <v>1764</v>
      </c>
      <c r="AX981" t="s">
        <v>74</v>
      </c>
      <c r="AY981" t="s">
        <v>74</v>
      </c>
      <c r="AZ981" t="s">
        <v>74</v>
      </c>
      <c r="BA981" t="s">
        <v>74</v>
      </c>
      <c r="BB981" t="s">
        <v>74</v>
      </c>
      <c r="BC981" t="s">
        <v>74</v>
      </c>
      <c r="BD981">
        <v>20130718</v>
      </c>
      <c r="BE981" t="s">
        <v>18525</v>
      </c>
      <c r="BF981" t="str">
        <f>HYPERLINK("http://dx.doi.org/10.1098/rspb.2013.0718","http://dx.doi.org/10.1098/rspb.2013.0718")</f>
        <v>http://dx.doi.org/10.1098/rspb.2013.0718</v>
      </c>
      <c r="BG981" t="s">
        <v>74</v>
      </c>
      <c r="BH981" t="s">
        <v>74</v>
      </c>
      <c r="BI981">
        <v>9</v>
      </c>
      <c r="BJ981" t="s">
        <v>4143</v>
      </c>
      <c r="BK981" t="s">
        <v>99</v>
      </c>
      <c r="BL981" t="s">
        <v>4144</v>
      </c>
      <c r="BM981" t="s">
        <v>18526</v>
      </c>
      <c r="BN981">
        <v>23782878</v>
      </c>
      <c r="BO981" t="s">
        <v>18527</v>
      </c>
      <c r="BP981" t="s">
        <v>74</v>
      </c>
      <c r="BQ981" t="s">
        <v>74</v>
      </c>
      <c r="BR981" t="s">
        <v>103</v>
      </c>
      <c r="BS981" t="s">
        <v>18528</v>
      </c>
      <c r="BT981" t="str">
        <f>HYPERLINK("https%3A%2F%2Fwww.webofscience.com%2Fwos%2Fwoscc%2Ffull-record%2FWOS:000320649400004","View Full Record in Web of Science")</f>
        <v>View Full Record in Web of Science</v>
      </c>
    </row>
    <row r="982" spans="1:72" x14ac:dyDescent="0.15">
      <c r="A982" t="s">
        <v>72</v>
      </c>
      <c r="B982" t="s">
        <v>18529</v>
      </c>
      <c r="C982" t="s">
        <v>74</v>
      </c>
      <c r="D982" t="s">
        <v>74</v>
      </c>
      <c r="E982" t="s">
        <v>74</v>
      </c>
      <c r="F982" t="s">
        <v>18530</v>
      </c>
      <c r="G982" t="s">
        <v>74</v>
      </c>
      <c r="H982" t="s">
        <v>74</v>
      </c>
      <c r="I982" t="s">
        <v>18531</v>
      </c>
      <c r="J982" t="s">
        <v>4784</v>
      </c>
      <c r="K982" t="s">
        <v>74</v>
      </c>
      <c r="L982" t="s">
        <v>74</v>
      </c>
      <c r="M982" t="s">
        <v>78</v>
      </c>
      <c r="N982" t="s">
        <v>79</v>
      </c>
      <c r="O982" t="s">
        <v>74</v>
      </c>
      <c r="P982" t="s">
        <v>74</v>
      </c>
      <c r="Q982" t="s">
        <v>74</v>
      </c>
      <c r="R982" t="s">
        <v>74</v>
      </c>
      <c r="S982" t="s">
        <v>74</v>
      </c>
      <c r="T982" t="s">
        <v>18532</v>
      </c>
      <c r="U982" t="s">
        <v>18533</v>
      </c>
      <c r="V982" t="s">
        <v>18534</v>
      </c>
      <c r="W982" t="s">
        <v>18535</v>
      </c>
      <c r="X982" t="s">
        <v>18536</v>
      </c>
      <c r="Y982" t="s">
        <v>18537</v>
      </c>
      <c r="Z982" t="s">
        <v>18538</v>
      </c>
      <c r="AA982" t="s">
        <v>18539</v>
      </c>
      <c r="AB982" t="s">
        <v>18540</v>
      </c>
      <c r="AC982" t="s">
        <v>18541</v>
      </c>
      <c r="AD982" t="s">
        <v>18541</v>
      </c>
      <c r="AE982" t="s">
        <v>18542</v>
      </c>
      <c r="AF982" t="s">
        <v>74</v>
      </c>
      <c r="AG982">
        <v>50</v>
      </c>
      <c r="AH982">
        <v>25</v>
      </c>
      <c r="AI982">
        <v>29</v>
      </c>
      <c r="AJ982">
        <v>1</v>
      </c>
      <c r="AK982">
        <v>82</v>
      </c>
      <c r="AL982" t="s">
        <v>4135</v>
      </c>
      <c r="AM982" t="s">
        <v>849</v>
      </c>
      <c r="AN982" t="s">
        <v>4136</v>
      </c>
      <c r="AO982" t="s">
        <v>4794</v>
      </c>
      <c r="AP982" t="s">
        <v>74</v>
      </c>
      <c r="AQ982" t="s">
        <v>74</v>
      </c>
      <c r="AR982" t="s">
        <v>4796</v>
      </c>
      <c r="AS982" t="s">
        <v>4797</v>
      </c>
      <c r="AT982" t="s">
        <v>18524</v>
      </c>
      <c r="AU982">
        <v>2013</v>
      </c>
      <c r="AV982">
        <v>280</v>
      </c>
      <c r="AW982">
        <v>1764</v>
      </c>
      <c r="AX982" t="s">
        <v>74</v>
      </c>
      <c r="AY982" t="s">
        <v>74</v>
      </c>
      <c r="AZ982" t="s">
        <v>74</v>
      </c>
      <c r="BA982" t="s">
        <v>74</v>
      </c>
      <c r="BB982" t="s">
        <v>74</v>
      </c>
      <c r="BC982" t="s">
        <v>74</v>
      </c>
      <c r="BD982">
        <v>20130847</v>
      </c>
      <c r="BE982" t="s">
        <v>18543</v>
      </c>
      <c r="BF982" t="str">
        <f>HYPERLINK("http://dx.doi.org/10.1098/rspb.2013.0847","http://dx.doi.org/10.1098/rspb.2013.0847")</f>
        <v>http://dx.doi.org/10.1098/rspb.2013.0847</v>
      </c>
      <c r="BG982" t="s">
        <v>74</v>
      </c>
      <c r="BH982" t="s">
        <v>74</v>
      </c>
      <c r="BI982">
        <v>7</v>
      </c>
      <c r="BJ982" t="s">
        <v>4143</v>
      </c>
      <c r="BK982" t="s">
        <v>99</v>
      </c>
      <c r="BL982" t="s">
        <v>4144</v>
      </c>
      <c r="BM982" t="s">
        <v>18526</v>
      </c>
      <c r="BN982">
        <v>23782881</v>
      </c>
      <c r="BO982" t="s">
        <v>1648</v>
      </c>
      <c r="BP982" t="s">
        <v>74</v>
      </c>
      <c r="BQ982" t="s">
        <v>74</v>
      </c>
      <c r="BR982" t="s">
        <v>103</v>
      </c>
      <c r="BS982" t="s">
        <v>18544</v>
      </c>
      <c r="BT982" t="str">
        <f>HYPERLINK("https%3A%2F%2Fwww.webofscience.com%2Fwos%2Fwoscc%2Ffull-record%2FWOS:000320649400007","View Full Record in Web of Science")</f>
        <v>View Full Record in Web of Science</v>
      </c>
    </row>
    <row r="983" spans="1:72" x14ac:dyDescent="0.15">
      <c r="A983" t="s">
        <v>72</v>
      </c>
      <c r="B983" t="s">
        <v>18545</v>
      </c>
      <c r="C983" t="s">
        <v>74</v>
      </c>
      <c r="D983" t="s">
        <v>74</v>
      </c>
      <c r="E983" t="s">
        <v>74</v>
      </c>
      <c r="F983" t="s">
        <v>18546</v>
      </c>
      <c r="G983" t="s">
        <v>74</v>
      </c>
      <c r="H983" t="s">
        <v>74</v>
      </c>
      <c r="I983" t="s">
        <v>18547</v>
      </c>
      <c r="J983" t="s">
        <v>4072</v>
      </c>
      <c r="K983" t="s">
        <v>74</v>
      </c>
      <c r="L983" t="s">
        <v>74</v>
      </c>
      <c r="M983" t="s">
        <v>78</v>
      </c>
      <c r="N983" t="s">
        <v>79</v>
      </c>
      <c r="O983" t="s">
        <v>74</v>
      </c>
      <c r="P983" t="s">
        <v>74</v>
      </c>
      <c r="Q983" t="s">
        <v>74</v>
      </c>
      <c r="R983" t="s">
        <v>74</v>
      </c>
      <c r="S983" t="s">
        <v>74</v>
      </c>
      <c r="T983" t="s">
        <v>74</v>
      </c>
      <c r="U983" t="s">
        <v>18548</v>
      </c>
      <c r="V983" t="s">
        <v>18549</v>
      </c>
      <c r="W983" t="s">
        <v>18550</v>
      </c>
      <c r="X983" t="s">
        <v>18551</v>
      </c>
      <c r="Y983" t="s">
        <v>18552</v>
      </c>
      <c r="Z983" t="s">
        <v>18553</v>
      </c>
      <c r="AA983" t="s">
        <v>18554</v>
      </c>
      <c r="AB983" t="s">
        <v>18555</v>
      </c>
      <c r="AC983" t="s">
        <v>18556</v>
      </c>
      <c r="AD983" t="s">
        <v>18557</v>
      </c>
      <c r="AE983" t="s">
        <v>18558</v>
      </c>
      <c r="AF983" t="s">
        <v>74</v>
      </c>
      <c r="AG983">
        <v>50</v>
      </c>
      <c r="AH983">
        <v>26</v>
      </c>
      <c r="AI983">
        <v>26</v>
      </c>
      <c r="AJ983">
        <v>0</v>
      </c>
      <c r="AK983">
        <v>49</v>
      </c>
      <c r="AL983" t="s">
        <v>4084</v>
      </c>
      <c r="AM983" t="s">
        <v>4085</v>
      </c>
      <c r="AN983" t="s">
        <v>4086</v>
      </c>
      <c r="AO983" t="s">
        <v>4087</v>
      </c>
      <c r="AP983" t="s">
        <v>74</v>
      </c>
      <c r="AQ983" t="s">
        <v>74</v>
      </c>
      <c r="AR983" t="s">
        <v>4072</v>
      </c>
      <c r="AS983" t="s">
        <v>4088</v>
      </c>
      <c r="AT983" t="s">
        <v>18559</v>
      </c>
      <c r="AU983">
        <v>2013</v>
      </c>
      <c r="AV983">
        <v>8</v>
      </c>
      <c r="AW983">
        <v>8</v>
      </c>
      <c r="AX983" t="s">
        <v>74</v>
      </c>
      <c r="AY983" t="s">
        <v>74</v>
      </c>
      <c r="AZ983" t="s">
        <v>74</v>
      </c>
      <c r="BA983" t="s">
        <v>74</v>
      </c>
      <c r="BB983" t="s">
        <v>74</v>
      </c>
      <c r="BC983" t="s">
        <v>74</v>
      </c>
      <c r="BD983" t="s">
        <v>18560</v>
      </c>
      <c r="BE983" t="s">
        <v>18561</v>
      </c>
      <c r="BF983" t="str">
        <f>HYPERLINK("http://dx.doi.org/10.1371/journal.pone.0072093","http://dx.doi.org/10.1371/journal.pone.0072093")</f>
        <v>http://dx.doi.org/10.1371/journal.pone.0072093</v>
      </c>
      <c r="BG983" t="s">
        <v>74</v>
      </c>
      <c r="BH983" t="s">
        <v>74</v>
      </c>
      <c r="BI983">
        <v>15</v>
      </c>
      <c r="BJ983" t="s">
        <v>2652</v>
      </c>
      <c r="BK983" t="s">
        <v>99</v>
      </c>
      <c r="BL983" t="s">
        <v>2653</v>
      </c>
      <c r="BM983" t="s">
        <v>18562</v>
      </c>
      <c r="BN983">
        <v>23940805</v>
      </c>
      <c r="BO983" t="s">
        <v>4862</v>
      </c>
      <c r="BP983" t="s">
        <v>74</v>
      </c>
      <c r="BQ983" t="s">
        <v>74</v>
      </c>
      <c r="BR983" t="s">
        <v>103</v>
      </c>
      <c r="BS983" t="s">
        <v>18563</v>
      </c>
      <c r="BT983" t="str">
        <f>HYPERLINK("https%3A%2F%2Fwww.webofscience.com%2Fwos%2Fwoscc%2Ffull-record%2FWOS:000324465000243","View Full Record in Web of Science")</f>
        <v>View Full Record in Web of Science</v>
      </c>
    </row>
    <row r="984" spans="1:72" x14ac:dyDescent="0.15">
      <c r="A984" t="s">
        <v>72</v>
      </c>
      <c r="B984" t="s">
        <v>18564</v>
      </c>
      <c r="C984" t="s">
        <v>74</v>
      </c>
      <c r="D984" t="s">
        <v>74</v>
      </c>
      <c r="E984" t="s">
        <v>74</v>
      </c>
      <c r="F984" t="s">
        <v>18565</v>
      </c>
      <c r="G984" t="s">
        <v>74</v>
      </c>
      <c r="H984" t="s">
        <v>74</v>
      </c>
      <c r="I984" t="s">
        <v>18566</v>
      </c>
      <c r="J984" t="s">
        <v>4072</v>
      </c>
      <c r="K984" t="s">
        <v>74</v>
      </c>
      <c r="L984" t="s">
        <v>74</v>
      </c>
      <c r="M984" t="s">
        <v>78</v>
      </c>
      <c r="N984" t="s">
        <v>79</v>
      </c>
      <c r="O984" t="s">
        <v>74</v>
      </c>
      <c r="P984" t="s">
        <v>74</v>
      </c>
      <c r="Q984" t="s">
        <v>74</v>
      </c>
      <c r="R984" t="s">
        <v>74</v>
      </c>
      <c r="S984" t="s">
        <v>74</v>
      </c>
      <c r="T984" t="s">
        <v>74</v>
      </c>
      <c r="U984" t="s">
        <v>18567</v>
      </c>
      <c r="V984" t="s">
        <v>18568</v>
      </c>
      <c r="W984" t="s">
        <v>18569</v>
      </c>
      <c r="X984" t="s">
        <v>18570</v>
      </c>
      <c r="Y984" t="s">
        <v>18571</v>
      </c>
      <c r="Z984" t="s">
        <v>18572</v>
      </c>
      <c r="AA984" t="s">
        <v>18573</v>
      </c>
      <c r="AB984" t="s">
        <v>18574</v>
      </c>
      <c r="AC984" t="s">
        <v>18575</v>
      </c>
      <c r="AD984" t="s">
        <v>18576</v>
      </c>
      <c r="AE984" t="s">
        <v>18577</v>
      </c>
      <c r="AF984" t="s">
        <v>74</v>
      </c>
      <c r="AG984">
        <v>75</v>
      </c>
      <c r="AH984">
        <v>19</v>
      </c>
      <c r="AI984">
        <v>21</v>
      </c>
      <c r="AJ984">
        <v>0</v>
      </c>
      <c r="AK984">
        <v>7</v>
      </c>
      <c r="AL984" t="s">
        <v>4084</v>
      </c>
      <c r="AM984" t="s">
        <v>4085</v>
      </c>
      <c r="AN984" t="s">
        <v>4086</v>
      </c>
      <c r="AO984" t="s">
        <v>4087</v>
      </c>
      <c r="AP984" t="s">
        <v>74</v>
      </c>
      <c r="AQ984" t="s">
        <v>74</v>
      </c>
      <c r="AR984" t="s">
        <v>4072</v>
      </c>
      <c r="AS984" t="s">
        <v>4088</v>
      </c>
      <c r="AT984" t="s">
        <v>18578</v>
      </c>
      <c r="AU984">
        <v>2013</v>
      </c>
      <c r="AV984">
        <v>8</v>
      </c>
      <c r="AW984">
        <v>8</v>
      </c>
      <c r="AX984" t="s">
        <v>74</v>
      </c>
      <c r="AY984" t="s">
        <v>74</v>
      </c>
      <c r="AZ984" t="s">
        <v>74</v>
      </c>
      <c r="BA984" t="s">
        <v>74</v>
      </c>
      <c r="BB984" t="s">
        <v>74</v>
      </c>
      <c r="BC984" t="s">
        <v>74</v>
      </c>
      <c r="BD984" t="s">
        <v>18579</v>
      </c>
      <c r="BE984" t="s">
        <v>18580</v>
      </c>
      <c r="BF984" t="str">
        <f>HYPERLINK("http://dx.doi.org/10.1371/journal.pone.0070707","http://dx.doi.org/10.1371/journal.pone.0070707")</f>
        <v>http://dx.doi.org/10.1371/journal.pone.0070707</v>
      </c>
      <c r="BG984" t="s">
        <v>74</v>
      </c>
      <c r="BH984" t="s">
        <v>74</v>
      </c>
      <c r="BI984">
        <v>9</v>
      </c>
      <c r="BJ984" t="s">
        <v>2652</v>
      </c>
      <c r="BK984" t="s">
        <v>99</v>
      </c>
      <c r="BL984" t="s">
        <v>2653</v>
      </c>
      <c r="BM984" t="s">
        <v>18581</v>
      </c>
      <c r="BN984">
        <v>23936465</v>
      </c>
      <c r="BO984" t="s">
        <v>699</v>
      </c>
      <c r="BP984" t="s">
        <v>74</v>
      </c>
      <c r="BQ984" t="s">
        <v>74</v>
      </c>
      <c r="BR984" t="s">
        <v>103</v>
      </c>
      <c r="BS984" t="s">
        <v>18582</v>
      </c>
      <c r="BT984" t="str">
        <f>HYPERLINK("https%3A%2F%2Fwww.webofscience.com%2Fwos%2Fwoscc%2Ffull-record%2FWOS:000324545800049","View Full Record in Web of Science")</f>
        <v>View Full Record in Web of Science</v>
      </c>
    </row>
    <row r="985" spans="1:72" x14ac:dyDescent="0.15">
      <c r="A985" t="s">
        <v>72</v>
      </c>
      <c r="B985" t="s">
        <v>18583</v>
      </c>
      <c r="C985" t="s">
        <v>74</v>
      </c>
      <c r="D985" t="s">
        <v>74</v>
      </c>
      <c r="E985" t="s">
        <v>74</v>
      </c>
      <c r="F985" t="s">
        <v>18584</v>
      </c>
      <c r="G985" t="s">
        <v>74</v>
      </c>
      <c r="H985" t="s">
        <v>74</v>
      </c>
      <c r="I985" t="s">
        <v>18585</v>
      </c>
      <c r="J985" t="s">
        <v>8334</v>
      </c>
      <c r="K985" t="s">
        <v>74</v>
      </c>
      <c r="L985" t="s">
        <v>74</v>
      </c>
      <c r="M985" t="s">
        <v>78</v>
      </c>
      <c r="N985" t="s">
        <v>79</v>
      </c>
      <c r="O985" t="s">
        <v>74</v>
      </c>
      <c r="P985" t="s">
        <v>74</v>
      </c>
      <c r="Q985" t="s">
        <v>74</v>
      </c>
      <c r="R985" t="s">
        <v>74</v>
      </c>
      <c r="S985" t="s">
        <v>74</v>
      </c>
      <c r="T985" t="s">
        <v>18586</v>
      </c>
      <c r="U985" t="s">
        <v>18587</v>
      </c>
      <c r="V985" t="s">
        <v>18588</v>
      </c>
      <c r="W985" t="s">
        <v>18589</v>
      </c>
      <c r="X985" t="s">
        <v>18590</v>
      </c>
      <c r="Y985" t="s">
        <v>18591</v>
      </c>
      <c r="Z985" t="s">
        <v>18334</v>
      </c>
      <c r="AA985" t="s">
        <v>18592</v>
      </c>
      <c r="AB985" t="s">
        <v>18593</v>
      </c>
      <c r="AC985" t="s">
        <v>74</v>
      </c>
      <c r="AD985" t="s">
        <v>74</v>
      </c>
      <c r="AE985" t="s">
        <v>74</v>
      </c>
      <c r="AF985" t="s">
        <v>74</v>
      </c>
      <c r="AG985">
        <v>51</v>
      </c>
      <c r="AH985">
        <v>17</v>
      </c>
      <c r="AI985">
        <v>18</v>
      </c>
      <c r="AJ985">
        <v>1</v>
      </c>
      <c r="AK985">
        <v>43</v>
      </c>
      <c r="AL985" t="s">
        <v>582</v>
      </c>
      <c r="AM985" t="s">
        <v>305</v>
      </c>
      <c r="AN985" t="s">
        <v>583</v>
      </c>
      <c r="AO985" t="s">
        <v>8347</v>
      </c>
      <c r="AP985" t="s">
        <v>8348</v>
      </c>
      <c r="AQ985" t="s">
        <v>74</v>
      </c>
      <c r="AR985" t="s">
        <v>8349</v>
      </c>
      <c r="AS985" t="s">
        <v>8350</v>
      </c>
      <c r="AT985" t="s">
        <v>18578</v>
      </c>
      <c r="AU985">
        <v>2013</v>
      </c>
      <c r="AV985">
        <v>351</v>
      </c>
      <c r="AW985" t="s">
        <v>74</v>
      </c>
      <c r="AX985" t="s">
        <v>74</v>
      </c>
      <c r="AY985" t="s">
        <v>74</v>
      </c>
      <c r="AZ985" t="s">
        <v>74</v>
      </c>
      <c r="BA985" t="s">
        <v>74</v>
      </c>
      <c r="BB985">
        <v>310</v>
      </c>
      <c r="BC985">
        <v>323</v>
      </c>
      <c r="BD985" t="s">
        <v>74</v>
      </c>
      <c r="BE985" t="s">
        <v>18594</v>
      </c>
      <c r="BF985" t="str">
        <f>HYPERLINK("http://dx.doi.org/10.1016/j.chemgeo.2013.05.019","http://dx.doi.org/10.1016/j.chemgeo.2013.05.019")</f>
        <v>http://dx.doi.org/10.1016/j.chemgeo.2013.05.019</v>
      </c>
      <c r="BG985" t="s">
        <v>74</v>
      </c>
      <c r="BH985" t="s">
        <v>74</v>
      </c>
      <c r="BI985">
        <v>14</v>
      </c>
      <c r="BJ985" t="s">
        <v>313</v>
      </c>
      <c r="BK985" t="s">
        <v>99</v>
      </c>
      <c r="BL985" t="s">
        <v>313</v>
      </c>
      <c r="BM985" t="s">
        <v>18595</v>
      </c>
      <c r="BN985" t="s">
        <v>74</v>
      </c>
      <c r="BO985" t="s">
        <v>74</v>
      </c>
      <c r="BP985" t="s">
        <v>74</v>
      </c>
      <c r="BQ985" t="s">
        <v>74</v>
      </c>
      <c r="BR985" t="s">
        <v>103</v>
      </c>
      <c r="BS985" t="s">
        <v>18596</v>
      </c>
      <c r="BT985" t="str">
        <f>HYPERLINK("https%3A%2F%2Fwww.webofscience.com%2Fwos%2Fwoscc%2Ffull-record%2FWOS:000322857500025","View Full Record in Web of Science")</f>
        <v>View Full Record in Web of Science</v>
      </c>
    </row>
    <row r="986" spans="1:72" x14ac:dyDescent="0.15">
      <c r="A986" t="s">
        <v>72</v>
      </c>
      <c r="B986" t="s">
        <v>18597</v>
      </c>
      <c r="C986" t="s">
        <v>74</v>
      </c>
      <c r="D986" t="s">
        <v>74</v>
      </c>
      <c r="E986" t="s">
        <v>74</v>
      </c>
      <c r="F986" t="s">
        <v>18598</v>
      </c>
      <c r="G986" t="s">
        <v>74</v>
      </c>
      <c r="H986" t="s">
        <v>74</v>
      </c>
      <c r="I986" t="s">
        <v>18599</v>
      </c>
      <c r="J986" t="s">
        <v>4072</v>
      </c>
      <c r="K986" t="s">
        <v>74</v>
      </c>
      <c r="L986" t="s">
        <v>74</v>
      </c>
      <c r="M986" t="s">
        <v>78</v>
      </c>
      <c r="N986" t="s">
        <v>79</v>
      </c>
      <c r="O986" t="s">
        <v>74</v>
      </c>
      <c r="P986" t="s">
        <v>74</v>
      </c>
      <c r="Q986" t="s">
        <v>74</v>
      </c>
      <c r="R986" t="s">
        <v>74</v>
      </c>
      <c r="S986" t="s">
        <v>74</v>
      </c>
      <c r="T986" t="s">
        <v>74</v>
      </c>
      <c r="U986" t="s">
        <v>18600</v>
      </c>
      <c r="V986" t="s">
        <v>18601</v>
      </c>
      <c r="W986" t="s">
        <v>18602</v>
      </c>
      <c r="X986" t="s">
        <v>18603</v>
      </c>
      <c r="Y986" t="s">
        <v>18604</v>
      </c>
      <c r="Z986" t="s">
        <v>18605</v>
      </c>
      <c r="AA986" t="s">
        <v>18606</v>
      </c>
      <c r="AB986" t="s">
        <v>18607</v>
      </c>
      <c r="AC986" t="s">
        <v>18608</v>
      </c>
      <c r="AD986" t="s">
        <v>18609</v>
      </c>
      <c r="AE986" t="s">
        <v>18610</v>
      </c>
      <c r="AF986" t="s">
        <v>74</v>
      </c>
      <c r="AG986">
        <v>99</v>
      </c>
      <c r="AH986">
        <v>46</v>
      </c>
      <c r="AI986">
        <v>48</v>
      </c>
      <c r="AJ986">
        <v>0</v>
      </c>
      <c r="AK986">
        <v>36</v>
      </c>
      <c r="AL986" t="s">
        <v>4084</v>
      </c>
      <c r="AM986" t="s">
        <v>4085</v>
      </c>
      <c r="AN986" t="s">
        <v>4086</v>
      </c>
      <c r="AO986" t="s">
        <v>4087</v>
      </c>
      <c r="AP986" t="s">
        <v>74</v>
      </c>
      <c r="AQ986" t="s">
        <v>74</v>
      </c>
      <c r="AR986" t="s">
        <v>4072</v>
      </c>
      <c r="AS986" t="s">
        <v>4088</v>
      </c>
      <c r="AT986" t="s">
        <v>18578</v>
      </c>
      <c r="AU986">
        <v>2013</v>
      </c>
      <c r="AV986">
        <v>8</v>
      </c>
      <c r="AW986">
        <v>8</v>
      </c>
      <c r="AX986" t="s">
        <v>74</v>
      </c>
      <c r="AY986" t="s">
        <v>74</v>
      </c>
      <c r="AZ986" t="s">
        <v>74</v>
      </c>
      <c r="BA986" t="s">
        <v>74</v>
      </c>
      <c r="BB986" t="s">
        <v>74</v>
      </c>
      <c r="BC986" t="s">
        <v>74</v>
      </c>
      <c r="BD986" t="s">
        <v>18611</v>
      </c>
      <c r="BE986" t="s">
        <v>18612</v>
      </c>
      <c r="BF986" t="str">
        <f>HYPERLINK("http://dx.doi.org/10.1371/journal.pone.0068787","http://dx.doi.org/10.1371/journal.pone.0068787")</f>
        <v>http://dx.doi.org/10.1371/journal.pone.0068787</v>
      </c>
      <c r="BG986" t="s">
        <v>74</v>
      </c>
      <c r="BH986" t="s">
        <v>74</v>
      </c>
      <c r="BI986">
        <v>10</v>
      </c>
      <c r="BJ986" t="s">
        <v>2652</v>
      </c>
      <c r="BK986" t="s">
        <v>99</v>
      </c>
      <c r="BL986" t="s">
        <v>2653</v>
      </c>
      <c r="BM986" t="s">
        <v>18581</v>
      </c>
      <c r="BN986">
        <v>23936311</v>
      </c>
      <c r="BO986" t="s">
        <v>699</v>
      </c>
      <c r="BP986" t="s">
        <v>74</v>
      </c>
      <c r="BQ986" t="s">
        <v>74</v>
      </c>
      <c r="BR986" t="s">
        <v>103</v>
      </c>
      <c r="BS986" t="s">
        <v>18613</v>
      </c>
      <c r="BT986" t="str">
        <f>HYPERLINK("https%3A%2F%2Fwww.webofscience.com%2Fwos%2Fwoscc%2Ffull-record%2FWOS:000324545800006","View Full Record in Web of Science")</f>
        <v>View Full Record in Web of Science</v>
      </c>
    </row>
    <row r="987" spans="1:72" x14ac:dyDescent="0.15">
      <c r="A987" t="s">
        <v>72</v>
      </c>
      <c r="B987" t="s">
        <v>18614</v>
      </c>
      <c r="C987" t="s">
        <v>74</v>
      </c>
      <c r="D987" t="s">
        <v>74</v>
      </c>
      <c r="E987" t="s">
        <v>74</v>
      </c>
      <c r="F987" t="s">
        <v>18615</v>
      </c>
      <c r="G987" t="s">
        <v>74</v>
      </c>
      <c r="H987" t="s">
        <v>74</v>
      </c>
      <c r="I987" t="s">
        <v>18616</v>
      </c>
      <c r="J987" t="s">
        <v>4072</v>
      </c>
      <c r="K987" t="s">
        <v>74</v>
      </c>
      <c r="L987" t="s">
        <v>74</v>
      </c>
      <c r="M987" t="s">
        <v>78</v>
      </c>
      <c r="N987" t="s">
        <v>79</v>
      </c>
      <c r="O987" t="s">
        <v>74</v>
      </c>
      <c r="P987" t="s">
        <v>74</v>
      </c>
      <c r="Q987" t="s">
        <v>74</v>
      </c>
      <c r="R987" t="s">
        <v>74</v>
      </c>
      <c r="S987" t="s">
        <v>74</v>
      </c>
      <c r="T987" t="s">
        <v>74</v>
      </c>
      <c r="U987" t="s">
        <v>18617</v>
      </c>
      <c r="V987" t="s">
        <v>18618</v>
      </c>
      <c r="W987" t="s">
        <v>18619</v>
      </c>
      <c r="X987" t="s">
        <v>18620</v>
      </c>
      <c r="Y987" t="s">
        <v>18621</v>
      </c>
      <c r="Z987" t="s">
        <v>2185</v>
      </c>
      <c r="AA987" t="s">
        <v>18622</v>
      </c>
      <c r="AB987" t="s">
        <v>18623</v>
      </c>
      <c r="AC987" t="s">
        <v>18624</v>
      </c>
      <c r="AD987" t="s">
        <v>18625</v>
      </c>
      <c r="AE987" t="s">
        <v>18626</v>
      </c>
      <c r="AF987" t="s">
        <v>74</v>
      </c>
      <c r="AG987">
        <v>83</v>
      </c>
      <c r="AH987">
        <v>17</v>
      </c>
      <c r="AI987">
        <v>19</v>
      </c>
      <c r="AJ987">
        <v>1</v>
      </c>
      <c r="AK987">
        <v>50</v>
      </c>
      <c r="AL987" t="s">
        <v>4084</v>
      </c>
      <c r="AM987" t="s">
        <v>4085</v>
      </c>
      <c r="AN987" t="s">
        <v>4086</v>
      </c>
      <c r="AO987" t="s">
        <v>4087</v>
      </c>
      <c r="AP987" t="s">
        <v>74</v>
      </c>
      <c r="AQ987" t="s">
        <v>74</v>
      </c>
      <c r="AR987" t="s">
        <v>4072</v>
      </c>
      <c r="AS987" t="s">
        <v>4088</v>
      </c>
      <c r="AT987" t="s">
        <v>18578</v>
      </c>
      <c r="AU987">
        <v>2013</v>
      </c>
      <c r="AV987">
        <v>8</v>
      </c>
      <c r="AW987">
        <v>8</v>
      </c>
      <c r="AX987" t="s">
        <v>74</v>
      </c>
      <c r="AY987" t="s">
        <v>74</v>
      </c>
      <c r="AZ987" t="s">
        <v>74</v>
      </c>
      <c r="BA987" t="s">
        <v>74</v>
      </c>
      <c r="BB987" t="s">
        <v>74</v>
      </c>
      <c r="BC987" t="s">
        <v>74</v>
      </c>
      <c r="BD987" t="s">
        <v>18627</v>
      </c>
      <c r="BE987" t="s">
        <v>18628</v>
      </c>
      <c r="BF987" t="str">
        <f>HYPERLINK("http://dx.doi.org/10.1371/journal.pone.0071429","http://dx.doi.org/10.1371/journal.pone.0071429")</f>
        <v>http://dx.doi.org/10.1371/journal.pone.0071429</v>
      </c>
      <c r="BG987" t="s">
        <v>74</v>
      </c>
      <c r="BH987" t="s">
        <v>74</v>
      </c>
      <c r="BI987">
        <v>13</v>
      </c>
      <c r="BJ987" t="s">
        <v>2652</v>
      </c>
      <c r="BK987" t="s">
        <v>99</v>
      </c>
      <c r="BL987" t="s">
        <v>2653</v>
      </c>
      <c r="BM987" t="s">
        <v>18581</v>
      </c>
      <c r="BN987">
        <v>23936507</v>
      </c>
      <c r="BO987" t="s">
        <v>8153</v>
      </c>
      <c r="BP987" t="s">
        <v>74</v>
      </c>
      <c r="BQ987" t="s">
        <v>74</v>
      </c>
      <c r="BR987" t="s">
        <v>103</v>
      </c>
      <c r="BS987" t="s">
        <v>18629</v>
      </c>
      <c r="BT987" t="str">
        <f>HYPERLINK("https%3A%2F%2Fwww.webofscience.com%2Fwos%2Fwoscc%2Ffull-record%2FWOS:000324545800064","View Full Record in Web of Science")</f>
        <v>View Full Record in Web of Science</v>
      </c>
    </row>
    <row r="988" spans="1:72" x14ac:dyDescent="0.15">
      <c r="A988" t="s">
        <v>72</v>
      </c>
      <c r="B988" t="s">
        <v>18630</v>
      </c>
      <c r="C988" t="s">
        <v>74</v>
      </c>
      <c r="D988" t="s">
        <v>74</v>
      </c>
      <c r="E988" t="s">
        <v>74</v>
      </c>
      <c r="F988" t="s">
        <v>18631</v>
      </c>
      <c r="G988" t="s">
        <v>74</v>
      </c>
      <c r="H988" t="s">
        <v>74</v>
      </c>
      <c r="I988" t="s">
        <v>18632</v>
      </c>
      <c r="J988" t="s">
        <v>8780</v>
      </c>
      <c r="K988" t="s">
        <v>74</v>
      </c>
      <c r="L988" t="s">
        <v>74</v>
      </c>
      <c r="M988" t="s">
        <v>78</v>
      </c>
      <c r="N988" t="s">
        <v>79</v>
      </c>
      <c r="O988" t="s">
        <v>74</v>
      </c>
      <c r="P988" t="s">
        <v>74</v>
      </c>
      <c r="Q988" t="s">
        <v>74</v>
      </c>
      <c r="R988" t="s">
        <v>74</v>
      </c>
      <c r="S988" t="s">
        <v>74</v>
      </c>
      <c r="T988" t="s">
        <v>74</v>
      </c>
      <c r="U988" t="s">
        <v>18633</v>
      </c>
      <c r="V988" t="s">
        <v>18634</v>
      </c>
      <c r="W988" t="s">
        <v>18635</v>
      </c>
      <c r="X988" t="s">
        <v>18636</v>
      </c>
      <c r="Y988" t="s">
        <v>18637</v>
      </c>
      <c r="Z988" t="s">
        <v>18638</v>
      </c>
      <c r="AA988" t="s">
        <v>18639</v>
      </c>
      <c r="AB988" t="s">
        <v>18640</v>
      </c>
      <c r="AC988" t="s">
        <v>18641</v>
      </c>
      <c r="AD988" t="s">
        <v>18642</v>
      </c>
      <c r="AE988" t="s">
        <v>18643</v>
      </c>
      <c r="AF988" t="s">
        <v>74</v>
      </c>
      <c r="AG988">
        <v>24</v>
      </c>
      <c r="AH988">
        <v>12</v>
      </c>
      <c r="AI988">
        <v>12</v>
      </c>
      <c r="AJ988">
        <v>1</v>
      </c>
      <c r="AK988">
        <v>7</v>
      </c>
      <c r="AL988" t="s">
        <v>10159</v>
      </c>
      <c r="AM988" t="s">
        <v>10160</v>
      </c>
      <c r="AN988" t="s">
        <v>10161</v>
      </c>
      <c r="AO988" t="s">
        <v>8794</v>
      </c>
      <c r="AP988" t="s">
        <v>8795</v>
      </c>
      <c r="AQ988" t="s">
        <v>74</v>
      </c>
      <c r="AR988" t="s">
        <v>8796</v>
      </c>
      <c r="AS988" t="s">
        <v>8797</v>
      </c>
      <c r="AT988" t="s">
        <v>18644</v>
      </c>
      <c r="AU988">
        <v>2013</v>
      </c>
      <c r="AV988">
        <v>63</v>
      </c>
      <c r="AW988" t="s">
        <v>74</v>
      </c>
      <c r="AX988">
        <v>8</v>
      </c>
      <c r="AY988" t="s">
        <v>74</v>
      </c>
      <c r="AZ988" t="s">
        <v>74</v>
      </c>
      <c r="BA988" t="s">
        <v>74</v>
      </c>
      <c r="BB988">
        <v>2800</v>
      </c>
      <c r="BC988">
        <v>2805</v>
      </c>
      <c r="BD988" t="s">
        <v>74</v>
      </c>
      <c r="BE988" t="s">
        <v>18645</v>
      </c>
      <c r="BF988" t="str">
        <f>HYPERLINK("http://dx.doi.org/10.1099/ijs.0.044776-0","http://dx.doi.org/10.1099/ijs.0.044776-0")</f>
        <v>http://dx.doi.org/10.1099/ijs.0.044776-0</v>
      </c>
      <c r="BG988" t="s">
        <v>74</v>
      </c>
      <c r="BH988" t="s">
        <v>74</v>
      </c>
      <c r="BI988">
        <v>6</v>
      </c>
      <c r="BJ988" t="s">
        <v>815</v>
      </c>
      <c r="BK988" t="s">
        <v>99</v>
      </c>
      <c r="BL988" t="s">
        <v>815</v>
      </c>
      <c r="BM988" t="s">
        <v>18646</v>
      </c>
      <c r="BN988">
        <v>23291899</v>
      </c>
      <c r="BO988" t="s">
        <v>74</v>
      </c>
      <c r="BP988" t="s">
        <v>74</v>
      </c>
      <c r="BQ988" t="s">
        <v>74</v>
      </c>
      <c r="BR988" t="s">
        <v>103</v>
      </c>
      <c r="BS988" t="s">
        <v>18647</v>
      </c>
      <c r="BT988" t="str">
        <f>HYPERLINK("https%3A%2F%2Fwww.webofscience.com%2Fwos%2Fwoscc%2Ffull-record%2FWOS:000330271400008","View Full Record in Web of Science")</f>
        <v>View Full Record in Web of Science</v>
      </c>
    </row>
    <row r="989" spans="1:72" x14ac:dyDescent="0.15">
      <c r="A989" t="s">
        <v>72</v>
      </c>
      <c r="B989" t="s">
        <v>18648</v>
      </c>
      <c r="C989" t="s">
        <v>74</v>
      </c>
      <c r="D989" t="s">
        <v>74</v>
      </c>
      <c r="E989" t="s">
        <v>74</v>
      </c>
      <c r="F989" t="s">
        <v>18649</v>
      </c>
      <c r="G989" t="s">
        <v>74</v>
      </c>
      <c r="H989" t="s">
        <v>74</v>
      </c>
      <c r="I989" t="s">
        <v>18650</v>
      </c>
      <c r="J989" t="s">
        <v>8500</v>
      </c>
      <c r="K989" t="s">
        <v>74</v>
      </c>
      <c r="L989" t="s">
        <v>74</v>
      </c>
      <c r="M989" t="s">
        <v>78</v>
      </c>
      <c r="N989" t="s">
        <v>79</v>
      </c>
      <c r="O989" t="s">
        <v>74</v>
      </c>
      <c r="P989" t="s">
        <v>74</v>
      </c>
      <c r="Q989" t="s">
        <v>74</v>
      </c>
      <c r="R989" t="s">
        <v>74</v>
      </c>
      <c r="S989" t="s">
        <v>74</v>
      </c>
      <c r="T989" t="s">
        <v>74</v>
      </c>
      <c r="U989" t="s">
        <v>18651</v>
      </c>
      <c r="V989" t="s">
        <v>18652</v>
      </c>
      <c r="W989" t="s">
        <v>18653</v>
      </c>
      <c r="X989" t="s">
        <v>18654</v>
      </c>
      <c r="Y989" t="s">
        <v>18655</v>
      </c>
      <c r="Z989" t="s">
        <v>18656</v>
      </c>
      <c r="AA989" t="s">
        <v>74</v>
      </c>
      <c r="AB989" t="s">
        <v>18657</v>
      </c>
      <c r="AC989" t="s">
        <v>74</v>
      </c>
      <c r="AD989" t="s">
        <v>74</v>
      </c>
      <c r="AE989" t="s">
        <v>74</v>
      </c>
      <c r="AF989" t="s">
        <v>74</v>
      </c>
      <c r="AG989">
        <v>44</v>
      </c>
      <c r="AH989">
        <v>29</v>
      </c>
      <c r="AI989">
        <v>34</v>
      </c>
      <c r="AJ989">
        <v>5</v>
      </c>
      <c r="AK989">
        <v>62</v>
      </c>
      <c r="AL989" t="s">
        <v>276</v>
      </c>
      <c r="AM989" t="s">
        <v>277</v>
      </c>
      <c r="AN989" t="s">
        <v>2752</v>
      </c>
      <c r="AO989" t="s">
        <v>8512</v>
      </c>
      <c r="AP989" t="s">
        <v>8513</v>
      </c>
      <c r="AQ989" t="s">
        <v>74</v>
      </c>
      <c r="AR989" t="s">
        <v>8514</v>
      </c>
      <c r="AS989" t="s">
        <v>8515</v>
      </c>
      <c r="AT989" t="s">
        <v>18644</v>
      </c>
      <c r="AU989">
        <v>2013</v>
      </c>
      <c r="AV989">
        <v>45</v>
      </c>
      <c r="AW989">
        <v>3</v>
      </c>
      <c r="AX989" t="s">
        <v>74</v>
      </c>
      <c r="AY989" t="s">
        <v>74</v>
      </c>
      <c r="AZ989" t="s">
        <v>74</v>
      </c>
      <c r="BA989" t="s">
        <v>74</v>
      </c>
      <c r="BB989">
        <v>305</v>
      </c>
      <c r="BC989">
        <v>317</v>
      </c>
      <c r="BD989" t="s">
        <v>74</v>
      </c>
      <c r="BE989" t="s">
        <v>18658</v>
      </c>
      <c r="BF989" t="str">
        <f>HYPERLINK("http://dx.doi.org/10.1657/1938-4246-45.3.305","http://dx.doi.org/10.1657/1938-4246-45.3.305")</f>
        <v>http://dx.doi.org/10.1657/1938-4246-45.3.305</v>
      </c>
      <c r="BG989" t="s">
        <v>74</v>
      </c>
      <c r="BH989" t="s">
        <v>74</v>
      </c>
      <c r="BI989">
        <v>13</v>
      </c>
      <c r="BJ989" t="s">
        <v>8517</v>
      </c>
      <c r="BK989" t="s">
        <v>99</v>
      </c>
      <c r="BL989" t="s">
        <v>6955</v>
      </c>
      <c r="BM989" t="s">
        <v>18659</v>
      </c>
      <c r="BN989" t="s">
        <v>74</v>
      </c>
      <c r="BO989" t="s">
        <v>1733</v>
      </c>
      <c r="BP989" t="s">
        <v>74</v>
      </c>
      <c r="BQ989" t="s">
        <v>74</v>
      </c>
      <c r="BR989" t="s">
        <v>103</v>
      </c>
      <c r="BS989" t="s">
        <v>18660</v>
      </c>
      <c r="BT989" t="str">
        <f>HYPERLINK("https%3A%2F%2Fwww.webofscience.com%2Fwos%2Fwoscc%2Ffull-record%2FWOS:000329533200001","View Full Record in Web of Science")</f>
        <v>View Full Record in Web of Science</v>
      </c>
    </row>
    <row r="990" spans="1:72" x14ac:dyDescent="0.15">
      <c r="A990" t="s">
        <v>72</v>
      </c>
      <c r="B990" t="s">
        <v>18661</v>
      </c>
      <c r="C990" t="s">
        <v>74</v>
      </c>
      <c r="D990" t="s">
        <v>74</v>
      </c>
      <c r="E990" t="s">
        <v>74</v>
      </c>
      <c r="F990" t="s">
        <v>18662</v>
      </c>
      <c r="G990" t="s">
        <v>74</v>
      </c>
      <c r="H990" t="s">
        <v>74</v>
      </c>
      <c r="I990" t="s">
        <v>18663</v>
      </c>
      <c r="J990" t="s">
        <v>8500</v>
      </c>
      <c r="K990" t="s">
        <v>74</v>
      </c>
      <c r="L990" t="s">
        <v>74</v>
      </c>
      <c r="M990" t="s">
        <v>78</v>
      </c>
      <c r="N990" t="s">
        <v>79</v>
      </c>
      <c r="O990" t="s">
        <v>74</v>
      </c>
      <c r="P990" t="s">
        <v>74</v>
      </c>
      <c r="Q990" t="s">
        <v>74</v>
      </c>
      <c r="R990" t="s">
        <v>74</v>
      </c>
      <c r="S990" t="s">
        <v>74</v>
      </c>
      <c r="T990" t="s">
        <v>74</v>
      </c>
      <c r="U990" t="s">
        <v>18664</v>
      </c>
      <c r="V990" t="s">
        <v>18665</v>
      </c>
      <c r="W990" t="s">
        <v>18666</v>
      </c>
      <c r="X990" t="s">
        <v>18667</v>
      </c>
      <c r="Y990" t="s">
        <v>18668</v>
      </c>
      <c r="Z990" t="s">
        <v>18669</v>
      </c>
      <c r="AA990" t="s">
        <v>18670</v>
      </c>
      <c r="AB990" t="s">
        <v>18671</v>
      </c>
      <c r="AC990" t="s">
        <v>18672</v>
      </c>
      <c r="AD990" t="s">
        <v>18673</v>
      </c>
      <c r="AE990" t="s">
        <v>18674</v>
      </c>
      <c r="AF990" t="s">
        <v>74</v>
      </c>
      <c r="AG990">
        <v>43</v>
      </c>
      <c r="AH990">
        <v>14</v>
      </c>
      <c r="AI990">
        <v>15</v>
      </c>
      <c r="AJ990">
        <v>0</v>
      </c>
      <c r="AK990">
        <v>23</v>
      </c>
      <c r="AL990" t="s">
        <v>9757</v>
      </c>
      <c r="AM990" t="s">
        <v>947</v>
      </c>
      <c r="AN990" t="s">
        <v>9758</v>
      </c>
      <c r="AO990" t="s">
        <v>8512</v>
      </c>
      <c r="AP990" t="s">
        <v>8513</v>
      </c>
      <c r="AQ990" t="s">
        <v>74</v>
      </c>
      <c r="AR990" t="s">
        <v>8514</v>
      </c>
      <c r="AS990" t="s">
        <v>8515</v>
      </c>
      <c r="AT990" t="s">
        <v>18644</v>
      </c>
      <c r="AU990">
        <v>2013</v>
      </c>
      <c r="AV990">
        <v>45</v>
      </c>
      <c r="AW990">
        <v>3</v>
      </c>
      <c r="AX990" t="s">
        <v>74</v>
      </c>
      <c r="AY990" t="s">
        <v>74</v>
      </c>
      <c r="AZ990" t="s">
        <v>74</v>
      </c>
      <c r="BA990" t="s">
        <v>74</v>
      </c>
      <c r="BB990">
        <v>342</v>
      </c>
      <c r="BC990">
        <v>349</v>
      </c>
      <c r="BD990" t="s">
        <v>74</v>
      </c>
      <c r="BE990" t="s">
        <v>18675</v>
      </c>
      <c r="BF990" t="str">
        <f>HYPERLINK("http://dx.doi.org/10.1657/1938-4246-45.3.342","http://dx.doi.org/10.1657/1938-4246-45.3.342")</f>
        <v>http://dx.doi.org/10.1657/1938-4246-45.3.342</v>
      </c>
      <c r="BG990" t="s">
        <v>74</v>
      </c>
      <c r="BH990" t="s">
        <v>74</v>
      </c>
      <c r="BI990">
        <v>8</v>
      </c>
      <c r="BJ990" t="s">
        <v>8517</v>
      </c>
      <c r="BK990" t="s">
        <v>99</v>
      </c>
      <c r="BL990" t="s">
        <v>6955</v>
      </c>
      <c r="BM990" t="s">
        <v>18659</v>
      </c>
      <c r="BN990" t="s">
        <v>74</v>
      </c>
      <c r="BO990" t="s">
        <v>74</v>
      </c>
      <c r="BP990" t="s">
        <v>74</v>
      </c>
      <c r="BQ990" t="s">
        <v>74</v>
      </c>
      <c r="BR990" t="s">
        <v>103</v>
      </c>
      <c r="BS990" t="s">
        <v>18676</v>
      </c>
      <c r="BT990" t="str">
        <f>HYPERLINK("https%3A%2F%2Fwww.webofscience.com%2Fwos%2Fwoscc%2Ffull-record%2FWOS:000329533200004","View Full Record in Web of Science")</f>
        <v>View Full Record in Web of Science</v>
      </c>
    </row>
    <row r="991" spans="1:72" x14ac:dyDescent="0.15">
      <c r="A991" t="s">
        <v>72</v>
      </c>
      <c r="B991" t="s">
        <v>18677</v>
      </c>
      <c r="C991" t="s">
        <v>74</v>
      </c>
      <c r="D991" t="s">
        <v>74</v>
      </c>
      <c r="E991" t="s">
        <v>74</v>
      </c>
      <c r="F991" t="s">
        <v>18678</v>
      </c>
      <c r="G991" t="s">
        <v>74</v>
      </c>
      <c r="H991" t="s">
        <v>74</v>
      </c>
      <c r="I991" t="s">
        <v>18679</v>
      </c>
      <c r="J991" t="s">
        <v>8500</v>
      </c>
      <c r="K991" t="s">
        <v>74</v>
      </c>
      <c r="L991" t="s">
        <v>74</v>
      </c>
      <c r="M991" t="s">
        <v>78</v>
      </c>
      <c r="N991" t="s">
        <v>79</v>
      </c>
      <c r="O991" t="s">
        <v>74</v>
      </c>
      <c r="P991" t="s">
        <v>74</v>
      </c>
      <c r="Q991" t="s">
        <v>74</v>
      </c>
      <c r="R991" t="s">
        <v>74</v>
      </c>
      <c r="S991" t="s">
        <v>74</v>
      </c>
      <c r="T991" t="s">
        <v>74</v>
      </c>
      <c r="U991" t="s">
        <v>18680</v>
      </c>
      <c r="V991" t="s">
        <v>18681</v>
      </c>
      <c r="W991" t="s">
        <v>18682</v>
      </c>
      <c r="X991" t="s">
        <v>18683</v>
      </c>
      <c r="Y991" t="s">
        <v>18684</v>
      </c>
      <c r="Z991" t="s">
        <v>18685</v>
      </c>
      <c r="AA991" t="s">
        <v>74</v>
      </c>
      <c r="AB991" t="s">
        <v>18686</v>
      </c>
      <c r="AC991" t="s">
        <v>74</v>
      </c>
      <c r="AD991" t="s">
        <v>74</v>
      </c>
      <c r="AE991" t="s">
        <v>74</v>
      </c>
      <c r="AF991" t="s">
        <v>74</v>
      </c>
      <c r="AG991">
        <v>28</v>
      </c>
      <c r="AH991">
        <v>18</v>
      </c>
      <c r="AI991">
        <v>18</v>
      </c>
      <c r="AJ991">
        <v>0</v>
      </c>
      <c r="AK991">
        <v>11</v>
      </c>
      <c r="AL991" t="s">
        <v>9757</v>
      </c>
      <c r="AM991" t="s">
        <v>947</v>
      </c>
      <c r="AN991" t="s">
        <v>9758</v>
      </c>
      <c r="AO991" t="s">
        <v>8512</v>
      </c>
      <c r="AP991" t="s">
        <v>8513</v>
      </c>
      <c r="AQ991" t="s">
        <v>74</v>
      </c>
      <c r="AR991" t="s">
        <v>8514</v>
      </c>
      <c r="AS991" t="s">
        <v>8515</v>
      </c>
      <c r="AT991" t="s">
        <v>18644</v>
      </c>
      <c r="AU991">
        <v>2013</v>
      </c>
      <c r="AV991">
        <v>45</v>
      </c>
      <c r="AW991">
        <v>3</v>
      </c>
      <c r="AX991" t="s">
        <v>74</v>
      </c>
      <c r="AY991" t="s">
        <v>74</v>
      </c>
      <c r="AZ991" t="s">
        <v>74</v>
      </c>
      <c r="BA991" t="s">
        <v>74</v>
      </c>
      <c r="BB991">
        <v>350</v>
      </c>
      <c r="BC991">
        <v>362</v>
      </c>
      <c r="BD991" t="s">
        <v>74</v>
      </c>
      <c r="BE991" t="s">
        <v>18687</v>
      </c>
      <c r="BF991" t="str">
        <f>HYPERLINK("http://dx.doi.org/10.1657/1938-4246-45.3.350","http://dx.doi.org/10.1657/1938-4246-45.3.350")</f>
        <v>http://dx.doi.org/10.1657/1938-4246-45.3.350</v>
      </c>
      <c r="BG991" t="s">
        <v>74</v>
      </c>
      <c r="BH991" t="s">
        <v>74</v>
      </c>
      <c r="BI991">
        <v>13</v>
      </c>
      <c r="BJ991" t="s">
        <v>8517</v>
      </c>
      <c r="BK991" t="s">
        <v>99</v>
      </c>
      <c r="BL991" t="s">
        <v>6955</v>
      </c>
      <c r="BM991" t="s">
        <v>18659</v>
      </c>
      <c r="BN991" t="s">
        <v>74</v>
      </c>
      <c r="BO991" t="s">
        <v>1648</v>
      </c>
      <c r="BP991" t="s">
        <v>74</v>
      </c>
      <c r="BQ991" t="s">
        <v>74</v>
      </c>
      <c r="BR991" t="s">
        <v>103</v>
      </c>
      <c r="BS991" t="s">
        <v>18688</v>
      </c>
      <c r="BT991" t="str">
        <f>HYPERLINK("https%3A%2F%2Fwww.webofscience.com%2Fwos%2Fwoscc%2Ffull-record%2FWOS:000329533200005","View Full Record in Web of Science")</f>
        <v>View Full Record in Web of Science</v>
      </c>
    </row>
    <row r="992" spans="1:72" x14ac:dyDescent="0.15">
      <c r="A992" t="s">
        <v>72</v>
      </c>
      <c r="B992" t="s">
        <v>18689</v>
      </c>
      <c r="C992" t="s">
        <v>74</v>
      </c>
      <c r="D992" t="s">
        <v>74</v>
      </c>
      <c r="E992" t="s">
        <v>74</v>
      </c>
      <c r="F992" t="s">
        <v>18690</v>
      </c>
      <c r="G992" t="s">
        <v>74</v>
      </c>
      <c r="H992" t="s">
        <v>74</v>
      </c>
      <c r="I992" t="s">
        <v>18691</v>
      </c>
      <c r="J992" t="s">
        <v>8500</v>
      </c>
      <c r="K992" t="s">
        <v>74</v>
      </c>
      <c r="L992" t="s">
        <v>74</v>
      </c>
      <c r="M992" t="s">
        <v>78</v>
      </c>
      <c r="N992" t="s">
        <v>79</v>
      </c>
      <c r="O992" t="s">
        <v>74</v>
      </c>
      <c r="P992" t="s">
        <v>74</v>
      </c>
      <c r="Q992" t="s">
        <v>74</v>
      </c>
      <c r="R992" t="s">
        <v>74</v>
      </c>
      <c r="S992" t="s">
        <v>74</v>
      </c>
      <c r="T992" t="s">
        <v>74</v>
      </c>
      <c r="U992" t="s">
        <v>18692</v>
      </c>
      <c r="V992" t="s">
        <v>18693</v>
      </c>
      <c r="W992" t="s">
        <v>18694</v>
      </c>
      <c r="X992" t="s">
        <v>18695</v>
      </c>
      <c r="Y992" t="s">
        <v>18696</v>
      </c>
      <c r="Z992" t="s">
        <v>18697</v>
      </c>
      <c r="AA992" t="s">
        <v>74</v>
      </c>
      <c r="AB992" t="s">
        <v>18698</v>
      </c>
      <c r="AC992" t="s">
        <v>18699</v>
      </c>
      <c r="AD992" t="s">
        <v>18699</v>
      </c>
      <c r="AE992" t="s">
        <v>18700</v>
      </c>
      <c r="AF992" t="s">
        <v>74</v>
      </c>
      <c r="AG992">
        <v>64</v>
      </c>
      <c r="AH992">
        <v>6</v>
      </c>
      <c r="AI992">
        <v>10</v>
      </c>
      <c r="AJ992">
        <v>0</v>
      </c>
      <c r="AK992">
        <v>13</v>
      </c>
      <c r="AL992" t="s">
        <v>9757</v>
      </c>
      <c r="AM992" t="s">
        <v>947</v>
      </c>
      <c r="AN992" t="s">
        <v>9758</v>
      </c>
      <c r="AO992" t="s">
        <v>8512</v>
      </c>
      <c r="AP992" t="s">
        <v>8513</v>
      </c>
      <c r="AQ992" t="s">
        <v>74</v>
      </c>
      <c r="AR992" t="s">
        <v>8514</v>
      </c>
      <c r="AS992" t="s">
        <v>8515</v>
      </c>
      <c r="AT992" t="s">
        <v>18644</v>
      </c>
      <c r="AU992">
        <v>2013</v>
      </c>
      <c r="AV992">
        <v>45</v>
      </c>
      <c r="AW992">
        <v>3</v>
      </c>
      <c r="AX992" t="s">
        <v>74</v>
      </c>
      <c r="AY992" t="s">
        <v>74</v>
      </c>
      <c r="AZ992" t="s">
        <v>74</v>
      </c>
      <c r="BA992" t="s">
        <v>74</v>
      </c>
      <c r="BB992">
        <v>372</v>
      </c>
      <c r="BC992">
        <v>382</v>
      </c>
      <c r="BD992" t="s">
        <v>74</v>
      </c>
      <c r="BE992" t="s">
        <v>18701</v>
      </c>
      <c r="BF992" t="str">
        <f>HYPERLINK("http://dx.doi.org/10.1657/1938-4246-45.3.372","http://dx.doi.org/10.1657/1938-4246-45.3.372")</f>
        <v>http://dx.doi.org/10.1657/1938-4246-45.3.372</v>
      </c>
      <c r="BG992" t="s">
        <v>74</v>
      </c>
      <c r="BH992" t="s">
        <v>74</v>
      </c>
      <c r="BI992">
        <v>11</v>
      </c>
      <c r="BJ992" t="s">
        <v>8517</v>
      </c>
      <c r="BK992" t="s">
        <v>99</v>
      </c>
      <c r="BL992" t="s">
        <v>6955</v>
      </c>
      <c r="BM992" t="s">
        <v>18659</v>
      </c>
      <c r="BN992" t="s">
        <v>74</v>
      </c>
      <c r="BO992" t="s">
        <v>1145</v>
      </c>
      <c r="BP992" t="s">
        <v>74</v>
      </c>
      <c r="BQ992" t="s">
        <v>74</v>
      </c>
      <c r="BR992" t="s">
        <v>103</v>
      </c>
      <c r="BS992" t="s">
        <v>18702</v>
      </c>
      <c r="BT992" t="str">
        <f>HYPERLINK("https%3A%2F%2Fwww.webofscience.com%2Fwos%2Fwoscc%2Ffull-record%2FWOS:000329533200007","View Full Record in Web of Science")</f>
        <v>View Full Record in Web of Science</v>
      </c>
    </row>
    <row r="993" spans="1:72" x14ac:dyDescent="0.15">
      <c r="A993" t="s">
        <v>72</v>
      </c>
      <c r="B993" t="s">
        <v>18703</v>
      </c>
      <c r="C993" t="s">
        <v>74</v>
      </c>
      <c r="D993" t="s">
        <v>74</v>
      </c>
      <c r="E993" t="s">
        <v>74</v>
      </c>
      <c r="F993" t="s">
        <v>18704</v>
      </c>
      <c r="G993" t="s">
        <v>74</v>
      </c>
      <c r="H993" t="s">
        <v>74</v>
      </c>
      <c r="I993" t="s">
        <v>18705</v>
      </c>
      <c r="J993" t="s">
        <v>8500</v>
      </c>
      <c r="K993" t="s">
        <v>74</v>
      </c>
      <c r="L993" t="s">
        <v>74</v>
      </c>
      <c r="M993" t="s">
        <v>78</v>
      </c>
      <c r="N993" t="s">
        <v>79</v>
      </c>
      <c r="O993" t="s">
        <v>74</v>
      </c>
      <c r="P993" t="s">
        <v>74</v>
      </c>
      <c r="Q993" t="s">
        <v>74</v>
      </c>
      <c r="R993" t="s">
        <v>74</v>
      </c>
      <c r="S993" t="s">
        <v>74</v>
      </c>
      <c r="T993" t="s">
        <v>74</v>
      </c>
      <c r="U993" t="s">
        <v>18706</v>
      </c>
      <c r="V993" t="s">
        <v>18707</v>
      </c>
      <c r="W993" t="s">
        <v>18708</v>
      </c>
      <c r="X993" t="s">
        <v>18709</v>
      </c>
      <c r="Y993" t="s">
        <v>18710</v>
      </c>
      <c r="Z993" t="s">
        <v>18711</v>
      </c>
      <c r="AA993" t="s">
        <v>18712</v>
      </c>
      <c r="AB993" t="s">
        <v>18713</v>
      </c>
      <c r="AC993" t="s">
        <v>18714</v>
      </c>
      <c r="AD993" t="s">
        <v>18715</v>
      </c>
      <c r="AE993" t="s">
        <v>18716</v>
      </c>
      <c r="AF993" t="s">
        <v>74</v>
      </c>
      <c r="AG993">
        <v>43</v>
      </c>
      <c r="AH993">
        <v>25</v>
      </c>
      <c r="AI993">
        <v>27</v>
      </c>
      <c r="AJ993">
        <v>0</v>
      </c>
      <c r="AK993">
        <v>11</v>
      </c>
      <c r="AL993" t="s">
        <v>276</v>
      </c>
      <c r="AM993" t="s">
        <v>277</v>
      </c>
      <c r="AN993" t="s">
        <v>2752</v>
      </c>
      <c r="AO993" t="s">
        <v>8512</v>
      </c>
      <c r="AP993" t="s">
        <v>8513</v>
      </c>
      <c r="AQ993" t="s">
        <v>74</v>
      </c>
      <c r="AR993" t="s">
        <v>8514</v>
      </c>
      <c r="AS993" t="s">
        <v>8515</v>
      </c>
      <c r="AT993" t="s">
        <v>18644</v>
      </c>
      <c r="AU993">
        <v>2013</v>
      </c>
      <c r="AV993">
        <v>45</v>
      </c>
      <c r="AW993">
        <v>3</v>
      </c>
      <c r="AX993" t="s">
        <v>74</v>
      </c>
      <c r="AY993" t="s">
        <v>74</v>
      </c>
      <c r="AZ993" t="s">
        <v>74</v>
      </c>
      <c r="BA993" t="s">
        <v>74</v>
      </c>
      <c r="BB993">
        <v>383</v>
      </c>
      <c r="BC993">
        <v>395</v>
      </c>
      <c r="BD993" t="s">
        <v>74</v>
      </c>
      <c r="BE993" t="s">
        <v>18717</v>
      </c>
      <c r="BF993" t="str">
        <f>HYPERLINK("http://dx.doi.org/10.1657/1938-4246-45.3.383","http://dx.doi.org/10.1657/1938-4246-45.3.383")</f>
        <v>http://dx.doi.org/10.1657/1938-4246-45.3.383</v>
      </c>
      <c r="BG993" t="s">
        <v>74</v>
      </c>
      <c r="BH993" t="s">
        <v>74</v>
      </c>
      <c r="BI993">
        <v>13</v>
      </c>
      <c r="BJ993" t="s">
        <v>8517</v>
      </c>
      <c r="BK993" t="s">
        <v>99</v>
      </c>
      <c r="BL993" t="s">
        <v>6955</v>
      </c>
      <c r="BM993" t="s">
        <v>18659</v>
      </c>
      <c r="BN993" t="s">
        <v>74</v>
      </c>
      <c r="BO993" t="s">
        <v>18718</v>
      </c>
      <c r="BP993" t="s">
        <v>74</v>
      </c>
      <c r="BQ993" t="s">
        <v>74</v>
      </c>
      <c r="BR993" t="s">
        <v>103</v>
      </c>
      <c r="BS993" t="s">
        <v>18719</v>
      </c>
      <c r="BT993" t="str">
        <f>HYPERLINK("https%3A%2F%2Fwww.webofscience.com%2Fwos%2Fwoscc%2Ffull-record%2FWOS:000329533200008","View Full Record in Web of Science")</f>
        <v>View Full Record in Web of Science</v>
      </c>
    </row>
    <row r="994" spans="1:72" x14ac:dyDescent="0.15">
      <c r="A994" t="s">
        <v>72</v>
      </c>
      <c r="B994" t="s">
        <v>18720</v>
      </c>
      <c r="C994" t="s">
        <v>74</v>
      </c>
      <c r="D994" t="s">
        <v>74</v>
      </c>
      <c r="E994" t="s">
        <v>74</v>
      </c>
      <c r="F994" t="s">
        <v>18721</v>
      </c>
      <c r="G994" t="s">
        <v>74</v>
      </c>
      <c r="H994" t="s">
        <v>74</v>
      </c>
      <c r="I994" t="s">
        <v>18722</v>
      </c>
      <c r="J994" t="s">
        <v>8500</v>
      </c>
      <c r="K994" t="s">
        <v>74</v>
      </c>
      <c r="L994" t="s">
        <v>74</v>
      </c>
      <c r="M994" t="s">
        <v>78</v>
      </c>
      <c r="N994" t="s">
        <v>79</v>
      </c>
      <c r="O994" t="s">
        <v>74</v>
      </c>
      <c r="P994" t="s">
        <v>74</v>
      </c>
      <c r="Q994" t="s">
        <v>74</v>
      </c>
      <c r="R994" t="s">
        <v>74</v>
      </c>
      <c r="S994" t="s">
        <v>74</v>
      </c>
      <c r="T994" t="s">
        <v>74</v>
      </c>
      <c r="U994" t="s">
        <v>18723</v>
      </c>
      <c r="V994" t="s">
        <v>18724</v>
      </c>
      <c r="W994" t="s">
        <v>18725</v>
      </c>
      <c r="X994" t="s">
        <v>18726</v>
      </c>
      <c r="Y994" t="s">
        <v>18727</v>
      </c>
      <c r="Z994" t="s">
        <v>18728</v>
      </c>
      <c r="AA994" t="s">
        <v>18729</v>
      </c>
      <c r="AB994" t="s">
        <v>18730</v>
      </c>
      <c r="AC994" t="s">
        <v>18731</v>
      </c>
      <c r="AD994" t="s">
        <v>18731</v>
      </c>
      <c r="AE994" t="s">
        <v>18732</v>
      </c>
      <c r="AF994" t="s">
        <v>74</v>
      </c>
      <c r="AG994">
        <v>34</v>
      </c>
      <c r="AH994">
        <v>21</v>
      </c>
      <c r="AI994">
        <v>27</v>
      </c>
      <c r="AJ994">
        <v>1</v>
      </c>
      <c r="AK994">
        <v>54</v>
      </c>
      <c r="AL994" t="s">
        <v>276</v>
      </c>
      <c r="AM994" t="s">
        <v>277</v>
      </c>
      <c r="AN994" t="s">
        <v>2752</v>
      </c>
      <c r="AO994" t="s">
        <v>8512</v>
      </c>
      <c r="AP994" t="s">
        <v>8513</v>
      </c>
      <c r="AQ994" t="s">
        <v>74</v>
      </c>
      <c r="AR994" t="s">
        <v>8514</v>
      </c>
      <c r="AS994" t="s">
        <v>8515</v>
      </c>
      <c r="AT994" t="s">
        <v>18644</v>
      </c>
      <c r="AU994">
        <v>2013</v>
      </c>
      <c r="AV994">
        <v>45</v>
      </c>
      <c r="AW994">
        <v>3</v>
      </c>
      <c r="AX994" t="s">
        <v>74</v>
      </c>
      <c r="AY994" t="s">
        <v>74</v>
      </c>
      <c r="AZ994" t="s">
        <v>74</v>
      </c>
      <c r="BA994" t="s">
        <v>74</v>
      </c>
      <c r="BB994">
        <v>396</v>
      </c>
      <c r="BC994">
        <v>403</v>
      </c>
      <c r="BD994" t="s">
        <v>74</v>
      </c>
      <c r="BE994" t="s">
        <v>18733</v>
      </c>
      <c r="BF994" t="str">
        <f>HYPERLINK("http://dx.doi.org/10.1657/1938-4246-45.3.396","http://dx.doi.org/10.1657/1938-4246-45.3.396")</f>
        <v>http://dx.doi.org/10.1657/1938-4246-45.3.396</v>
      </c>
      <c r="BG994" t="s">
        <v>74</v>
      </c>
      <c r="BH994" t="s">
        <v>74</v>
      </c>
      <c r="BI994">
        <v>8</v>
      </c>
      <c r="BJ994" t="s">
        <v>8517</v>
      </c>
      <c r="BK994" t="s">
        <v>99</v>
      </c>
      <c r="BL994" t="s">
        <v>6955</v>
      </c>
      <c r="BM994" t="s">
        <v>18659</v>
      </c>
      <c r="BN994" t="s">
        <v>74</v>
      </c>
      <c r="BO994" t="s">
        <v>1733</v>
      </c>
      <c r="BP994" t="s">
        <v>74</v>
      </c>
      <c r="BQ994" t="s">
        <v>74</v>
      </c>
      <c r="BR994" t="s">
        <v>103</v>
      </c>
      <c r="BS994" t="s">
        <v>18734</v>
      </c>
      <c r="BT994" t="str">
        <f>HYPERLINK("https%3A%2F%2Fwww.webofscience.com%2Fwos%2Fwoscc%2Ffull-record%2FWOS:000329533200009","View Full Record in Web of Science")</f>
        <v>View Full Record in Web of Science</v>
      </c>
    </row>
    <row r="995" spans="1:72" x14ac:dyDescent="0.15">
      <c r="A995" t="s">
        <v>72</v>
      </c>
      <c r="B995" t="s">
        <v>18735</v>
      </c>
      <c r="C995" t="s">
        <v>74</v>
      </c>
      <c r="D995" t="s">
        <v>74</v>
      </c>
      <c r="E995" t="s">
        <v>74</v>
      </c>
      <c r="F995" t="s">
        <v>18736</v>
      </c>
      <c r="G995" t="s">
        <v>74</v>
      </c>
      <c r="H995" t="s">
        <v>74</v>
      </c>
      <c r="I995" t="s">
        <v>18737</v>
      </c>
      <c r="J995" t="s">
        <v>8500</v>
      </c>
      <c r="K995" t="s">
        <v>74</v>
      </c>
      <c r="L995" t="s">
        <v>74</v>
      </c>
      <c r="M995" t="s">
        <v>78</v>
      </c>
      <c r="N995" t="s">
        <v>79</v>
      </c>
      <c r="O995" t="s">
        <v>74</v>
      </c>
      <c r="P995" t="s">
        <v>74</v>
      </c>
      <c r="Q995" t="s">
        <v>74</v>
      </c>
      <c r="R995" t="s">
        <v>74</v>
      </c>
      <c r="S995" t="s">
        <v>74</v>
      </c>
      <c r="T995" t="s">
        <v>74</v>
      </c>
      <c r="U995" t="s">
        <v>18738</v>
      </c>
      <c r="V995" t="s">
        <v>18739</v>
      </c>
      <c r="W995" t="s">
        <v>18740</v>
      </c>
      <c r="X995" t="s">
        <v>18741</v>
      </c>
      <c r="Y995" t="s">
        <v>18742</v>
      </c>
      <c r="Z995" t="s">
        <v>18743</v>
      </c>
      <c r="AA995" t="s">
        <v>18744</v>
      </c>
      <c r="AB995" t="s">
        <v>18745</v>
      </c>
      <c r="AC995" t="s">
        <v>18746</v>
      </c>
      <c r="AD995" t="s">
        <v>18747</v>
      </c>
      <c r="AE995" t="s">
        <v>18748</v>
      </c>
      <c r="AF995" t="s">
        <v>74</v>
      </c>
      <c r="AG995">
        <v>48</v>
      </c>
      <c r="AH995">
        <v>28</v>
      </c>
      <c r="AI995">
        <v>28</v>
      </c>
      <c r="AJ995">
        <v>0</v>
      </c>
      <c r="AK995">
        <v>28</v>
      </c>
      <c r="AL995" t="s">
        <v>9757</v>
      </c>
      <c r="AM995" t="s">
        <v>947</v>
      </c>
      <c r="AN995" t="s">
        <v>9758</v>
      </c>
      <c r="AO995" t="s">
        <v>8512</v>
      </c>
      <c r="AP995" t="s">
        <v>8513</v>
      </c>
      <c r="AQ995" t="s">
        <v>74</v>
      </c>
      <c r="AR995" t="s">
        <v>8514</v>
      </c>
      <c r="AS995" t="s">
        <v>8515</v>
      </c>
      <c r="AT995" t="s">
        <v>18644</v>
      </c>
      <c r="AU995">
        <v>2013</v>
      </c>
      <c r="AV995">
        <v>45</v>
      </c>
      <c r="AW995">
        <v>3</v>
      </c>
      <c r="AX995" t="s">
        <v>74</v>
      </c>
      <c r="AY995" t="s">
        <v>74</v>
      </c>
      <c r="AZ995" t="s">
        <v>74</v>
      </c>
      <c r="BA995" t="s">
        <v>74</v>
      </c>
      <c r="BB995">
        <v>415</v>
      </c>
      <c r="BC995">
        <v>419</v>
      </c>
      <c r="BD995" t="s">
        <v>74</v>
      </c>
      <c r="BE995" t="s">
        <v>18749</v>
      </c>
      <c r="BF995" t="str">
        <f>HYPERLINK("http://dx.doi.org/10.1657/1938-4246-45.3.415","http://dx.doi.org/10.1657/1938-4246-45.3.415")</f>
        <v>http://dx.doi.org/10.1657/1938-4246-45.3.415</v>
      </c>
      <c r="BG995" t="s">
        <v>74</v>
      </c>
      <c r="BH995" t="s">
        <v>74</v>
      </c>
      <c r="BI995">
        <v>5</v>
      </c>
      <c r="BJ995" t="s">
        <v>8517</v>
      </c>
      <c r="BK995" t="s">
        <v>99</v>
      </c>
      <c r="BL995" t="s">
        <v>6955</v>
      </c>
      <c r="BM995" t="s">
        <v>18659</v>
      </c>
      <c r="BN995" t="s">
        <v>74</v>
      </c>
      <c r="BO995" t="s">
        <v>2362</v>
      </c>
      <c r="BP995" t="s">
        <v>74</v>
      </c>
      <c r="BQ995" t="s">
        <v>74</v>
      </c>
      <c r="BR995" t="s">
        <v>103</v>
      </c>
      <c r="BS995" t="s">
        <v>18750</v>
      </c>
      <c r="BT995" t="str">
        <f>HYPERLINK("https%3A%2F%2Fwww.webofscience.com%2Fwos%2Fwoscc%2Ffull-record%2FWOS:000329533200011","View Full Record in Web of Science")</f>
        <v>View Full Record in Web of Science</v>
      </c>
    </row>
    <row r="996" spans="1:72" x14ac:dyDescent="0.15">
      <c r="A996" t="s">
        <v>72</v>
      </c>
      <c r="B996" t="s">
        <v>18751</v>
      </c>
      <c r="C996" t="s">
        <v>74</v>
      </c>
      <c r="D996" t="s">
        <v>74</v>
      </c>
      <c r="E996" t="s">
        <v>74</v>
      </c>
      <c r="F996" t="s">
        <v>18752</v>
      </c>
      <c r="G996" t="s">
        <v>74</v>
      </c>
      <c r="H996" t="s">
        <v>74</v>
      </c>
      <c r="I996" t="s">
        <v>18753</v>
      </c>
      <c r="J996" t="s">
        <v>18754</v>
      </c>
      <c r="K996" t="s">
        <v>74</v>
      </c>
      <c r="L996" t="s">
        <v>74</v>
      </c>
      <c r="M996" t="s">
        <v>78</v>
      </c>
      <c r="N996" t="s">
        <v>79</v>
      </c>
      <c r="O996" t="s">
        <v>74</v>
      </c>
      <c r="P996" t="s">
        <v>74</v>
      </c>
      <c r="Q996" t="s">
        <v>74</v>
      </c>
      <c r="R996" t="s">
        <v>74</v>
      </c>
      <c r="S996" t="s">
        <v>74</v>
      </c>
      <c r="T996" t="s">
        <v>18755</v>
      </c>
      <c r="U996" t="s">
        <v>18756</v>
      </c>
      <c r="V996" t="s">
        <v>18757</v>
      </c>
      <c r="W996" t="s">
        <v>18758</v>
      </c>
      <c r="X996" t="s">
        <v>18759</v>
      </c>
      <c r="Y996" t="s">
        <v>18760</v>
      </c>
      <c r="Z996" t="s">
        <v>18761</v>
      </c>
      <c r="AA996" t="s">
        <v>18762</v>
      </c>
      <c r="AB996" t="s">
        <v>18763</v>
      </c>
      <c r="AC996" t="s">
        <v>18764</v>
      </c>
      <c r="AD996" t="s">
        <v>18765</v>
      </c>
      <c r="AE996" t="s">
        <v>18766</v>
      </c>
      <c r="AF996" t="s">
        <v>74</v>
      </c>
      <c r="AG996">
        <v>60</v>
      </c>
      <c r="AH996">
        <v>20</v>
      </c>
      <c r="AI996">
        <v>22</v>
      </c>
      <c r="AJ996">
        <v>0</v>
      </c>
      <c r="AK996">
        <v>67</v>
      </c>
      <c r="AL996" t="s">
        <v>410</v>
      </c>
      <c r="AM996" t="s">
        <v>411</v>
      </c>
      <c r="AN996" t="s">
        <v>412</v>
      </c>
      <c r="AO996" t="s">
        <v>18767</v>
      </c>
      <c r="AP996" t="s">
        <v>18768</v>
      </c>
      <c r="AQ996" t="s">
        <v>74</v>
      </c>
      <c r="AR996" t="s">
        <v>18769</v>
      </c>
      <c r="AS996" t="s">
        <v>18770</v>
      </c>
      <c r="AT996" t="s">
        <v>18644</v>
      </c>
      <c r="AU996">
        <v>2013</v>
      </c>
      <c r="AV996">
        <v>27</v>
      </c>
      <c r="AW996">
        <v>4</v>
      </c>
      <c r="AX996" t="s">
        <v>74</v>
      </c>
      <c r="AY996" t="s">
        <v>74</v>
      </c>
      <c r="AZ996" t="s">
        <v>283</v>
      </c>
      <c r="BA996" t="s">
        <v>74</v>
      </c>
      <c r="BB996">
        <v>1055</v>
      </c>
      <c r="BC996">
        <v>1063</v>
      </c>
      <c r="BD996" t="s">
        <v>74</v>
      </c>
      <c r="BE996" t="s">
        <v>18771</v>
      </c>
      <c r="BF996" t="str">
        <f>HYPERLINK("http://dx.doi.org/10.1111/1365-2435.12108","http://dx.doi.org/10.1111/1365-2435.12108")</f>
        <v>http://dx.doi.org/10.1111/1365-2435.12108</v>
      </c>
      <c r="BG996" t="s">
        <v>74</v>
      </c>
      <c r="BH996" t="s">
        <v>74</v>
      </c>
      <c r="BI996">
        <v>9</v>
      </c>
      <c r="BJ996" t="s">
        <v>419</v>
      </c>
      <c r="BK996" t="s">
        <v>99</v>
      </c>
      <c r="BL996" t="s">
        <v>420</v>
      </c>
      <c r="BM996" t="s">
        <v>18772</v>
      </c>
      <c r="BN996" t="s">
        <v>74</v>
      </c>
      <c r="BO996" t="s">
        <v>74</v>
      </c>
      <c r="BP996" t="s">
        <v>74</v>
      </c>
      <c r="BQ996" t="s">
        <v>74</v>
      </c>
      <c r="BR996" t="s">
        <v>103</v>
      </c>
      <c r="BS996" t="s">
        <v>18773</v>
      </c>
      <c r="BT996" t="str">
        <f>HYPERLINK("https%3A%2F%2Fwww.webofscience.com%2Fwos%2Fwoscc%2Ffull-record%2FWOS:000329303900022","View Full Record in Web of Science")</f>
        <v>View Full Record in Web of Science</v>
      </c>
    </row>
    <row r="997" spans="1:72" x14ac:dyDescent="0.15">
      <c r="A997" t="s">
        <v>72</v>
      </c>
      <c r="B997" t="s">
        <v>18774</v>
      </c>
      <c r="C997" t="s">
        <v>74</v>
      </c>
      <c r="D997" t="s">
        <v>74</v>
      </c>
      <c r="E997" t="s">
        <v>74</v>
      </c>
      <c r="F997" t="s">
        <v>18775</v>
      </c>
      <c r="G997" t="s">
        <v>74</v>
      </c>
      <c r="H997" t="s">
        <v>74</v>
      </c>
      <c r="I997" t="s">
        <v>18776</v>
      </c>
      <c r="J997" t="s">
        <v>5051</v>
      </c>
      <c r="K997" t="s">
        <v>74</v>
      </c>
      <c r="L997" t="s">
        <v>74</v>
      </c>
      <c r="M997" t="s">
        <v>78</v>
      </c>
      <c r="N997" t="s">
        <v>79</v>
      </c>
      <c r="O997" t="s">
        <v>74</v>
      </c>
      <c r="P997" t="s">
        <v>74</v>
      </c>
      <c r="Q997" t="s">
        <v>74</v>
      </c>
      <c r="R997" t="s">
        <v>74</v>
      </c>
      <c r="S997" t="s">
        <v>74</v>
      </c>
      <c r="T997" t="s">
        <v>18777</v>
      </c>
      <c r="U997" t="s">
        <v>18778</v>
      </c>
      <c r="V997" t="s">
        <v>18779</v>
      </c>
      <c r="W997" t="s">
        <v>18780</v>
      </c>
      <c r="X997" t="s">
        <v>18781</v>
      </c>
      <c r="Y997" t="s">
        <v>18782</v>
      </c>
      <c r="Z997" t="s">
        <v>18783</v>
      </c>
      <c r="AA997" t="s">
        <v>18784</v>
      </c>
      <c r="AB997" t="s">
        <v>18785</v>
      </c>
      <c r="AC997" t="s">
        <v>18786</v>
      </c>
      <c r="AD997" t="s">
        <v>18787</v>
      </c>
      <c r="AE997" t="s">
        <v>18788</v>
      </c>
      <c r="AF997" t="s">
        <v>74</v>
      </c>
      <c r="AG997">
        <v>35</v>
      </c>
      <c r="AH997">
        <v>7</v>
      </c>
      <c r="AI997">
        <v>9</v>
      </c>
      <c r="AJ997">
        <v>4</v>
      </c>
      <c r="AK997">
        <v>52</v>
      </c>
      <c r="AL997" t="s">
        <v>5016</v>
      </c>
      <c r="AM997" t="s">
        <v>5017</v>
      </c>
      <c r="AN997" t="s">
        <v>5018</v>
      </c>
      <c r="AO997" t="s">
        <v>5064</v>
      </c>
      <c r="AP997" t="s">
        <v>74</v>
      </c>
      <c r="AQ997" t="s">
        <v>74</v>
      </c>
      <c r="AR997" t="s">
        <v>5065</v>
      </c>
      <c r="AS997" t="s">
        <v>5066</v>
      </c>
      <c r="AT997" t="s">
        <v>18644</v>
      </c>
      <c r="AU997">
        <v>2013</v>
      </c>
      <c r="AV997">
        <v>5</v>
      </c>
      <c r="AW997">
        <v>8</v>
      </c>
      <c r="AX997" t="s">
        <v>74</v>
      </c>
      <c r="AY997" t="s">
        <v>74</v>
      </c>
      <c r="AZ997" t="s">
        <v>74</v>
      </c>
      <c r="BA997" t="s">
        <v>74</v>
      </c>
      <c r="BB997">
        <v>4067</v>
      </c>
      <c r="BC997">
        <v>4087</v>
      </c>
      <c r="BD997" t="s">
        <v>74</v>
      </c>
      <c r="BE997" t="s">
        <v>18789</v>
      </c>
      <c r="BF997" t="str">
        <f>HYPERLINK("http://dx.doi.org/10.3390/rs5084067","http://dx.doi.org/10.3390/rs5084067")</f>
        <v>http://dx.doi.org/10.3390/rs5084067</v>
      </c>
      <c r="BG997" t="s">
        <v>74</v>
      </c>
      <c r="BH997" t="s">
        <v>74</v>
      </c>
      <c r="BI997">
        <v>21</v>
      </c>
      <c r="BJ997" t="s">
        <v>5068</v>
      </c>
      <c r="BK997" t="s">
        <v>99</v>
      </c>
      <c r="BL997" t="s">
        <v>5069</v>
      </c>
      <c r="BM997" t="s">
        <v>18790</v>
      </c>
      <c r="BN997" t="s">
        <v>74</v>
      </c>
      <c r="BO997" t="s">
        <v>4862</v>
      </c>
      <c r="BP997" t="s">
        <v>74</v>
      </c>
      <c r="BQ997" t="s">
        <v>74</v>
      </c>
      <c r="BR997" t="s">
        <v>103</v>
      </c>
      <c r="BS997" t="s">
        <v>18791</v>
      </c>
      <c r="BT997" t="str">
        <f>HYPERLINK("https%3A%2F%2Fwww.webofscience.com%2Fwos%2Fwoscc%2Ffull-record%2FWOS:000328626100019","View Full Record in Web of Science")</f>
        <v>View Full Record in Web of Science</v>
      </c>
    </row>
    <row r="998" spans="1:72" x14ac:dyDescent="0.15">
      <c r="A998" t="s">
        <v>72</v>
      </c>
      <c r="B998" t="s">
        <v>18792</v>
      </c>
      <c r="C998" t="s">
        <v>74</v>
      </c>
      <c r="D998" t="s">
        <v>74</v>
      </c>
      <c r="E998" t="s">
        <v>74</v>
      </c>
      <c r="F998" t="s">
        <v>18793</v>
      </c>
      <c r="G998" t="s">
        <v>74</v>
      </c>
      <c r="H998" t="s">
        <v>74</v>
      </c>
      <c r="I998" t="s">
        <v>18794</v>
      </c>
      <c r="J998" t="s">
        <v>6755</v>
      </c>
      <c r="K998" t="s">
        <v>74</v>
      </c>
      <c r="L998" t="s">
        <v>74</v>
      </c>
      <c r="M998" t="s">
        <v>78</v>
      </c>
      <c r="N998" t="s">
        <v>79</v>
      </c>
      <c r="O998" t="s">
        <v>74</v>
      </c>
      <c r="P998" t="s">
        <v>74</v>
      </c>
      <c r="Q998" t="s">
        <v>74</v>
      </c>
      <c r="R998" t="s">
        <v>74</v>
      </c>
      <c r="S998" t="s">
        <v>74</v>
      </c>
      <c r="T998" t="s">
        <v>18795</v>
      </c>
      <c r="U998" t="s">
        <v>18796</v>
      </c>
      <c r="V998" t="s">
        <v>18797</v>
      </c>
      <c r="W998" t="s">
        <v>18798</v>
      </c>
      <c r="X998" t="s">
        <v>18799</v>
      </c>
      <c r="Y998" t="s">
        <v>18800</v>
      </c>
      <c r="Z998" t="s">
        <v>18801</v>
      </c>
      <c r="AA998" t="s">
        <v>74</v>
      </c>
      <c r="AB998" t="s">
        <v>18802</v>
      </c>
      <c r="AC998" t="s">
        <v>18803</v>
      </c>
      <c r="AD998" t="s">
        <v>18803</v>
      </c>
      <c r="AE998" t="s">
        <v>18804</v>
      </c>
      <c r="AF998" t="s">
        <v>74</v>
      </c>
      <c r="AG998">
        <v>155</v>
      </c>
      <c r="AH998">
        <v>50</v>
      </c>
      <c r="AI998">
        <v>53</v>
      </c>
      <c r="AJ998">
        <v>1</v>
      </c>
      <c r="AK998">
        <v>27</v>
      </c>
      <c r="AL998" t="s">
        <v>1606</v>
      </c>
      <c r="AM998" t="s">
        <v>808</v>
      </c>
      <c r="AN998" t="s">
        <v>1607</v>
      </c>
      <c r="AO998" t="s">
        <v>74</v>
      </c>
      <c r="AP998" t="s">
        <v>6767</v>
      </c>
      <c r="AQ998" t="s">
        <v>74</v>
      </c>
      <c r="AR998" t="s">
        <v>6768</v>
      </c>
      <c r="AS998" t="s">
        <v>6769</v>
      </c>
      <c r="AT998" t="s">
        <v>18644</v>
      </c>
      <c r="AU998">
        <v>2013</v>
      </c>
      <c r="AV998">
        <v>14</v>
      </c>
      <c r="AW998">
        <v>8</v>
      </c>
      <c r="AX998" t="s">
        <v>74</v>
      </c>
      <c r="AY998" t="s">
        <v>74</v>
      </c>
      <c r="AZ998" t="s">
        <v>74</v>
      </c>
      <c r="BA998" t="s">
        <v>74</v>
      </c>
      <c r="BB998">
        <v>2771</v>
      </c>
      <c r="BC998">
        <v>2799</v>
      </c>
      <c r="BD998" t="s">
        <v>74</v>
      </c>
      <c r="BE998" t="s">
        <v>18805</v>
      </c>
      <c r="BF998" t="str">
        <f>HYPERLINK("http://dx.doi.org/10.1002/ggge.20160","http://dx.doi.org/10.1002/ggge.20160")</f>
        <v>http://dx.doi.org/10.1002/ggge.20160</v>
      </c>
      <c r="BG998" t="s">
        <v>74</v>
      </c>
      <c r="BH998" t="s">
        <v>74</v>
      </c>
      <c r="BI998">
        <v>29</v>
      </c>
      <c r="BJ998" t="s">
        <v>313</v>
      </c>
      <c r="BK998" t="s">
        <v>99</v>
      </c>
      <c r="BL998" t="s">
        <v>313</v>
      </c>
      <c r="BM998" t="s">
        <v>18806</v>
      </c>
      <c r="BN998" t="s">
        <v>74</v>
      </c>
      <c r="BO998" t="s">
        <v>831</v>
      </c>
      <c r="BP998" t="s">
        <v>74</v>
      </c>
      <c r="BQ998" t="s">
        <v>74</v>
      </c>
      <c r="BR998" t="s">
        <v>103</v>
      </c>
      <c r="BS998" t="s">
        <v>18807</v>
      </c>
      <c r="BT998" t="str">
        <f>HYPERLINK("https%3A%2F%2Fwww.webofscience.com%2Fwos%2Fwoscc%2Ffull-record%2FWOS:000326242700013","View Full Record in Web of Science")</f>
        <v>View Full Record in Web of Science</v>
      </c>
    </row>
    <row r="999" spans="1:72" x14ac:dyDescent="0.15">
      <c r="A999" t="s">
        <v>72</v>
      </c>
      <c r="B999" t="s">
        <v>18808</v>
      </c>
      <c r="C999" t="s">
        <v>74</v>
      </c>
      <c r="D999" t="s">
        <v>74</v>
      </c>
      <c r="E999" t="s">
        <v>74</v>
      </c>
      <c r="F999" t="s">
        <v>18809</v>
      </c>
      <c r="G999" t="s">
        <v>74</v>
      </c>
      <c r="H999" t="s">
        <v>74</v>
      </c>
      <c r="I999" t="s">
        <v>18810</v>
      </c>
      <c r="J999" t="s">
        <v>18811</v>
      </c>
      <c r="K999" t="s">
        <v>74</v>
      </c>
      <c r="L999" t="s">
        <v>74</v>
      </c>
      <c r="M999" t="s">
        <v>78</v>
      </c>
      <c r="N999" t="s">
        <v>79</v>
      </c>
      <c r="O999" t="s">
        <v>74</v>
      </c>
      <c r="P999" t="s">
        <v>74</v>
      </c>
      <c r="Q999" t="s">
        <v>74</v>
      </c>
      <c r="R999" t="s">
        <v>74</v>
      </c>
      <c r="S999" t="s">
        <v>74</v>
      </c>
      <c r="T999" t="s">
        <v>18812</v>
      </c>
      <c r="U999" t="s">
        <v>18813</v>
      </c>
      <c r="V999" t="s">
        <v>18814</v>
      </c>
      <c r="W999" t="s">
        <v>18815</v>
      </c>
      <c r="X999" t="s">
        <v>18816</v>
      </c>
      <c r="Y999" t="s">
        <v>18817</v>
      </c>
      <c r="Z999" t="s">
        <v>18818</v>
      </c>
      <c r="AA999" t="s">
        <v>18819</v>
      </c>
      <c r="AB999" t="s">
        <v>74</v>
      </c>
      <c r="AC999" t="s">
        <v>18820</v>
      </c>
      <c r="AD999" t="s">
        <v>18821</v>
      </c>
      <c r="AE999" t="s">
        <v>18822</v>
      </c>
      <c r="AF999" t="s">
        <v>74</v>
      </c>
      <c r="AG999">
        <v>30</v>
      </c>
      <c r="AH999">
        <v>5</v>
      </c>
      <c r="AI999">
        <v>5</v>
      </c>
      <c r="AJ999">
        <v>0</v>
      </c>
      <c r="AK999">
        <v>9</v>
      </c>
      <c r="AL999" t="s">
        <v>18823</v>
      </c>
      <c r="AM999" t="s">
        <v>11631</v>
      </c>
      <c r="AN999" t="s">
        <v>18824</v>
      </c>
      <c r="AO999" t="s">
        <v>18825</v>
      </c>
      <c r="AP999" t="s">
        <v>18826</v>
      </c>
      <c r="AQ999" t="s">
        <v>74</v>
      </c>
      <c r="AR999" t="s">
        <v>18827</v>
      </c>
      <c r="AS999" t="s">
        <v>18828</v>
      </c>
      <c r="AT999" t="s">
        <v>18644</v>
      </c>
      <c r="AU999">
        <v>2013</v>
      </c>
      <c r="AV999">
        <v>42</v>
      </c>
      <c r="AW999">
        <v>4</v>
      </c>
      <c r="AX999" t="s">
        <v>74</v>
      </c>
      <c r="AY999" t="s">
        <v>74</v>
      </c>
      <c r="AZ999" t="s">
        <v>74</v>
      </c>
      <c r="BA999" t="s">
        <v>74</v>
      </c>
      <c r="BB999">
        <v>458</v>
      </c>
      <c r="BC999">
        <v>465</v>
      </c>
      <c r="BD999" t="s">
        <v>74</v>
      </c>
      <c r="BE999" t="s">
        <v>74</v>
      </c>
      <c r="BF999" t="s">
        <v>74</v>
      </c>
      <c r="BG999" t="s">
        <v>74</v>
      </c>
      <c r="BH999" t="s">
        <v>74</v>
      </c>
      <c r="BI999">
        <v>8</v>
      </c>
      <c r="BJ999" t="s">
        <v>1613</v>
      </c>
      <c r="BK999" t="s">
        <v>99</v>
      </c>
      <c r="BL999" t="s">
        <v>1613</v>
      </c>
      <c r="BM999" t="s">
        <v>18829</v>
      </c>
      <c r="BN999" t="s">
        <v>74</v>
      </c>
      <c r="BO999" t="s">
        <v>74</v>
      </c>
      <c r="BP999" t="s">
        <v>74</v>
      </c>
      <c r="BQ999" t="s">
        <v>74</v>
      </c>
      <c r="BR999" t="s">
        <v>103</v>
      </c>
      <c r="BS999" t="s">
        <v>18830</v>
      </c>
      <c r="BT999" t="str">
        <f>HYPERLINK("https%3A%2F%2Fwww.webofscience.com%2Fwos%2Fwoscc%2Ffull-record%2FWOS:000325596800007","View Full Record in Web of Science")</f>
        <v>View Full Record in Web of Science</v>
      </c>
    </row>
    <row r="1000" spans="1:72" x14ac:dyDescent="0.15">
      <c r="A1000" t="s">
        <v>72</v>
      </c>
      <c r="B1000" t="s">
        <v>18831</v>
      </c>
      <c r="C1000" t="s">
        <v>74</v>
      </c>
      <c r="D1000" t="s">
        <v>74</v>
      </c>
      <c r="E1000" t="s">
        <v>74</v>
      </c>
      <c r="F1000" t="s">
        <v>18832</v>
      </c>
      <c r="G1000" t="s">
        <v>74</v>
      </c>
      <c r="H1000" t="s">
        <v>74</v>
      </c>
      <c r="I1000" t="s">
        <v>18833</v>
      </c>
      <c r="J1000" t="s">
        <v>1595</v>
      </c>
      <c r="K1000" t="s">
        <v>74</v>
      </c>
      <c r="L1000" t="s">
        <v>74</v>
      </c>
      <c r="M1000" t="s">
        <v>78</v>
      </c>
      <c r="N1000" t="s">
        <v>79</v>
      </c>
      <c r="O1000" t="s">
        <v>74</v>
      </c>
      <c r="P1000" t="s">
        <v>74</v>
      </c>
      <c r="Q1000" t="s">
        <v>74</v>
      </c>
      <c r="R1000" t="s">
        <v>74</v>
      </c>
      <c r="S1000" t="s">
        <v>74</v>
      </c>
      <c r="T1000" t="s">
        <v>18834</v>
      </c>
      <c r="U1000" t="s">
        <v>18835</v>
      </c>
      <c r="V1000" t="s">
        <v>18836</v>
      </c>
      <c r="W1000" t="s">
        <v>18837</v>
      </c>
      <c r="X1000" t="s">
        <v>18838</v>
      </c>
      <c r="Y1000" t="s">
        <v>18839</v>
      </c>
      <c r="Z1000" t="s">
        <v>18840</v>
      </c>
      <c r="AA1000" t="s">
        <v>18841</v>
      </c>
      <c r="AB1000" t="s">
        <v>18842</v>
      </c>
      <c r="AC1000" t="s">
        <v>18843</v>
      </c>
      <c r="AD1000" t="s">
        <v>18844</v>
      </c>
      <c r="AE1000" t="s">
        <v>18845</v>
      </c>
      <c r="AF1000" t="s">
        <v>74</v>
      </c>
      <c r="AG1000">
        <v>71</v>
      </c>
      <c r="AH1000">
        <v>4</v>
      </c>
      <c r="AI1000">
        <v>5</v>
      </c>
      <c r="AJ1000">
        <v>0</v>
      </c>
      <c r="AK1000">
        <v>21</v>
      </c>
      <c r="AL1000" t="s">
        <v>1606</v>
      </c>
      <c r="AM1000" t="s">
        <v>808</v>
      </c>
      <c r="AN1000" t="s">
        <v>1607</v>
      </c>
      <c r="AO1000" t="s">
        <v>1608</v>
      </c>
      <c r="AP1000" t="s">
        <v>74</v>
      </c>
      <c r="AQ1000" t="s">
        <v>74</v>
      </c>
      <c r="AR1000" t="s">
        <v>1610</v>
      </c>
      <c r="AS1000" t="s">
        <v>1611</v>
      </c>
      <c r="AT1000" t="s">
        <v>18644</v>
      </c>
      <c r="AU1000">
        <v>2013</v>
      </c>
      <c r="AV1000">
        <v>118</v>
      </c>
      <c r="AW1000">
        <v>8</v>
      </c>
      <c r="AX1000" t="s">
        <v>74</v>
      </c>
      <c r="AY1000" t="s">
        <v>74</v>
      </c>
      <c r="AZ1000" t="s">
        <v>74</v>
      </c>
      <c r="BA1000" t="s">
        <v>74</v>
      </c>
      <c r="BB1000">
        <v>3795</v>
      </c>
      <c r="BC1000">
        <v>3806</v>
      </c>
      <c r="BD1000" t="s">
        <v>74</v>
      </c>
      <c r="BE1000" t="s">
        <v>18846</v>
      </c>
      <c r="BF1000" t="str">
        <f>HYPERLINK("http://dx.doi.org/10.1002/jgrc.20281","http://dx.doi.org/10.1002/jgrc.20281")</f>
        <v>http://dx.doi.org/10.1002/jgrc.20281</v>
      </c>
      <c r="BG1000" t="s">
        <v>74</v>
      </c>
      <c r="BH1000" t="s">
        <v>74</v>
      </c>
      <c r="BI1000">
        <v>12</v>
      </c>
      <c r="BJ1000" t="s">
        <v>1613</v>
      </c>
      <c r="BK1000" t="s">
        <v>99</v>
      </c>
      <c r="BL1000" t="s">
        <v>1613</v>
      </c>
      <c r="BM1000" t="s">
        <v>18847</v>
      </c>
      <c r="BN1000" t="s">
        <v>74</v>
      </c>
      <c r="BO1000" t="s">
        <v>475</v>
      </c>
      <c r="BP1000" t="s">
        <v>74</v>
      </c>
      <c r="BQ1000" t="s">
        <v>74</v>
      </c>
      <c r="BR1000" t="s">
        <v>103</v>
      </c>
      <c r="BS1000" t="s">
        <v>18848</v>
      </c>
      <c r="BT1000" t="str">
        <f>HYPERLINK("https%3A%2F%2Fwww.webofscience.com%2Fwos%2Fwoscc%2Ffull-record%2FWOS:000324927000005","View Full Record in Web of Science")</f>
        <v>View Full Record in Web of Science</v>
      </c>
    </row>
    <row r="1001" spans="1:72" x14ac:dyDescent="0.15">
      <c r="A1001" t="s">
        <v>72</v>
      </c>
      <c r="B1001" t="s">
        <v>18849</v>
      </c>
      <c r="C1001" t="s">
        <v>74</v>
      </c>
      <c r="D1001" t="s">
        <v>74</v>
      </c>
      <c r="E1001" t="s">
        <v>74</v>
      </c>
      <c r="F1001" t="s">
        <v>18850</v>
      </c>
      <c r="G1001" t="s">
        <v>74</v>
      </c>
      <c r="H1001" t="s">
        <v>74</v>
      </c>
      <c r="I1001" t="s">
        <v>18851</v>
      </c>
      <c r="J1001" t="s">
        <v>18852</v>
      </c>
      <c r="K1001" t="s">
        <v>74</v>
      </c>
      <c r="L1001" t="s">
        <v>74</v>
      </c>
      <c r="M1001" t="s">
        <v>78</v>
      </c>
      <c r="N1001" t="s">
        <v>79</v>
      </c>
      <c r="O1001" t="s">
        <v>74</v>
      </c>
      <c r="P1001" t="s">
        <v>74</v>
      </c>
      <c r="Q1001" t="s">
        <v>74</v>
      </c>
      <c r="R1001" t="s">
        <v>74</v>
      </c>
      <c r="S1001" t="s">
        <v>74</v>
      </c>
      <c r="T1001" t="s">
        <v>18853</v>
      </c>
      <c r="U1001" t="s">
        <v>18854</v>
      </c>
      <c r="V1001" t="s">
        <v>18855</v>
      </c>
      <c r="W1001" t="s">
        <v>18856</v>
      </c>
      <c r="X1001" t="s">
        <v>18857</v>
      </c>
      <c r="Y1001" t="s">
        <v>18858</v>
      </c>
      <c r="Z1001" t="s">
        <v>18859</v>
      </c>
      <c r="AA1001" t="s">
        <v>18860</v>
      </c>
      <c r="AB1001" t="s">
        <v>18202</v>
      </c>
      <c r="AC1001" t="s">
        <v>18861</v>
      </c>
      <c r="AD1001" t="s">
        <v>12175</v>
      </c>
      <c r="AE1001" t="s">
        <v>18862</v>
      </c>
      <c r="AF1001" t="s">
        <v>74</v>
      </c>
      <c r="AG1001">
        <v>83</v>
      </c>
      <c r="AH1001">
        <v>14</v>
      </c>
      <c r="AI1001">
        <v>19</v>
      </c>
      <c r="AJ1001">
        <v>0</v>
      </c>
      <c r="AK1001">
        <v>23</v>
      </c>
      <c r="AL1001" t="s">
        <v>1606</v>
      </c>
      <c r="AM1001" t="s">
        <v>808</v>
      </c>
      <c r="AN1001" t="s">
        <v>1607</v>
      </c>
      <c r="AO1001" t="s">
        <v>18863</v>
      </c>
      <c r="AP1001" t="s">
        <v>18864</v>
      </c>
      <c r="AQ1001" t="s">
        <v>74</v>
      </c>
      <c r="AR1001" t="s">
        <v>18865</v>
      </c>
      <c r="AS1001" t="s">
        <v>18866</v>
      </c>
      <c r="AT1001" t="s">
        <v>18644</v>
      </c>
      <c r="AU1001">
        <v>2013</v>
      </c>
      <c r="AV1001">
        <v>118</v>
      </c>
      <c r="AW1001">
        <v>8</v>
      </c>
      <c r="AX1001" t="s">
        <v>74</v>
      </c>
      <c r="AY1001" t="s">
        <v>74</v>
      </c>
      <c r="AZ1001" t="s">
        <v>74</v>
      </c>
      <c r="BA1001" t="s">
        <v>74</v>
      </c>
      <c r="BB1001">
        <v>4535</v>
      </c>
      <c r="BC1001">
        <v>4546</v>
      </c>
      <c r="BD1001" t="s">
        <v>74</v>
      </c>
      <c r="BE1001" t="s">
        <v>18867</v>
      </c>
      <c r="BF1001" t="str">
        <f>HYPERLINK("http://dx.doi.org/10.1002/jgrb.50315","http://dx.doi.org/10.1002/jgrb.50315")</f>
        <v>http://dx.doi.org/10.1002/jgrb.50315</v>
      </c>
      <c r="BG1001" t="s">
        <v>74</v>
      </c>
      <c r="BH1001" t="s">
        <v>74</v>
      </c>
      <c r="BI1001">
        <v>12</v>
      </c>
      <c r="BJ1001" t="s">
        <v>313</v>
      </c>
      <c r="BK1001" t="s">
        <v>99</v>
      </c>
      <c r="BL1001" t="s">
        <v>313</v>
      </c>
      <c r="BM1001" t="s">
        <v>18868</v>
      </c>
      <c r="BN1001" t="s">
        <v>74</v>
      </c>
      <c r="BO1001" t="s">
        <v>475</v>
      </c>
      <c r="BP1001" t="s">
        <v>74</v>
      </c>
      <c r="BQ1001" t="s">
        <v>74</v>
      </c>
      <c r="BR1001" t="s">
        <v>103</v>
      </c>
      <c r="BS1001" t="s">
        <v>18869</v>
      </c>
      <c r="BT1001" t="str">
        <f>HYPERLINK("https%3A%2F%2Fwww.webofscience.com%2Fwos%2Fwoscc%2Ffull-record%2FWOS:000324991900041","View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2024-07-28T15:24:08Z</dcterms:created>
  <dcterms:modified xsi:type="dcterms:W3CDTF">2024-07-28T15:24:08Z</dcterms:modified>
</cp:coreProperties>
</file>